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8DD7249-42CE-44AF-920B-0DAE4AD74F71}"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73" l="1"/>
  <c r="K57" i="185" l="1"/>
  <c r="J57" i="185"/>
  <c r="I57" i="185"/>
  <c r="H57" i="185"/>
  <c r="G57" i="185"/>
  <c r="F57" i="185"/>
  <c r="E57" i="185"/>
  <c r="L55" i="185"/>
  <c r="K51" i="185"/>
  <c r="J51" i="185"/>
  <c r="I51" i="185"/>
  <c r="I58" i="185" s="1"/>
  <c r="H51" i="185"/>
  <c r="G51" i="185"/>
  <c r="F51" i="185"/>
  <c r="F58" i="185" s="1"/>
  <c r="E51" i="185"/>
  <c r="L49" i="185"/>
  <c r="L48" i="185"/>
  <c r="L47" i="185"/>
  <c r="L46" i="185"/>
  <c r="L45" i="185"/>
  <c r="L44" i="185"/>
  <c r="L43" i="185"/>
  <c r="L42" i="185"/>
  <c r="L41" i="185"/>
  <c r="L40" i="185"/>
  <c r="L39" i="185"/>
  <c r="K33" i="185"/>
  <c r="K34" i="185" s="1"/>
  <c r="J33" i="185"/>
  <c r="J34" i="185" s="1"/>
  <c r="I33" i="185"/>
  <c r="H33" i="185"/>
  <c r="H34" i="185" s="1"/>
  <c r="G33" i="185"/>
  <c r="G34" i="185" s="1"/>
  <c r="F33" i="185"/>
  <c r="F34" i="185" s="1"/>
  <c r="E33" i="185"/>
  <c r="E34" i="185" s="1"/>
  <c r="L31" i="185"/>
  <c r="L30" i="185"/>
  <c r="L28" i="185"/>
  <c r="K22" i="185"/>
  <c r="K23" i="185" s="1"/>
  <c r="J22" i="185"/>
  <c r="J23" i="185" s="1"/>
  <c r="I22" i="185"/>
  <c r="I23" i="185" s="1"/>
  <c r="H22" i="185"/>
  <c r="H23" i="185" s="1"/>
  <c r="G22" i="185"/>
  <c r="F22" i="185"/>
  <c r="F23" i="185" s="1"/>
  <c r="E22" i="185"/>
  <c r="E23" i="185" s="1"/>
  <c r="L20" i="185"/>
  <c r="L19" i="185"/>
  <c r="L18" i="185"/>
  <c r="L17" i="185"/>
  <c r="L16" i="185"/>
  <c r="L15" i="185"/>
  <c r="L14" i="185"/>
  <c r="B4" i="185"/>
  <c r="B2" i="185"/>
  <c r="B1" i="185"/>
  <c r="H58" i="185" l="1"/>
  <c r="I34" i="185"/>
  <c r="I60" i="185" s="1"/>
  <c r="D45" i="174" s="1"/>
  <c r="G38" i="174"/>
  <c r="L22" i="185"/>
  <c r="K58" i="185"/>
  <c r="K60" i="185" s="1"/>
  <c r="E58" i="185"/>
  <c r="E60" i="185" s="1"/>
  <c r="L51" i="185"/>
  <c r="L57" i="185"/>
  <c r="J58" i="185"/>
  <c r="J60" i="185" s="1"/>
  <c r="L34" i="185"/>
  <c r="H60" i="185"/>
  <c r="F60" i="185"/>
  <c r="D35" i="171" s="1"/>
  <c r="L33" i="185"/>
  <c r="G58" i="185"/>
  <c r="G23" i="185"/>
  <c r="L23" i="185" s="1"/>
  <c r="H5" i="12"/>
  <c r="H14" i="12" s="1"/>
  <c r="G5" i="5"/>
  <c r="C5" i="5"/>
  <c r="L58" i="185" l="1"/>
  <c r="G60" i="185"/>
  <c r="L60" i="185"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6" i="108"/>
  <c r="G28"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B5246" i="106" l="1"/>
  <c r="D5246" i="106" s="1"/>
  <c r="E10" i="108"/>
  <c r="B3730" i="106" s="1"/>
  <c r="D3730" i="106" s="1"/>
  <c r="F34" i="34"/>
  <c r="B7826" i="106" s="1"/>
  <c r="D7826" i="106" s="1"/>
  <c r="H33" i="118"/>
  <c r="B6289" i="106"/>
  <c r="D6289" i="106" s="1"/>
  <c r="D24" i="37"/>
  <c r="B4270" i="106" s="1"/>
  <c r="D4270" i="106" s="1"/>
  <c r="F67" i="34"/>
  <c r="L22" i="37"/>
  <c r="E34" i="108"/>
  <c r="B6995" i="106"/>
  <c r="D6995" i="106" s="1"/>
  <c r="B7047" i="106"/>
  <c r="D7047" i="106" s="1"/>
  <c r="H15" i="184"/>
  <c r="D22" i="37"/>
  <c r="H28" i="118"/>
  <c r="C129" i="29"/>
  <c r="C151" i="29" s="1"/>
  <c r="B1226" i="106" s="1"/>
  <c r="D1226" i="106" s="1"/>
  <c r="B4211" i="106"/>
  <c r="D4211" i="106" s="1"/>
  <c r="B7078" i="106"/>
  <c r="D7078" i="106" s="1"/>
  <c r="C342" i="29"/>
  <c r="B7216" i="106" s="1"/>
  <c r="D7216" i="106" s="1"/>
  <c r="F42" i="34"/>
  <c r="F77" i="4"/>
  <c r="B3255" i="106" s="1"/>
  <c r="D3255" i="106" s="1"/>
  <c r="F71" i="34"/>
  <c r="C352" i="29"/>
  <c r="B3621" i="106" s="1"/>
  <c r="D3621" i="106" s="1"/>
  <c r="B7189" i="106"/>
  <c r="D7189" i="106" s="1"/>
  <c r="E64" i="184"/>
  <c r="N64" i="184" s="1"/>
  <c r="B7198" i="106"/>
  <c r="D7198" i="106" s="1"/>
  <c r="E65" i="184"/>
  <c r="N65" i="184" s="1"/>
  <c r="B7126" i="106"/>
  <c r="D7126" i="106" s="1"/>
  <c r="E57" i="184"/>
  <c r="F37" i="34"/>
  <c r="B7829" i="106" s="1"/>
  <c r="D7829" i="106" s="1"/>
  <c r="G33" i="108"/>
  <c r="E17" i="184"/>
  <c r="H17" i="184" s="1"/>
  <c r="B7180" i="106"/>
  <c r="D7180" i="106" s="1"/>
  <c r="E63" i="184"/>
  <c r="N63" i="184" s="1"/>
  <c r="D31" i="108"/>
  <c r="E16" i="184"/>
  <c r="H16" i="184" s="1"/>
  <c r="B7162" i="106"/>
  <c r="D7162" i="106" s="1"/>
  <c r="E61" i="184"/>
  <c r="N61" i="184" s="1"/>
  <c r="G14" i="4"/>
  <c r="B2609" i="106" s="1"/>
  <c r="D2609" i="106" s="1"/>
  <c r="B7153" i="106"/>
  <c r="D7153" i="106" s="1"/>
  <c r="E60" i="184"/>
  <c r="N60" i="184" s="1"/>
  <c r="B7171" i="106"/>
  <c r="D7171" i="106" s="1"/>
  <c r="E62" i="184"/>
  <c r="N62" i="184" s="1"/>
  <c r="F72" i="34"/>
  <c r="F36" i="34"/>
  <c r="B7828" i="106" s="1"/>
  <c r="D7828" i="106" s="1"/>
  <c r="B7705" i="106"/>
  <c r="D7705" i="106" s="1"/>
  <c r="E67" i="184"/>
  <c r="N67" i="184" s="1"/>
  <c r="J210" i="29"/>
  <c r="B7072" i="106" s="1"/>
  <c r="D7072" i="106" s="1"/>
  <c r="H12" i="184"/>
  <c r="F50" i="34"/>
  <c r="G30" i="108"/>
  <c r="B7696" i="106"/>
  <c r="D7696" i="106" s="1"/>
  <c r="E66" i="184"/>
  <c r="N66" i="184" s="1"/>
  <c r="B7135" i="106"/>
  <c r="D7135" i="106" s="1"/>
  <c r="E58" i="184"/>
  <c r="N58" i="184" s="1"/>
  <c r="H76" i="4"/>
  <c r="B3298" i="106" s="1"/>
  <c r="D3298" i="106" s="1"/>
  <c r="J129" i="29"/>
  <c r="B7038" i="106" s="1"/>
  <c r="D7038" i="106" s="1"/>
  <c r="H342" i="29"/>
  <c r="B7221" i="106" s="1"/>
  <c r="D7221" i="106" s="1"/>
  <c r="I210" i="29"/>
  <c r="B7071" i="106" s="1"/>
  <c r="D7071" i="106" s="1"/>
  <c r="I129" i="29"/>
  <c r="B7037" i="106" s="1"/>
  <c r="D7037" i="106" s="1"/>
  <c r="H365" i="29"/>
  <c r="B7242" i="106" s="1"/>
  <c r="D7242" i="106" s="1"/>
  <c r="B7824" i="10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4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J151" i="29"/>
  <c r="B7052" i="106" s="1"/>
  <c r="D7052" i="106" s="1"/>
  <c r="B6216" i="106"/>
  <c r="D6216" i="106" s="1"/>
  <c r="I7" i="4"/>
  <c r="B4444" i="106" s="1"/>
  <c r="D4444" i="106" s="1"/>
  <c r="B2057" i="106"/>
  <c r="D2057" i="106" s="1"/>
  <c r="M17" i="3"/>
  <c r="B274" i="106" s="1"/>
  <c r="D274" i="106" s="1"/>
  <c r="B3459" i="106"/>
  <c r="D3459" i="106" s="1"/>
  <c r="M20" i="3"/>
  <c r="B2864" i="106" s="1"/>
  <c r="D2864" i="106" s="1"/>
  <c r="B2060" i="106"/>
  <c r="D2060" i="106" s="1"/>
  <c r="M19" i="3"/>
  <c r="B276" i="106" s="1"/>
  <c r="D276" i="106" s="1"/>
  <c r="B2058" i="106"/>
  <c r="D2058" i="106" s="1"/>
  <c r="M18" i="3"/>
  <c r="B275" i="106" s="1"/>
  <c r="D275" i="106" s="1"/>
  <c r="B2056" i="106"/>
  <c r="D2056" i="106" s="1"/>
  <c r="M16" i="3"/>
  <c r="K28" i="118"/>
  <c r="O27" i="118" s="1"/>
  <c r="O29" i="118" s="1"/>
  <c r="B4172" i="106"/>
  <c r="D4172" i="106" s="1"/>
  <c r="N22" i="3"/>
  <c r="B283" i="106" s="1"/>
  <c r="D283" i="106" s="1"/>
  <c r="L16" i="11"/>
  <c r="C367" i="29"/>
  <c r="B3622" i="106" s="1"/>
  <c r="D3622" i="106" s="1"/>
  <c r="K365" i="29"/>
  <c r="H77" i="4"/>
  <c r="B3299" i="106" s="1"/>
  <c r="D3299" i="106" s="1"/>
  <c r="B7235" i="106"/>
  <c r="D7235" i="106" s="1"/>
  <c r="H151" i="29"/>
  <c r="B1273" i="106" s="1"/>
  <c r="D1273" i="106" s="1"/>
  <c r="L114" i="29"/>
  <c r="K342" i="29"/>
  <c r="F13" i="34" s="1"/>
  <c r="B1381" i="106"/>
  <c r="D1381" i="106" s="1"/>
  <c r="F41" i="108"/>
  <c r="G43" i="108" s="1"/>
  <c r="H19" i="184"/>
  <c r="L20" i="184" s="1"/>
  <c r="N57" i="184"/>
  <c r="N68" i="184" s="1"/>
  <c r="E68" i="184"/>
  <c r="B7220" i="106"/>
  <c r="D7220" i="106" s="1"/>
  <c r="F75" i="34"/>
  <c r="B7886" i="106" s="1"/>
  <c r="D7886" i="106" s="1"/>
  <c r="I151" i="29"/>
  <c r="F59" i="34" s="1"/>
  <c r="J16" i="4"/>
  <c r="B6226" i="106" s="1"/>
  <c r="D6226" i="106" s="1"/>
  <c r="B7215" i="106"/>
  <c r="D7215" i="106" s="1"/>
  <c r="B7222" i="106"/>
  <c r="D7222" i="106" s="1"/>
  <c r="F76" i="34"/>
  <c r="B7887" i="106" s="1"/>
  <c r="D7887" i="106" s="1"/>
  <c r="E19" i="184"/>
  <c r="E367" i="29"/>
  <c r="B3635" i="106"/>
  <c r="D3635" i="106" s="1"/>
  <c r="B5527" i="106"/>
  <c r="D5527" i="106" s="1"/>
  <c r="K77" i="4"/>
  <c r="B3587" i="106" s="1"/>
  <c r="D3587" i="106" s="1"/>
  <c r="B5770" i="106"/>
  <c r="D5770"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M23" i="3"/>
  <c r="B273" i="106"/>
  <c r="D273" i="106" s="1"/>
  <c r="K367" i="29"/>
  <c r="N23" i="3"/>
  <c r="B284" i="106" s="1"/>
  <c r="D284" i="106" s="1"/>
  <c r="B7224" i="106"/>
  <c r="D7224" i="106" s="1"/>
  <c r="B1145" i="106"/>
  <c r="D1145" i="106" s="1"/>
  <c r="B7051" i="106"/>
  <c r="D705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B281" i="106" s="1"/>
  <c r="D281" i="106" s="1"/>
  <c r="B6227" i="106"/>
  <c r="D6227" i="106" s="1"/>
  <c r="F77" i="34"/>
  <c r="B7834" i="106" s="1"/>
  <c r="D7834" i="106" s="1"/>
  <c r="F8" i="4"/>
  <c r="F10" i="4" s="1"/>
  <c r="B4125" i="106" s="1"/>
  <c r="D4125" i="106" s="1"/>
  <c r="B6223" i="106"/>
  <c r="D6223" i="106" s="1"/>
  <c r="J20" i="4"/>
  <c r="J78" i="4"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6230" i="106"/>
  <c r="D6230" i="106" s="1"/>
  <c r="B2595" i="106"/>
  <c r="D2595" i="106" s="1"/>
  <c r="D8" i="146"/>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8" i="146" l="1"/>
  <c r="D78" i="4"/>
  <c r="D81" i="4" s="1"/>
  <c r="B3576" i="106"/>
  <c r="D3576"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<sst xmlns="http://schemas.openxmlformats.org/spreadsheetml/2006/main" count="5301" uniqueCount="2148">
  <si>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</si>
  <si>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</si>
  <si>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</si>
  <si>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</si>
  <si>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</si>
  <si>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</si>
  <si>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</si>
  <si>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</si>
  <si>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</si>
  <si>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</si>
  <si>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</si>
  <si>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</si>
  <si>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</si>
  <si>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</si>
  <si>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</si>
  <si>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</si>
  <si>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</si>
  <si>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</si>
  <si>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</si>
  <si>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</si>
  <si>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</si>
  <si>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</si>
  <si>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</si>
  <si>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</si>
  <si>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</si>
  <si>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</si>
  <si>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</si>
  <si>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</si>
  <si>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</si>
  <si>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</si>
  <si>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</si>
  <si>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</si>
  <si>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</si>
  <si>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</si>
  <si>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</si>
  <si>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</si>
  <si>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</si>
  <si>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</si>
  <si>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</si>
  <si>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</si>
  <si>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</si>
  <si>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</si>
  <si>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</si>
  <si>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</si>
  <si>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</si>
  <si>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</si>
  <si>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</si>
  <si>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</si>
  <si>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</si>
  <si>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</si>
  <si>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</si>
  <si>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</si>
  <si>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</si>
  <si>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</si>
  <si>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</si>
  <si>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</si>
  <si>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</si>
  <si>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</si>
  <si>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</si>
  <si>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</si>
  <si>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</si>
  <si>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</si>
  <si>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</si>
  <si>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</si>
  <si>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</si>
  <si>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</si>
  <si>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</si>
  <si>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</si>
  <si>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</si>
  <si>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</si>
  <si>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</si>
  <si>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</si>
  <si>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</si>
  <si>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</si>
  <si>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</si>
  <si>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</si>
  <si>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</si>
  <si>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</si>
  <si>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</si>
  <si>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</si>
  <si>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</si>
  <si>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</si>
  <si>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</si>
  <si>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</si>
  <si>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</si>
  <si>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</si>
  <si>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</si>
  <si>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</si>
  <si>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</si>
  <si>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</si>
  <si>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</si>
  <si>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</si>
  <si>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</si>
  <si>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</si>
  <si>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</si>
  <si>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</si>
  <si>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</si>
  <si>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</si>
  <si>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</si>
  <si>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</si>
  <si>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</si>
  <si>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</si>
  <si>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</si>
  <si>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</si>
  <si>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</si>
  <si>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</si>
  <si>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</si>
  <si>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</si>
  <si>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</si>
  <si>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</si>
  <si>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</si>
  <si>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</si>
  <si>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</si>
  <si>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</si>
  <si>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</si>
  <si>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</si>
  <si>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</si>
  <si>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</si>
  <si>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</si>
  <si>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</si>
  <si>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</si>
  <si>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</si>
  <si>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</si>
  <si>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</si>
  <si>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</si>
  <si>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</si>
  <si>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</si>
  <si>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</si>
  <si>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</si>
  <si>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</si>
  <si>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</si>
  <si>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</si>
  <si>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</si>
  <si>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</si>
  <si>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</si>
  <si>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</si>
  <si>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</si>
  <si>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</si>
  <si>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</si>
  <si>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</si>
  <si>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</si>
  <si>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</si>
  <si>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</si>
  <si>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</si>
  <si>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</si>
  <si>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</si>
  <si>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</si>
  <si>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</si>
  <si>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</si>
  <si>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</si>
  <si>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</si>
  <si>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</si>
  <si>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</si>
  <si>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</si>
  <si>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</si>
  <si>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</si>
  <si>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</si>
  <si>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</si>
  <si>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</si>
  <si>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</si>
  <si>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</si>
  <si>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</si>
  <si>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</si>
  <si>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</si>
  <si>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</si>
  <si>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</si>
  <si>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</si>
  <si>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</si>
  <si>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</si>
  <si>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</si>
  <si>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</si>
  <si>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</si>
  <si>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</si>
  <si>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</si>
  <si>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</si>
  <si>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</si>
  <si>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</si>
  <si>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</si>
  <si>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</si>
  <si>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</si>
  <si>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</si>
  <si>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</si>
  <si>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</si>
  <si>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</si>
  <si>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</si>
  <si>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</si>
  <si>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</si>
  <si>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</si>
  <si>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</si>
  <si>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</si>
  <si>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</si>
  <si>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</si>
  <si>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</si>
  <si>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</si>
  <si>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</si>
  <si>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</si>
  <si>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</si>
  <si>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</si>
  <si>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</si>
  <si>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</si>
  <si>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</si>
  <si>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</si>
  <si>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</si>
  <si>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</si>
  <si>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</si>
  <si>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</si>
  <si>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</si>
  <si>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</si>
  <si>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</si>
  <si>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</si>
  <si>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</si>
  <si>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</si>
  <si>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</si>
  <si>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</si>
  <si>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</si>
  <si>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</si>
  <si>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</si>
  <si>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</si>
  <si>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</si>
  <si>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</si>
  <si>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</si>
  <si>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</si>
  <si>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</si>
  <si>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</si>
  <si>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</si>
  <si>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</si>
  <si>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</si>
  <si>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</si>
  <si>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</si>
  <si>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</si>
  <si>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</si>
  <si>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</si>
  <si>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</si>
  <si>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</si>
  <si>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</si>
  <si>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</si>
  <si>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</si>
  <si>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</si>
  <si>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</si>
  <si>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</si>
  <si>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</si>
  <si>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</si>
  <si>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</si>
  <si>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</si>
  <si>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</si>
  <si>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</si>
  <si>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</si>
  <si>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</si>
  <si>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</si>
  <si>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</si>
  <si>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</si>
  <si>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</si>
  <si>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</si>
  <si>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</si>
  <si>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</si>
  <si>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</si>
  <si>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</si>
  <si>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</si>
  <si>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</si>
  <si>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</si>
  <si>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</si>
  <si>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</si>
  <si>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</si>
  <si>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</si>
  <si>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</si>
  <si>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</si>
  <si>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</si>
  <si>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</si>
  <si>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</si>
  <si>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</si>
  <si>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</si>
  <si>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</si>
  <si>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</si>
  <si>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</si>
  <si>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</si>
  <si>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</si>
  <si>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</si>
  <si>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</si>
  <si>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</si>
  <si>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</si>
  <si>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</si>
  <si>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</si>
  <si>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</si>
  <si>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</si>
  <si>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</si>
  <si>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</si>
  <si>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</si>
  <si>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</si>
  <si>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</si>
  <si>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</si>
  <si>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</si>
  <si>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</si>
  <si>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</si>
  <si>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</si>
  <si>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</si>
  <si>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</si>
  <si>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</si>
  <si>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</si>
  <si>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</si>
  <si>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</si>
  <si>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</si>
  <si>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</si>
  <si>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</si>
  <si>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</si>
  <si>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</si>
  <si>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</si>
  <si>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</si>
  <si>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</si>
  <si>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</si>
  <si>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</si>
  <si>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</si>
  <si>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</si>
  <si>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</si>
  <si>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</si>
  <si>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</si>
  <si>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</si>
  <si>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</si>
  <si>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</si>
  <si>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</si>
  <si>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</si>
  <si>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</si>
  <si>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</si>
  <si>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</si>
  <si>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</si>
  <si>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</si>
  <si>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</si>
  <si>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</si>
  <si>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</si>
  <si>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</si>
  <si>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</si>
  <si>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</si>
  <si>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</si>
  <si>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</si>
  <si>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</si>
  <si>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</si>
  <si>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</si>
  <si>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</si>
  <si>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</si>
  <si>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</si>
  <si>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</si>
  <si>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</si>
  <si>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</si>
  <si>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</si>
  <si>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</si>
  <si>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</si>
  <si>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</si>
  <si>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</si>
  <si>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</si>
  <si>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</si>
  <si>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</si>
  <si>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</si>
  <si>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</si>
  <si>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</si>
  <si>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</si>
  <si>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</si>
  <si>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</si>
  <si>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</si>
  <si>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</si>
  <si>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</si>
  <si>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</si>
  <si>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</si>
  <si>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</si>
  <si>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</si>
  <si>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</si>
  <si>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</si>
  <si>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</si>
  <si>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</si>
  <si>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</si>
  <si>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</si>
  <si>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</si>
  <si>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</si>
  <si>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</si>
  <si>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</si>
  <si>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</si>
  <si>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</si>
  <si>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</si>
  <si>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</si>
  <si>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</si>
  <si>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</si>
  <si>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</si>
  <si>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</si>
  <si>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</si>
  <si>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</si>
  <si>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</si>
  <si>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</si>
  <si>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</si>
  <si>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</si>
  <si>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</si>
  <si>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</si>
  <si>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</si>
  <si>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</si>
  <si>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</si>
  <si>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</si>
  <si>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</si>
  <si>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</si>
  <si>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</si>
  <si>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</si>
  <si>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</si>
  <si>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</si>
  <si>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</si>
  <si>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</si>
  <si>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</si>
  <si>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</si>
  <si>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</si>
  <si>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</si>
  <si>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</si>
  <si>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</si>
  <si>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</si>
  <si>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</si>
  <si>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</si>
  <si>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</si>
  <si>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</si>
  <si>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</si>
  <si>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</si>
  <si>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</si>
  <si>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</si>
  <si>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</si>
  <si>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</si>
  <si>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</si>
  <si>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</si>
  <si>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</si>
  <si>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</si>
  <si>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</si>
  <si>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</si>
  <si>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</si>
  <si>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</si>
  <si>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</si>
  <si>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</si>
  <si>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</si>
  <si>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</si>
  <si>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</si>
  <si>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</si>
  <si>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</si>
  <si>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</si>
  <si>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</si>
  <si>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</si>
  <si>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</si>
  <si>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</si>
  <si>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</si>
  <si>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</si>
  <si>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</si>
  <si>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</si>
  <si>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</si>
  <si>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</si>
  <si>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</si>
  <si>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</si>
  <si>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</si>
  <si>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</si>
  <si>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</si>
  <si>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</si>
  <si>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</si>
  <si>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</si>
  <si>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</si>
  <si>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</si>
  <si>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</si>
  <si>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</si>
  <si>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</si>
  <si>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</si>
  <si>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</si>
  <si>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</si>
  <si>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</si>
  <si>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</si>
  <si>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</si>
  <si>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</si>
  <si>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</si>
  <si>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</si>
  <si>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</si>
  <si>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</si>
  <si>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</si>
  <si>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</si>
  <si>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</si>
  <si>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</si>
  <si>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</si>
  <si>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</si>
  <si>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</si>
  <si>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</si>
  <si>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</si>
  <si>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</si>
  <si>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</si>
  <si>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</si>
  <si>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</si>
  <si>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</si>
  <si>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</si>
  <si>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</si>
  <si>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</si>
  <si>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</si>
  <si>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</si>
  <si>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</si>
  <si>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</si>
  <si>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</si>
  <si>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</si>
  <si>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</si>
  <si>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</si>
  <si>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</si>
  <si>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</si>
  <si>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</si>
  <si>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</si>
  <si>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</si>
  <si>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</si>
  <si>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</si>
  <si>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</si>
  <si>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</si>
  <si>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</si>
  <si>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</si>
  <si>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</si>
  <si>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</si>
  <si>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</si>
  <si>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</si>
  <si>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</si>
  <si>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</si>
  <si>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</si>
  <si>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</si>
  <si>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</si>
  <si>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</si>
  <si>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</si>
  <si>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</si>
  <si>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</si>
  <si>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</si>
  <si>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</si>
  <si>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</si>
  <si>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</si>
  <si>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</si>
  <si>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</si>
  <si>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</si>
  <si>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</si>
  <si>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</si>
  <si>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</si>
  <si>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</si>
  <si>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</si>
  <si>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</si>
  <si>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</si>
  <si>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</si>
  <si>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</si>
  <si>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</si>
  <si>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</si>
  <si>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</si>
  <si>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</si>
  <si>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</si>
  <si>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</si>
  <si>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</si>
  <si>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</si>
  <si>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</si>
  <si>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</si>
  <si>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</si>
  <si>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</si>
  <si>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</si>
  <si>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</si>
  <si>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</si>
  <si>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</si>
  <si>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</si>
  <si>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</si>
  <si>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</si>
  <si>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</si>
  <si>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</si>
  <si>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</si>
  <si>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</si>
  <si>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</si>
  <si>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</si>
  <si>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</si>
  <si>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</si>
  <si>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</si>
  <si>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</si>
  <si>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</si>
  <si>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</si>
  <si>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</si>
  <si>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</si>
  <si>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</si>
  <si>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</si>
  <si>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</si>
  <si>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</si>
  <si>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</si>
  <si>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</si>
  <si>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</si>
  <si>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</si>
  <si>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</si>
  <si>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</si>
  <si>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</si>
  <si>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</si>
  <si>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</si>
  <si>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</si>
  <si>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</si>
  <si>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</si>
  <si>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</si>
  <si>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</si>
  <si>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</si>
  <si>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</si>
  <si>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</si>
  <si>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</si>
  <si>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</si>
  <si>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</si>
  <si>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</si>
  <si>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</si>
  <si>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</si>
  <si>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</si>
  <si>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</si>
  <si>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</si>
  <si>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</si>
  <si>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</si>
  <si>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</si>
  <si>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</si>
  <si>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</si>
  <si>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</si>
  <si>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</si>
  <si>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</si>
  <si>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</si>
  <si>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</si>
  <si>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</si>
  <si>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</si>
  <si>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</si>
  <si>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</si>
  <si>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</si>
  <si>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</si>
  <si>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</si>
  <si>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</si>
  <si>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</si>
  <si>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</si>
  <si>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</si>
  <si>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</si>
  <si>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</si>
  <si>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</si>
  <si>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</si>
  <si>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</si>
  <si>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</si>
  <si>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</si>
  <si>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</si>
  <si>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</si>
  <si>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</si>
  <si>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</si>
  <si>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</si>
  <si>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</si>
  <si>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</si>
  <si>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</si>
  <si>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</si>
  <si>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</si>
  <si>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</si>
  <si>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</si>
  <si>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</si>
  <si>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</si>
  <si>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</si>
  <si>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</si>
  <si>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</si>
  <si>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</si>
  <si>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</si>
  <si>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</si>
  <si>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</si>
  <si>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</si>
  <si>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</si>
  <si>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</si>
  <si>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</si>
  <si>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</si>
  <si>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</si>
  <si>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</si>
  <si>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</si>
  <si>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</si>
  <si>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</si>
  <si>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</si>
  <si>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</si>
  <si>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</si>
  <si>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</si>
  <si>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</si>
  <si>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</si>
  <si>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</si>
  <si>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</si>
  <si>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</si>
  <si>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</si>
  <si>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</si>
  <si>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</si>
  <si>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</si>
  <si>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</si>
  <si>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</si>
  <si>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</si>
  <si>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</si>
  <si>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</si>
  <si>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</si>
  <si>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</si>
  <si>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</si>
  <si>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</si>
  <si>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</si>
  <si>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</si>
  <si>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</si>
  <si>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</si>
  <si>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</si>
  <si>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</si>
  <si>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</si>
  <si>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</si>
  <si>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</si>
  <si>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</si>
  <si>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</si>
  <si>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</si>
  <si>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</si>
  <si>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</si>
  <si>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</si>
  <si>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</si>
  <si>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</si>
  <si>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</si>
  <si>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</si>
  <si>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</si>
  <si>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</si>
  <si>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</si>
  <si>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</si>
  <si>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</si>
  <si>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</si>
  <si>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</si>
  <si>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</si>
  <si>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</si>
  <si>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</si>
  <si>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</si>
  <si>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</si>
  <si>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</si>
  <si>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</si>
  <si>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</si>
  <si>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</si>
  <si>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</si>
  <si>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</si>
  <si>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</si>
  <si>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</si>
  <si>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</si>
  <si>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</si>
  <si>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</si>
  <si>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</si>
  <si>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</si>
  <si>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</si>
  <si>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</si>
  <si>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</si>
  <si>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</si>
  <si>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</si>
  <si>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</si>
  <si>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</si>
  <si>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</si>
  <si>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</si>
  <si>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</si>
  <si>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</si>
  <si>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</si>
  <si>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</si>
  <si>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</si>
  <si>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</si>
  <si>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</si>
  <si>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</si>
  <si>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</si>
  <si>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</si>
  <si>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</si>
  <si>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</si>
  <si>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</si>
  <si>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</si>
  <si>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</si>
  <si>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</si>
  <si>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</si>
  <si>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</si>
  <si>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</si>
  <si>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</si>
  <si>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</si>
  <si>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</si>
  <si>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</si>
  <si>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</si>
  <si>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</si>
  <si>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</si>
  <si>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</si>
  <si>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</si>
  <si>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</si>
  <si>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</si>
  <si>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</si>
  <si>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</si>
  <si>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</si>
  <si>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</si>
  <si>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</si>
  <si>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</si>
  <si>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</si>
  <si>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</si>
  <si>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</si>
  <si>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</si>
  <si>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</si>
  <si>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</si>
  <si>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</si>
  <si>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</si>
  <si>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</si>
  <si>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</si>
  <si>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</si>
  <si>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</si>
  <si>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</si>
  <si>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</si>
  <si>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</si>
  <si>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</si>
  <si>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</si>
  <si>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</si>
  <si>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</si>
  <si>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</si>
  <si>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</si>
  <si>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</si>
  <si>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</si>
  <si>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</si>
  <si>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</si>
  <si>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</si>
  <si>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</si>
  <si>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</si>
  <si>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</si>
  <si>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</si>
  <si>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</si>
  <si>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</si>
  <si>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</si>
  <si>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</si>
  <si>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</si>
  <si>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</si>
  <si>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</si>
  <si>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</si>
  <si>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</si>
  <si>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</si>
  <si>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</si>
  <si>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</si>
  <si>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</si>
  <si>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</si>
  <si>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</si>
  <si>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</si>
  <si>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</si>
  <si>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</si>
  <si>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</si>
  <si>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</si>
  <si>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</si>
  <si>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</si>
  <si>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</si>
  <si>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</si>
  <si>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</si>
  <si>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</si>
  <si>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</si>
  <si>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</si>
  <si>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</si>
  <si>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</si>
  <si>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</si>
  <si>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</si>
  <si>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</si>
  <si>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</si>
  <si>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</si>
  <si>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</si>
  <si>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</si>
  <si>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</si>
  <si>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</si>
  <si>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</si>
  <si>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</si>
  <si>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</si>
  <si>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</si>
  <si>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</si>
  <si>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</si>
  <si>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</si>
  <si>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</si>
  <si>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</si>
  <si>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</si>
  <si>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</si>
  <si>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</si>
  <si>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</si>
  <si>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</si>
  <si>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</si>
  <si>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</si>
  <si>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</si>
  <si>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</si>
  <si>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</si>
  <si>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</si>
  <si>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</si>
  <si>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</si>
  <si>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</si>
  <si>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</si>
  <si>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</si>
  <si>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</si>
  <si>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</si>
  <si>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</si>
  <si>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</si>
  <si>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</si>
  <si>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</si>
  <si>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</si>
  <si>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</si>
  <si>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</si>
  <si>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</si>
  <si>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</si>
  <si>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</si>
  <si>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</si>
  <si>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</si>
  <si>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</si>
  <si>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</si>
  <si>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</si>
  <si>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</si>
  <si>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</si>
  <si>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</si>
  <si>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</si>
  <si>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</si>
  <si>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</si>
  <si>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</si>
  <si>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</si>
  <si>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</si>
  <si>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</si>
  <si>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</si>
  <si>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</si>
  <si>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</si>
  <si>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</si>
  <si>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</si>
  <si>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</si>
  <si>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</si>
  <si>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</si>
  <si>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</si>
  <si>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</si>
  <si>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</si>
  <si>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</si>
  <si>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</si>
  <si>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</si>
  <si>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</si>
  <si>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</si>
  <si>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</si>
  <si>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</si>
  <si>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</si>
  <si>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</si>
  <si>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</si>
  <si>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</si>
  <si>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</si>
  <si>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</si>
  <si>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</si>
  <si>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</si>
  <si>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</si>
  <si>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</si>
  <si>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</si>
  <si>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</si>
  <si>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</si>
  <si>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</si>
  <si>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</si>
  <si>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</si>
  <si>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</si>
  <si>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</si>
  <si>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</si>
  <si>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</si>
  <si>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</si>
  <si>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</si>
  <si>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</si>
  <si>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</si>
  <si>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</si>
  <si>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</si>
  <si>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</si>
  <si>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</si>
  <si>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</si>
  <si>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</si>
  <si>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</si>
  <si>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</si>
  <si>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</si>
  <si>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</si>
  <si>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</si>
  <si>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</si>
  <si>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</si>
  <si>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</si>
  <si>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</si>
  <si>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</si>
  <si>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</si>
  <si>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</si>
  <si>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</si>
  <si>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</si>
  <si>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</si>
  <si>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</si>
  <si>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</si>
  <si>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</si>
  <si>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</si>
  <si>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</si>
  <si>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</si>
  <si>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</si>
  <si>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</si>
  <si>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</si>
  <si>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</si>
  <si>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</si>
  <si>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</si>
  <si>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</si>
  <si>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</si>
  <si>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</si>
  <si>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</si>
  <si>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</si>
  <si>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</si>
  <si>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</si>
  <si>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</si>
  <si>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</si>
  <si>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</si>
  <si>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</si>
  <si>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</si>
  <si>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</si>
  <si>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</si>
  <si>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</si>
  <si>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</si>
  <si>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</si>
  <si>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</si>
  <si>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</si>
  <si>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</si>
  <si>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</si>
  <si>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</si>
  <si>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</si>
  <si>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</si>
  <si>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</si>
  <si>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</si>
  <si>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</si>
  <si>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</si>
  <si>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</si>
  <si>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</si>
  <si>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</si>
  <si>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</si>
  <si>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</si>
  <si>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</si>
  <si>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</si>
  <si>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</si>
  <si>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</si>
  <si>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</si>
  <si>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</si>
  <si>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</si>
  <si>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</si>
  <si>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</si>
  <si>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</si>
  <si>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</si>
  <si>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</si>
  <si>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</si>
  <si>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</si>
  <si>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</si>
  <si>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</si>
  <si>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</si>
  <si>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</si>
  <si>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</si>
  <si>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</si>
  <si>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</si>
  <si>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</si>
  <si>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</si>
  <si>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</si>
  <si>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</si>
  <si>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</si>
  <si>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</si>
  <si>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</si>
  <si>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</si>
  <si>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</si>
  <si>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</si>
  <si>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</si>
  <si>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</si>
  <si>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</si>
  <si>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</si>
  <si>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</si>
  <si>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</si>
  <si>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</si>
  <si>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</si>
  <si>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</si>
  <si>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</si>
  <si>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</si>
  <si>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</si>
  <si>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</si>
  <si>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</si>
  <si>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</si>
  <si>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</si>
  <si>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</si>
  <si>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</si>
  <si>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</si>
  <si>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</si>
  <si>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</si>
  <si>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</si>
  <si>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</si>
  <si>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</si>
  <si>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</si>
  <si>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</si>
  <si>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</si>
  <si>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</si>
  <si>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</si>
  <si>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</si>
  <si>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</si>
  <si>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</si>
  <si>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</si>
  <si>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</si>
  <si>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</si>
  <si>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</si>
  <si>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</si>
  <si>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</si>
  <si>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</si>
  <si>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</si>
  <si>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</si>
  <si>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</si>
  <si>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</si>
  <si>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</si>
  <si>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</si>
  <si>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</si>
  <si>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</si>
  <si>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</si>
  <si>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</si>
  <si>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</si>
  <si>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</si>
  <si>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</si>
  <si>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</si>
  <si>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</si>
  <si>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</si>
  <si>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</si>
  <si>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</si>
  <si>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</si>
  <si>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</si>
  <si>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</si>
  <si>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</si>
  <si>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</si>
  <si>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</si>
  <si>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</si>
  <si>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</si>
  <si>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</si>
  <si>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</si>
  <si>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</si>
  <si>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</si>
  <si>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</si>
  <si>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</si>
  <si>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</si>
  <si>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</si>
  <si>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</si>
  <si>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</si>
  <si>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</si>
  <si>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</si>
  <si>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</si>
  <si>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</si>
  <si>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</si>
  <si>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</si>
  <si>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</si>
  <si>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</si>
  <si>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</si>
  <si>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</si>
  <si>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</si>
  <si>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</si>
  <si>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</si>
  <si>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</si>
  <si>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</si>
  <si>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</si>
  <si>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</si>
  <si>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</si>
  <si>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</si>
  <si>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</si>
  <si>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</si>
  <si>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</si>
  <si>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</si>
  <si>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</si>
  <si>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</si>
  <si>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</si>
  <si>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</si>
  <si>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</si>
  <si>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</si>
  <si>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</si>
  <si>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</si>
  <si>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</si>
  <si>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</si>
  <si>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</si>
  <si>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</si>
  <si>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</si>
  <si>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</si>
  <si>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</si>
  <si>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</si>
  <si>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</si>
  <si>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</si>
  <si>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</si>
  <si>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</si>
  <si>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</si>
  <si>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</si>
  <si>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</si>
  <si>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</si>
  <si>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</si>
  <si>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</si>
  <si>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</si>
  <si>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</si>
  <si>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</si>
  <si>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</si>
  <si>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</si>
  <si>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</si>
  <si>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</si>
  <si>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</si>
  <si>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</si>
  <si>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</si>
  <si>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</si>
  <si>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</si>
  <si>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</si>
  <si>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</si>
  <si>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</si>
  <si>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</si>
  <si>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</si>
  <si>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</si>
  <si>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</si>
  <si>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</si>
  <si>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</si>
  <si>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</si>
  <si>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</si>
  <si>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</si>
  <si>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</si>
  <si>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</si>
  <si>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</si>
  <si>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</si>
  <si>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</si>
  <si>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</si>
  <si>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</si>
  <si>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</si>
  <si>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</si>
  <si>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</si>
  <si>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</si>
  <si>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</si>
  <si>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</si>
  <si>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</si>
  <si>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</si>
  <si>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</si>
  <si>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</si>
  <si>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</si>
  <si>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</si>
  <si>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</si>
  <si>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</si>
  <si>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</si>
  <si>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</si>
  <si>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</si>
  <si>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</si>
  <si>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</si>
  <si>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</si>
  <si>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</si>
  <si>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</si>
  <si>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</si>
  <si>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</si>
  <si>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</si>
  <si>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</si>
  <si>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</si>
  <si>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</si>
  <si>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</si>
  <si>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</si>
  <si>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</si>
  <si>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</si>
  <si>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</si>
  <si>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</si>
  <si>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</si>
  <si>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</si>
  <si>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</si>
  <si>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</si>
  <si>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</si>
  <si>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</si>
  <si>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</si>
  <si>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</si>
  <si>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</si>
  <si>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</si>
  <si>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</si>
  <si>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</si>
  <si>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</si>
  <si>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</si>
  <si>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</si>
  <si>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</si>
  <si>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</si>
  <si>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</si>
  <si>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</si>
  <si>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</si>
  <si>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</si>
  <si>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</si>
  <si>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</si>
  <si>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</si>
  <si>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</si>
  <si>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</si>
  <si>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</si>
  <si>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</si>
  <si>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</si>
  <si>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</si>
  <si>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</si>
  <si>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</si>
  <si>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</si>
  <si>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</si>
  <si>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</si>
  <si>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</si>
  <si>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</si>
  <si>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</si>
  <si>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</si>
  <si>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</si>
  <si>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</si>
  <si>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</si>
  <si>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</si>
  <si>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</si>
  <si>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</si>
  <si>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</si>
  <si>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</si>
  <si>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</si>
  <si>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</si>
  <si>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</si>
  <si>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</si>
  <si>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</si>
  <si>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</si>
  <si>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</si>
  <si>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</si>
  <si>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</si>
  <si>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</si>
  <si>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</si>
  <si>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</si>
  <si>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</si>
  <si>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</si>
  <si>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</si>
  <si>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</si>
  <si>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</si>
  <si>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</si>
  <si>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</si>
  <si>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</si>
  <si>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</si>
  <si>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</si>
  <si>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</si>
  <si>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</si>
  <si>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</si>
  <si>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</si>
  <si>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</si>
  <si>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</si>
  <si>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</si>
  <si>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</si>
  <si>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</si>
  <si>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</si>
  <si>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</si>
  <si>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</si>
  <si>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</si>
  <si>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</si>
  <si>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</si>
  <si>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</si>
  <si>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</si>
  <si>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</si>
  <si>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</si>
  <si>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</si>
  <si>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</si>
  <si>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</si>
  <si>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</si>
  <si>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</si>
  <si>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</si>
  <si>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</si>
  <si>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</si>
  <si>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</si>
  <si>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</si>
  <si>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</si>
  <si>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</si>
  <si>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</si>
  <si>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</si>
  <si>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</si>
  <si>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</si>
  <si>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</si>
  <si>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</si>
  <si>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</si>
  <si>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</si>
  <si>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</si>
  <si>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</si>
  <si>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</si>
  <si>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</si>
  <si>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</si>
  <si>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</si>
  <si>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</si>
  <si>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</si>
  <si>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</si>
  <si>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</si>
  <si>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</si>
  <si>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</si>
  <si>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</si>
  <si>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</si>
  <si>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</si>
  <si>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</si>
  <si>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</si>
  <si>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</si>
  <si>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</si>
  <si>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</si>
  <si>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</si>
  <si>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</si>
  <si>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</si>
  <si>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</si>
  <si>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</si>
  <si>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</si>
  <si>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</si>
  <si>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</si>
  <si>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</si>
  <si>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</si>
  <si>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</si>
  <si>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</si>
  <si>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</si>
  <si>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</si>
  <si>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</si>
  <si>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</si>
  <si>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</si>
  <si>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</si>
  <si>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</si>
  <si>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</si>
  <si>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</si>
  <si>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</si>
  <si>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</si>
  <si>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</si>
  <si>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</si>
  <si>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</si>
  <si>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</si>
  <si>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</si>
  <si>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</si>
  <si>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</si>
  <si>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</si>
  <si>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</si>
  <si>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</si>
  <si>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</si>
  <si>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</si>
  <si>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</si>
  <si>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</si>
  <si>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</si>
  <si>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</si>
  <si>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</si>
  <si>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</si>
  <si>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</si>
  <si>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</si>
  <si>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</si>
  <si>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</si>
  <si>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</si>
  <si>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</si>
  <si>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</si>
  <si>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</si>
  <si>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</si>
  <si>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</si>
  <si>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</si>
  <si>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</si>
  <si>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</si>
  <si>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</si>
  <si>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</si>
  <si>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</si>
  <si>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</si>
  <si>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</si>
  <si>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</si>
  <si>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</si>
  <si>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</si>
  <si>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</si>
  <si>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</si>
  <si>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</si>
  <si>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</si>
  <si>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</si>
  <si>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</si>
  <si>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</si>
  <si>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</si>
  <si>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</si>
  <si>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</si>
  <si>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</si>
  <si>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</si>
  <si>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</si>
  <si>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</si>
  <si>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</si>
  <si>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</si>
  <si>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</si>
  <si>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</si>
  <si>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</si>
  <si>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</si>
  <si>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</si>
  <si>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</si>
  <si>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</si>
  <si>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</si>
  <si>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</si>
  <si>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</si>
  <si>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</si>
  <si>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</si>
  <si>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</si>
  <si>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</si>
  <si>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</si>
  <si>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</si>
  <si>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</si>
  <si>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</si>
  <si>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</si>
  <si>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</si>
  <si>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</si>
  <si>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</si>
  <si>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</si>
  <si>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</si>
  <si>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</si>
  <si>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</si>
  <si>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</si>
  <si>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</si>
  <si>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</si>
  <si>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</si>
  <si>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</si>
  <si>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</si>
  <si>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</si>
  <si>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</si>
  <si>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</si>
  <si>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</si>
  <si>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</si>
  <si>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</si>
  <si>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</si>
  <si>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</si>
  <si>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</si>
  <si>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</si>
  <si>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</si>
  <si>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</si>
  <si>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</si>
  <si>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</si>
  <si>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</si>
  <si>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</si>
  <si>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</si>
  <si>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</si>
  <si>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</si>
  <si>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</si>
  <si>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</si>
  <si>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</si>
  <si>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</si>
  <si>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</si>
  <si>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</si>
  <si>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</si>
  <si>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</si>
  <si>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</si>
  <si>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</si>
  <si>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</si>
  <si>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</si>
  <si>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</si>
  <si>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</si>
  <si>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</si>
  <si>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</si>
  <si>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</si>
  <si>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</si>
  <si>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</si>
  <si>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</si>
  <si>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</si>
  <si>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</si>
  <si>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</si>
  <si>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</si>
  <si>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</si>
  <si>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</si>
  <si>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</si>
  <si>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</si>
  <si>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</si>
  <si>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</si>
  <si>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</si>
  <si>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</si>
  <si>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</si>
  <si>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</si>
  <si>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</si>
  <si>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</si>
  <si>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</si>
  <si>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</si>
  <si>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</si>
  <si>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</si>
  <si>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</si>
  <si>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</si>
  <si>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</si>
  <si>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</si>
  <si>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</si>
  <si>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</si>
  <si>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</si>
  <si>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</si>
  <si>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</si>
  <si>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</si>
  <si>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</si>
  <si>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</si>
  <si>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</si>
  <si>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</si>
  <si>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</si>
  <si>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</si>
  <si>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</si>
  <si>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</si>
  <si>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</si>
  <si>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</si>
  <si>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</si>
  <si>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</si>
  <si>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</si>
  <si>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</si>
  <si>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</si>
  <si>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</si>
  <si>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</si>
  <si>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</si>
  <si>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</si>
  <si>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</si>
  <si>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</si>
  <si>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</si>
  <si>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</si>
  <si>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</si>
  <si>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</si>
  <si>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</si>
  <si>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</si>
  <si>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</si>
  <si>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</si>
  <si>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</si>
  <si>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</si>
  <si>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</si>
  <si>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</si>
  <si>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</si>
  <si>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</si>
  <si>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</si>
  <si>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</si>
  <si>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</si>
  <si>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</si>
  <si>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</si>
  <si>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</si>
  <si>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</si>
  <si>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</si>
  <si>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</si>
  <si>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</si>
  <si>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</si>
  <si>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</si>
  <si>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</si>
  <si>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</si>
  <si>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</si>
  <si>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</si>
  <si>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</si>
  <si>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</si>
  <si>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</si>
  <si>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</si>
  <si>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</si>
  <si>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</si>
  <si>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</si>
  <si>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</si>
  <si>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</si>
  <si>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</si>
  <si>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</si>
  <si>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</si>
  <si>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</si>
  <si>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</si>
  <si>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</si>
  <si>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</si>
  <si>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</si>
  <si>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</si>
  <si>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</si>
  <si>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</si>
  <si>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</si>
  <si>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</si>
  <si>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</si>
  <si>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</si>
  <si>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</si>
  <si>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</si>
  <si>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</si>
  <si>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</si>
  <si>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</si>
  <si>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</si>
  <si>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</si>
  <si>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</si>
  <si>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</si>
  <si>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</si>
  <si>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</si>
  <si>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</si>
  <si>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</si>
  <si>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</si>
  <si>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</si>
  <si>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</si>
  <si>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</si>
  <si>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</si>
  <si>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</si>
  <si>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</si>
  <si>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</si>
  <si>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</si>
  <si>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</si>
  <si>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</si>
  <si>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</si>
  <si>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</si>
  <si>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</si>
  <si>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</si>
  <si>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</si>
  <si>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</si>
  <si>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</si>
  <si>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</si>
  <si>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</si>
  <si>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</si>
  <si>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</si>
  <si>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</si>
  <si>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</si>
  <si>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</si>
  <si>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</si>
  <si>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</si>
  <si>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</si>
  <si>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</si>
  <si>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</si>
  <si>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</si>
  <si>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</si>
  <si>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</si>
  <si>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</si>
  <si>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</si>
  <si>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</si>
  <si>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</si>
  <si>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</si>
  <si>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</si>
  <si>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</si>
  <si>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</si>
  <si>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</si>
  <si>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</si>
  <si>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</si>
  <si>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</si>
  <si>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</si>
  <si>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</si>
  <si>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</si>
  <si>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</si>
  <si>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</si>
  <si>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</si>
  <si>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</si>
  <si>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</si>
  <si>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</si>
  <si>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</si>
  <si>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</si>
  <si>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</si>
  <si>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</si>
  <si>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</si>
  <si>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</si>
  <si>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</si>
  <si>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</si>
  <si>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</si>
  <si>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</si>
  <si>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</si>
  <si>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</si>
  <si>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</si>
  <si>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</si>
  <si>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</si>
  <si>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</si>
  <si>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</si>
  <si>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</si>
  <si>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</si>
  <si>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</si>
  <si>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</si>
  <si>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</si>
  <si>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</si>
  <si>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</si>
  <si>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</si>
  <si>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</si>
  <si>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</si>
  <si>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</si>
  <si>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</si>
  <si>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</si>
  <si>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</si>
  <si>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</si>
  <si>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</si>
  <si>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</si>
  <si>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</si>
  <si>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</si>
  <si>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</si>
  <si>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</si>
  <si>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</si>
  <si>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</si>
  <si>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</si>
  <si>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</si>
  <si>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</si>
  <si>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</si>
  <si>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</si>
  <si>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</si>
  <si>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</si>
  <si>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</si>
  <si>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</si>
  <si>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</si>
  <si>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</si>
  <si>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</si>
  <si>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</si>
  <si>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</si>
  <si>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</si>
  <si>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</si>
  <si>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</si>
  <si>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</si>
  <si>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</si>
  <si>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</si>
  <si>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</si>
  <si>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</si>
  <si>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</si>
  <si>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</si>
  <si>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</si>
  <si>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</si>
  <si>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</si>
  <si>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</si>
  <si>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</si>
  <si>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</si>
  <si>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</si>
  <si>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</si>
  <si>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</si>
  <si>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</si>
  <si>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</si>
  <si>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</si>
  <si>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</si>
  <si>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</si>
  <si>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</si>
  <si>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</si>
  <si>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</si>
  <si>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</si>
  <si>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</si>
  <si>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</si>
  <si>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</si>
  <si>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</si>
  <si>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</si>
  <si>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</si>
  <si>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</si>
  <si>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</si>
  <si>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</si>
  <si>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</si>
  <si>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</si>
  <si>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</si>
  <si>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</si>
  <si>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</si>
  <si>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</si>
  <si>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</si>
  <si>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</si>
  <si>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</si>
  <si>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</si>
  <si>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</si>
  <si>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</si>
  <si>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</si>
  <si>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</si>
  <si>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</si>
  <si>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</si>
  <si>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</si>
  <si>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</si>
  <si>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</si>
  <si>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</si>
  <si>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</si>
  <si>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</si>
  <si>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</si>
  <si>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</si>
  <si>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</si>
  <si>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</si>
  <si>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</si>
  <si>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</si>
  <si>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</si>
  <si>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</si>
  <si>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</si>
  <si>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</si>
  <si>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</si>
  <si>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</si>
  <si>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</si>
  <si>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</si>
  <si>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</si>
  <si>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</si>
  <si>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</si>
  <si>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</si>
  <si>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</si>
  <si>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</si>
  <si>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</si>
  <si>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</si>
  <si>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</si>
  <si>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</si>
  <si>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</si>
  <si>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</si>
  <si>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</si>
  <si>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</si>
  <si>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</si>
  <si>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</si>
  <si>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</si>
  <si>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</si>
  <si>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</si>
  <si>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</si>
  <si>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</si>
  <si>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</si>
  <si>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</si>
  <si>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</si>
  <si>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</si>
  <si>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</si>
  <si>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</si>
  <si>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</si>
  <si>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</si>
  <si>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</si>
  <si>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</si>
  <si>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</si>
  <si>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</si>
  <si>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</si>
  <si>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</si>
  <si>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</si>
  <si>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</si>
  <si>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</si>
  <si>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</si>
  <si>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</si>
  <si>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</si>
  <si>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</si>
  <si>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</si>
  <si>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</si>
  <si>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</si>
  <si>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</si>
  <si>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</si>
  <si>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</si>
  <si>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</si>
  <si>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</si>
  <si>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</si>
  <si>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</si>
  <si>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</si>
  <si>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</si>
  <si>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</si>
  <si>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</si>
  <si>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</si>
  <si>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</si>
  <si>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</si>
  <si>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</si>
  <si>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</si>
  <si>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</si>
  <si>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</si>
  <si>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</si>
  <si>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</si>
  <si>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</si>
  <si>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</si>
  <si>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</si>
  <si>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</si>
  <si>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</si>
  <si>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</si>
  <si>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</si>
  <si>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</si>
  <si>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</si>
  <si>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</si>
  <si>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</si>
  <si>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</si>
  <si>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</si>
  <si>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</si>
  <si>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</si>
  <si>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</si>
  <si>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</si>
  <si>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</si>
  <si>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</si>
  <si>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</si>
  <si>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</si>
  <si>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</si>
  <si>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</si>
  <si>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</si>
  <si>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</si>
  <si>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</si>
  <si>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</si>
  <si>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</si>
  <si>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</si>
  <si>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</si>
  <si>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</si>
  <si>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</si>
  <si>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</si>
  <si>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</si>
  <si>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</si>
  <si>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</si>
  <si>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</si>
  <si>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</si>
  <si>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</si>
  <si>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</si>
  <si>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</si>
  <si>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</si>
  <si>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</si>
  <si>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</si>
  <si>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</si>
  <si>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</si>
  <si>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</si>
  <si>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</si>
  <si>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</si>
  <si>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</si>
  <si>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</si>
  <si>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</si>
  <si>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</si>
  <si>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</si>
  <si>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</si>
  <si>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</si>
  <si>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</si>
  <si>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</si>
  <si>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</si>
  <si>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</si>
  <si>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</si>
  <si>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</si>
  <si>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</si>
  <si>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</si>
  <si>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</si>
  <si>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</si>
  <si>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</si>
  <si>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</si>
  <si>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</si>
  <si>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</si>
  <si>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</si>
  <si>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</si>
  <si>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</si>
  <si>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</si>
  <si>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</si>
  <si>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</si>
  <si>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</si>
  <si>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</si>
  <si>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</si>
  <si>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</si>
  <si>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</si>
  <si>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</si>
  <si>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</si>
  <si>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</si>
  <si>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</si>
  <si>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</si>
  <si>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</si>
  <si>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</si>
  <si>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</si>
  <si>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</si>
  <si>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</si>
  <si>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</si>
  <si>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</si>
  <si>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</si>
  <si>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</si>
  <si>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</si>
  <si>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</si>
  <si>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</si>
  <si>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</si>
  <si>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</si>
  <si>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</si>
  <si>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</si>
  <si>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</si>
  <si>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</si>
  <si>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</si>
  <si>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</si>
  <si>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</si>
  <si>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</si>
  <si>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</si>
  <si>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</si>
  <si>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</si>
  <si>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</si>
  <si>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</si>
  <si>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</si>
  <si>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</si>
  <si>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</si>
  <si>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</si>
  <si>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</si>
  <si>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</si>
  <si>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</si>
  <si>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</si>
  <si>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</si>
  <si>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</si>
  <si>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</si>
  <si>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</si>
  <si>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</si>
  <si>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</si>
  <si>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</si>
  <si>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</si>
  <si>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</si>
  <si>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</si>
  <si>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</si>
  <si>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</si>
  <si>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</si>
  <si>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</si>
  <si>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</si>
  <si>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</si>
  <si>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</si>
  <si>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</si>
  <si>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</si>
  <si>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</si>
  <si>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</si>
  <si>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</si>
  <si>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</si>
  <si>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</si>
  <si>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</si>
  <si>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</si>
  <si>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</si>
  <si>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</si>
  <si>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</si>
  <si>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</si>
  <si>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</si>
  <si>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</si>
  <si>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</si>
  <si>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</si>
  <si>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</si>
  <si>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</si>
  <si>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</si>
  <si>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</si>
  <si>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</si>
  <si>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</si>
  <si>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</si>
  <si>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</si>
  <si>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</si>
  <si>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</si>
  <si>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</si>
  <si>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</si>
  <si>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</si>
  <si>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</si>
  <si>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</si>
  <si>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</si>
  <si>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</si>
  <si>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</si>
  <si>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</si>
  <si>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</si>
  <si>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</si>
  <si>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</si>
  <si>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</si>
  <si>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</si>
  <si>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</si>
  <si>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</si>
  <si>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</si>
  <si>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</si>
  <si>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</si>
  <si>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</si>
  <si>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</si>
  <si>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</si>
  <si>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</si>
  <si>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</si>
  <si>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</si>
  <si>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</si>
  <si>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</si>
  <si>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</si>
  <si>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7414 Cass Avenue</t>
  </si>
  <si>
    <t>Darien</t>
  </si>
  <si>
    <t>Lauterbach &amp; Amen, LLP</t>
  </si>
  <si>
    <t>Don Shaw</t>
  </si>
  <si>
    <t>668 N. River Road</t>
  </si>
  <si>
    <t>Naperville</t>
  </si>
  <si>
    <t>IL</t>
  </si>
  <si>
    <t>630-393-1483</t>
  </si>
  <si>
    <t>dshaw@lauterbachamen.com</t>
  </si>
  <si>
    <t>DuPage County</t>
  </si>
  <si>
    <t>Dr. Robert M. Carlo</t>
  </si>
  <si>
    <t>rcarlo@darien61.org</t>
  </si>
  <si>
    <t>(630) 968-0872</t>
  </si>
  <si>
    <t>(630)-968-7505</t>
  </si>
  <si>
    <t>x</t>
  </si>
  <si>
    <t>Series 2015</t>
  </si>
  <si>
    <t>3,6</t>
  </si>
  <si>
    <t>Transportation - Pupil Services</t>
  </si>
  <si>
    <t>ED-Board of Education - Insurance</t>
  </si>
  <si>
    <t>ED-Food Service General Supplies</t>
  </si>
  <si>
    <t>Operation- Maintenance - Purchases</t>
  </si>
  <si>
    <t>Operation - Maintenance Electricity</t>
  </si>
  <si>
    <t>ED-Textbooks</t>
  </si>
  <si>
    <t>Operation - Maintenance Purchase Services</t>
  </si>
  <si>
    <t>Transportation Service Gasoline</t>
  </si>
  <si>
    <t>Misc. Supplies / Workbooks</t>
  </si>
  <si>
    <t>Operation Maintenance Service</t>
  </si>
  <si>
    <t>ED-Computer Addeidted Instruction</t>
  </si>
  <si>
    <t>GRAND PRAIRIE TRANSIT WS</t>
  </si>
  <si>
    <t>CONSTELLATION NEWENERGY, INC</t>
  </si>
  <si>
    <t>CLIC</t>
  </si>
  <si>
    <t>GORDON FOOD SERVICE</t>
  </si>
  <si>
    <t>WESTSIDE MECHANICAL, LLC</t>
  </si>
  <si>
    <t>TCI</t>
  </si>
  <si>
    <t>COMCAST</t>
  </si>
  <si>
    <t>AL WARREN OIL CO., INC</t>
  </si>
  <si>
    <t>MCGRAW-HILL SCHOOL EDUCATION HOLDING</t>
  </si>
  <si>
    <t>HEINEMANN</t>
  </si>
  <si>
    <t>UNITE PRIVATE NETWORKS</t>
  </si>
  <si>
    <t>CLOVERLEAF FARMS DISTRIBUTORS, INC</t>
  </si>
  <si>
    <t>KONICA MINOLTA</t>
  </si>
  <si>
    <t>(630) 393-2516</t>
  </si>
  <si>
    <t>065-037815</t>
  </si>
  <si>
    <t>N/A</t>
  </si>
  <si>
    <t>LADSE</t>
  </si>
  <si>
    <t>7/1/17-6/30/18</t>
  </si>
  <si>
    <t>7/1/18-6/30/19</t>
  </si>
  <si>
    <t>Child Nutrition Cluster</t>
  </si>
  <si>
    <t>US Department of Agriculture</t>
  </si>
  <si>
    <t>Illinois State Board of Education</t>
  </si>
  <si>
    <t>2019-4220</t>
  </si>
  <si>
    <t>2020-4220</t>
  </si>
  <si>
    <t>2019-4210</t>
  </si>
  <si>
    <t>2020-4210</t>
  </si>
  <si>
    <t>Commodities (Non-Cash)</t>
  </si>
  <si>
    <t>Commodities - DoD F&amp;V (Non-Cash)</t>
  </si>
  <si>
    <t>2020-4225</t>
  </si>
  <si>
    <t>Total US Department of Agriculture</t>
  </si>
  <si>
    <t>Total Child Nutrition Cluster</t>
  </si>
  <si>
    <t>Special Education (IDEA) Cluster</t>
  </si>
  <si>
    <t>Department of Education</t>
  </si>
  <si>
    <t>School Associations for Special Education in DuPage County</t>
  </si>
  <si>
    <t>Special Education - Grants to States (IDEA Flow Through)</t>
  </si>
  <si>
    <t>2019-4620</t>
  </si>
  <si>
    <t>IDEA Room &amp; Board</t>
  </si>
  <si>
    <t>2020-4625</t>
  </si>
  <si>
    <t>Special Education - Preschool Grants (IDEA Preschool)</t>
  </si>
  <si>
    <t>2020-4600</t>
  </si>
  <si>
    <t>Total Department of Education</t>
  </si>
  <si>
    <t>Total Special Education (IDEA) Cluster</t>
  </si>
  <si>
    <t>Other Programs</t>
  </si>
  <si>
    <t>2019-4300</t>
  </si>
  <si>
    <t>2020-4300</t>
  </si>
  <si>
    <t>Title I - School Improvement</t>
  </si>
  <si>
    <t>2019-4331</t>
  </si>
  <si>
    <t>2019-4932</t>
  </si>
  <si>
    <t>2020-4932</t>
  </si>
  <si>
    <t>2019-4905</t>
  </si>
  <si>
    <t>Title III - Lang Inst Prog-Limited Eng LIPLEP</t>
  </si>
  <si>
    <t>2019-4909</t>
  </si>
  <si>
    <t>2020-4909</t>
  </si>
  <si>
    <t>Title IVa - Student Support and Academic Enrichment</t>
  </si>
  <si>
    <t>84.424A</t>
  </si>
  <si>
    <t>2019-4400</t>
  </si>
  <si>
    <t>2020-4400</t>
  </si>
  <si>
    <t>COVID-19 - Educaiton Stabilization Fund</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</si>
  <si>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</si>
  <si>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</si>
  <si>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</si>
  <si>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</si>
  <si>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</si>
  <si>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</si>
  <si>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2020-4454</t>
  </si>
  <si>
    <r>
      <t xml:space="preserve">The accompanying Schedule of Expenditures of Federal Awards includes the federal grant activity of </t>
    </r>
    <r>
      <rPr>
        <b/>
        <sz val="9"/>
        <rFont val="Calibri"/>
        <family val="2"/>
        <scheme val="minor"/>
      </rPr>
      <t>Darien Public School District 61</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</si>
  <si>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Darien Public School District 61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</si>
  <si>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Darien Public School District 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</si>
  <si>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</si>
  <si>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84.027/84.173</t>
  </si>
  <si>
    <t xml:space="preserve">  Darien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</si>
</sst>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1" xr:uid="{D01F5831-DC03-4F94-BAD6-EAC7E54AEB3C}"/>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ingle%20Audit%20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2">
        <f>+'AFR20'!E4</f>
        <v>44119</v>
      </c>
      <c r="C1" s="2132"/>
      <c r="D1" s="2133"/>
      <c r="I1" s="2091" t="s">
        <v>402</v>
      </c>
      <c r="J1" s="2092"/>
      <c r="K1" s="2092"/>
      <c r="L1" s="2092"/>
      <c r="M1" s="2092"/>
      <c r="N1" s="2092"/>
      <c r="O1" s="2092"/>
      <c r="P1" s="2092"/>
      <c r="Q1" s="2092"/>
      <c r="R1" s="2092"/>
      <c r="S1" s="2092"/>
    </row>
    <row r="2" spans="1:32" ht="12" customHeight="1" x14ac:dyDescent="0.2">
      <c r="A2" s="1762" t="str">
        <f>"Due to ISBE on "</f>
        <v xml:space="preserve">Due to ISBE on </v>
      </c>
      <c r="B2" s="2134">
        <f>+'AFR20'!F4</f>
        <v>44151</v>
      </c>
      <c r="C2" s="2134"/>
      <c r="D2" s="2135"/>
      <c r="I2" s="2093" t="s">
        <v>2000</v>
      </c>
      <c r="J2" s="2092"/>
      <c r="K2" s="2092"/>
      <c r="L2" s="2092"/>
      <c r="M2" s="2092"/>
      <c r="N2" s="2092"/>
      <c r="O2" s="2092"/>
      <c r="P2" s="2092"/>
      <c r="Q2" s="2092"/>
      <c r="R2" s="2092"/>
      <c r="S2" s="2092"/>
    </row>
    <row r="3" spans="1:32" ht="12" customHeight="1" x14ac:dyDescent="0.2">
      <c r="A3" s="1765" t="str">
        <f>"SD/JA"&amp;MID('AFR20'!E2,3,2)</f>
        <v>SD/JA20</v>
      </c>
      <c r="B3" s="151"/>
      <c r="C3" s="151"/>
      <c r="D3" s="152"/>
      <c r="I3" s="2093" t="s">
        <v>52</v>
      </c>
      <c r="J3" s="2092"/>
      <c r="K3" s="2092"/>
      <c r="L3" s="2092"/>
      <c r="M3" s="2092"/>
      <c r="N3" s="2092"/>
      <c r="O3" s="2092"/>
      <c r="P3" s="2092"/>
      <c r="Q3" s="2092"/>
      <c r="R3" s="2092"/>
      <c r="S3" s="2092"/>
    </row>
    <row r="4" spans="1:32" ht="12" customHeight="1" x14ac:dyDescent="0.2">
      <c r="A4" s="37"/>
      <c r="I4" s="2093" t="s">
        <v>521</v>
      </c>
      <c r="J4" s="2092"/>
      <c r="K4" s="2092"/>
      <c r="L4" s="2092"/>
      <c r="M4" s="2092"/>
      <c r="N4" s="2092"/>
      <c r="O4" s="2092"/>
      <c r="P4" s="2092"/>
      <c r="Q4" s="2092"/>
      <c r="R4" s="2092"/>
      <c r="S4" s="2092"/>
    </row>
    <row r="5" spans="1:32" ht="14.1" customHeight="1" x14ac:dyDescent="0.2">
      <c r="B5" s="101" t="s">
        <v>2048</v>
      </c>
      <c r="C5" s="26" t="s">
        <v>904</v>
      </c>
      <c r="D5" s="81"/>
      <c r="E5" s="81"/>
      <c r="H5" s="38"/>
      <c r="I5" s="2101" t="s">
        <v>675</v>
      </c>
      <c r="J5" s="2100"/>
      <c r="K5" s="2100"/>
      <c r="L5" s="2100"/>
      <c r="M5" s="2100"/>
      <c r="N5" s="2100"/>
      <c r="O5" s="2100"/>
      <c r="P5" s="2100"/>
      <c r="Q5" s="2100"/>
      <c r="R5" s="2100"/>
      <c r="S5" s="2100"/>
      <c r="AF5" s="1758"/>
    </row>
    <row r="6" spans="1:32" ht="14.1" customHeight="1" x14ac:dyDescent="0.2">
      <c r="B6" s="101"/>
      <c r="C6" s="26" t="s">
        <v>905</v>
      </c>
      <c r="D6" s="81"/>
      <c r="E6" s="81"/>
      <c r="I6" s="2099" t="s">
        <v>877</v>
      </c>
      <c r="J6" s="2100"/>
      <c r="K6" s="2100"/>
      <c r="L6" s="2100"/>
      <c r="M6" s="2100"/>
      <c r="N6" s="2100"/>
      <c r="O6" s="2100"/>
      <c r="P6" s="2100"/>
      <c r="Q6" s="2100"/>
      <c r="R6" s="2100"/>
      <c r="S6" s="2100"/>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669</v>
      </c>
      <c r="J9" s="2097"/>
      <c r="K9" s="2097"/>
      <c r="L9" s="2097"/>
      <c r="M9" s="2097"/>
      <c r="N9" s="2097"/>
      <c r="O9" s="2097"/>
      <c r="P9" s="2097"/>
      <c r="Q9" s="2097"/>
      <c r="R9" s="2097"/>
      <c r="S9" s="2098"/>
      <c r="T9" s="2149" t="s">
        <v>530</v>
      </c>
      <c r="U9" s="2150"/>
      <c r="V9" s="2150"/>
      <c r="W9" s="2150"/>
      <c r="X9" s="2150"/>
      <c r="Y9" s="2150"/>
      <c r="Z9" s="2150"/>
      <c r="AA9" s="2151"/>
    </row>
    <row r="10" spans="1:32" ht="13.5" customHeight="1" x14ac:dyDescent="0.2">
      <c r="A10" s="2156" t="s">
        <v>670</v>
      </c>
      <c r="B10" s="2157"/>
      <c r="C10" s="2157"/>
      <c r="D10" s="2157"/>
      <c r="E10" s="2157"/>
      <c r="F10" s="2157"/>
      <c r="G10" s="2157"/>
      <c r="H10" s="2158"/>
      <c r="I10" s="29"/>
      <c r="J10" s="30"/>
      <c r="K10" s="28"/>
      <c r="R10" s="30"/>
      <c r="S10" s="30"/>
      <c r="T10" s="2152"/>
      <c r="U10" s="2100"/>
      <c r="V10" s="2100"/>
      <c r="W10" s="2100"/>
      <c r="X10" s="2100"/>
      <c r="Y10" s="2100"/>
      <c r="Z10" s="2100"/>
      <c r="AA10" s="2106"/>
    </row>
    <row r="11" spans="1:32" ht="14.25" customHeight="1" x14ac:dyDescent="0.2">
      <c r="A11" s="2159" t="s">
        <v>949</v>
      </c>
      <c r="B11" s="2160"/>
      <c r="C11" s="2160"/>
      <c r="D11" s="2160"/>
      <c r="E11" s="2160"/>
      <c r="F11" s="2160"/>
      <c r="G11" s="2160"/>
      <c r="H11" s="2161"/>
      <c r="I11" s="27"/>
      <c r="J11" s="71"/>
      <c r="K11" s="27"/>
      <c r="O11" s="144"/>
      <c r="P11" s="97" t="s">
        <v>199</v>
      </c>
      <c r="Q11" s="30"/>
      <c r="R11" s="28"/>
      <c r="S11" s="27"/>
      <c r="T11" s="2153"/>
      <c r="U11" s="2154"/>
      <c r="V11" s="2154"/>
      <c r="W11" s="2154"/>
      <c r="X11" s="2154"/>
      <c r="Y11" s="2154"/>
      <c r="Z11" s="2154"/>
      <c r="AA11" s="2155"/>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112">
        <v>19022061002</v>
      </c>
      <c r="B13" s="2113"/>
      <c r="C13" s="2113"/>
      <c r="D13" s="2113"/>
      <c r="E13" s="2113"/>
      <c r="F13" s="2113"/>
      <c r="G13" s="2113"/>
      <c r="H13" s="2114"/>
      <c r="I13" s="31"/>
      <c r="J13" s="30"/>
      <c r="K13" s="28"/>
      <c r="L13" s="30"/>
      <c r="M13" s="30"/>
      <c r="N13" s="30"/>
      <c r="O13" s="30"/>
      <c r="P13" s="30"/>
      <c r="Q13" s="30"/>
      <c r="R13" s="30"/>
      <c r="S13" s="30"/>
      <c r="T13" s="2118" t="s">
        <v>2051</v>
      </c>
      <c r="U13" s="2119"/>
      <c r="V13" s="2119"/>
      <c r="W13" s="2119"/>
      <c r="X13" s="2119"/>
      <c r="Y13" s="2120"/>
      <c r="Z13" s="2120"/>
      <c r="AA13" s="212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5" t="s">
        <v>2058</v>
      </c>
      <c r="B15" s="2116"/>
      <c r="C15" s="2116"/>
      <c r="D15" s="2116"/>
      <c r="E15" s="2116"/>
      <c r="F15" s="2116"/>
      <c r="G15" s="2116"/>
      <c r="H15" s="2117"/>
      <c r="T15" s="2122" t="s">
        <v>2052</v>
      </c>
      <c r="U15" s="2079"/>
      <c r="V15" s="2079"/>
      <c r="W15" s="2079"/>
      <c r="X15" s="2079"/>
      <c r="Y15" s="2123"/>
      <c r="Z15" s="2123"/>
      <c r="AA15" s="212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2147</v>
      </c>
      <c r="B17" s="2086"/>
      <c r="C17" s="2086"/>
      <c r="D17" s="2086"/>
      <c r="E17" s="2086"/>
      <c r="F17" s="2086"/>
      <c r="G17" s="2086"/>
      <c r="H17" s="2111"/>
      <c r="T17" s="2129" t="s">
        <v>2053</v>
      </c>
      <c r="U17" s="2130"/>
      <c r="V17" s="2130"/>
      <c r="W17" s="2130"/>
      <c r="X17" s="2130"/>
      <c r="Y17" s="2130"/>
      <c r="Z17" s="2130"/>
      <c r="AA17" s="2131"/>
    </row>
    <row r="18" spans="1:27" ht="13.5" customHeight="1" x14ac:dyDescent="0.2">
      <c r="A18" s="82" t="s">
        <v>527</v>
      </c>
      <c r="B18" s="73"/>
      <c r="C18" s="69"/>
      <c r="D18" s="73"/>
      <c r="E18" s="73"/>
      <c r="F18" s="73"/>
      <c r="G18" s="73"/>
      <c r="H18" s="53"/>
      <c r="I18" s="2110" t="s">
        <v>671</v>
      </c>
      <c r="J18" s="2061"/>
      <c r="K18" s="2061"/>
      <c r="L18" s="2061"/>
      <c r="M18" s="2061"/>
      <c r="N18" s="2061"/>
      <c r="O18" s="2061"/>
      <c r="P18" s="2061"/>
      <c r="Q18" s="2061"/>
      <c r="R18" s="2061"/>
      <c r="S18" s="2062"/>
      <c r="T18" s="82" t="s">
        <v>706</v>
      </c>
      <c r="U18" s="48"/>
      <c r="V18" s="69"/>
      <c r="W18" s="47"/>
      <c r="X18" s="82" t="s">
        <v>264</v>
      </c>
      <c r="Y18" s="78"/>
      <c r="Z18" s="154" t="s">
        <v>672</v>
      </c>
      <c r="AA18" s="44"/>
    </row>
    <row r="19" spans="1:27" ht="13.5" customHeight="1" x14ac:dyDescent="0.2">
      <c r="A19" s="2115" t="s">
        <v>2049</v>
      </c>
      <c r="B19" s="2071"/>
      <c r="C19" s="2071"/>
      <c r="D19" s="2071"/>
      <c r="E19" s="2071"/>
      <c r="F19" s="2071"/>
      <c r="G19" s="2071"/>
      <c r="H19" s="2051"/>
      <c r="I19" s="30"/>
      <c r="J19" s="96"/>
      <c r="K19" s="40"/>
      <c r="L19" s="38"/>
      <c r="M19" s="109" t="s">
        <v>312</v>
      </c>
      <c r="P19" s="27"/>
      <c r="Q19" s="27"/>
      <c r="R19" s="27"/>
      <c r="S19" s="31"/>
      <c r="T19" s="2115" t="s">
        <v>2054</v>
      </c>
      <c r="U19" s="2050"/>
      <c r="V19" s="2050"/>
      <c r="W19" s="2051"/>
      <c r="X19" s="2127" t="s">
        <v>2055</v>
      </c>
      <c r="Y19" s="2128"/>
      <c r="Z19" s="2125">
        <v>60563</v>
      </c>
      <c r="AA19" s="212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9" t="s">
        <v>2050</v>
      </c>
      <c r="B21" s="2050"/>
      <c r="C21" s="2050"/>
      <c r="D21" s="2050"/>
      <c r="E21" s="2050"/>
      <c r="F21" s="2050"/>
      <c r="G21" s="2050"/>
      <c r="H21" s="2051"/>
      <c r="I21" s="2105" t="s">
        <v>673</v>
      </c>
      <c r="J21" s="2100"/>
      <c r="K21" s="2100"/>
      <c r="L21" s="2100"/>
      <c r="M21" s="2100"/>
      <c r="N21" s="2100"/>
      <c r="O21" s="2100"/>
      <c r="P21" s="2100"/>
      <c r="Q21" s="2100"/>
      <c r="R21" s="2100"/>
      <c r="S21" s="2106"/>
      <c r="T21" s="2140" t="s">
        <v>2056</v>
      </c>
      <c r="U21" s="2141"/>
      <c r="V21" s="2141"/>
      <c r="W21" s="2141"/>
      <c r="X21" s="2146" t="s">
        <v>2090</v>
      </c>
      <c r="Y21" s="2147"/>
      <c r="Z21" s="2147"/>
      <c r="AA21" s="2148"/>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2"/>
      <c r="B23" s="2103"/>
      <c r="C23" s="2103"/>
      <c r="D23" s="2103"/>
      <c r="E23" s="2103"/>
      <c r="F23" s="2103"/>
      <c r="G23" s="2103"/>
      <c r="H23" s="2104"/>
      <c r="T23" s="2085" t="s">
        <v>2091</v>
      </c>
      <c r="U23" s="2139"/>
      <c r="V23" s="2139"/>
      <c r="W23" s="2139"/>
      <c r="X23" s="2143">
        <v>44469</v>
      </c>
      <c r="Y23" s="2144"/>
      <c r="Z23" s="2144"/>
      <c r="AA23" s="2145"/>
    </row>
    <row r="24" spans="1:27" ht="14.1" customHeight="1" x14ac:dyDescent="0.2">
      <c r="A24" s="85" t="s">
        <v>672</v>
      </c>
      <c r="B24" s="46"/>
      <c r="C24" s="46"/>
      <c r="D24" s="46"/>
      <c r="E24" s="46"/>
      <c r="F24" s="46"/>
      <c r="G24" s="46"/>
      <c r="H24" s="58"/>
      <c r="J24" s="2072">
        <f>IF(B5="x",IF(AUDITCHECK!D29="AFR form Incomplete.","",IF(AUDITCHECK!D29="Deficit reduction plan is required.","School District must complete a deficit reduction plan in the 2020-2021 Budget",)),"")</f>
        <v>0</v>
      </c>
      <c r="K24" s="2072"/>
      <c r="L24" s="2072"/>
      <c r="M24" s="2072"/>
      <c r="N24" s="2072"/>
      <c r="O24" s="2072"/>
      <c r="P24" s="2072"/>
      <c r="Q24" s="2072"/>
      <c r="R24" s="2072"/>
      <c r="S24" s="2073"/>
      <c r="T24" s="102" t="s">
        <v>528</v>
      </c>
      <c r="U24" s="103"/>
      <c r="V24" s="103"/>
      <c r="W24" s="103"/>
      <c r="X24" s="104"/>
      <c r="Y24" s="104"/>
      <c r="Z24" s="104"/>
      <c r="AA24" s="105"/>
    </row>
    <row r="25" spans="1:27" ht="14.1" customHeight="1" x14ac:dyDescent="0.2">
      <c r="A25" s="2049">
        <v>60561</v>
      </c>
      <c r="B25" s="2050"/>
      <c r="C25" s="2050"/>
      <c r="D25" s="2050"/>
      <c r="E25" s="2050"/>
      <c r="F25" s="2050"/>
      <c r="G25" s="2050"/>
      <c r="H25" s="2051"/>
      <c r="I25" s="110"/>
      <c r="J25" s="2074"/>
      <c r="K25" s="2074"/>
      <c r="L25" s="2074"/>
      <c r="M25" s="2074"/>
      <c r="N25" s="2074"/>
      <c r="O25" s="2074"/>
      <c r="P25" s="2074"/>
      <c r="Q25" s="2074"/>
      <c r="R25" s="2074"/>
      <c r="S25" s="2075"/>
      <c r="T25" s="2136" t="s">
        <v>2057</v>
      </c>
      <c r="U25" s="2137"/>
      <c r="V25" s="2137"/>
      <c r="W25" s="2137"/>
      <c r="X25" s="2137"/>
      <c r="Y25" s="2137"/>
      <c r="Z25" s="2137"/>
      <c r="AA25" s="21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0" t="s">
        <v>1494</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144"/>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144"/>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99"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1"/>
      <c r="Q35" s="2050"/>
      <c r="R35" s="20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t="s">
        <v>2059</v>
      </c>
      <c r="B38" s="2086"/>
      <c r="C38" s="2086"/>
      <c r="D38" s="2086"/>
      <c r="E38" s="2086"/>
      <c r="F38" s="2050"/>
      <c r="G38" s="2050"/>
      <c r="H38" s="2051"/>
      <c r="I38" s="2078"/>
      <c r="J38" s="2079"/>
      <c r="K38" s="2079"/>
      <c r="L38" s="2079"/>
      <c r="M38" s="2079"/>
      <c r="N38" s="2079"/>
      <c r="O38" s="2079"/>
      <c r="P38" s="2080"/>
      <c r="Q38" s="2080"/>
      <c r="R38" s="2080"/>
      <c r="S38" s="2081"/>
      <c r="T38" s="2122"/>
      <c r="U38" s="2079"/>
      <c r="V38" s="2079"/>
      <c r="W38" s="2079"/>
      <c r="X38" s="2080"/>
      <c r="Y38" s="2080"/>
      <c r="Z38" s="2080"/>
      <c r="AA38" s="2081"/>
    </row>
    <row r="39" spans="1:27" ht="12" customHeight="1" x14ac:dyDescent="0.2">
      <c r="A39" s="2055" t="s">
        <v>528</v>
      </c>
      <c r="B39" s="2056"/>
      <c r="C39" s="69"/>
      <c r="D39" s="66"/>
      <c r="E39" s="66"/>
      <c r="F39" s="76"/>
      <c r="G39" s="66"/>
      <c r="H39" s="53"/>
      <c r="I39" s="2055" t="s">
        <v>528</v>
      </c>
      <c r="J39" s="2056"/>
      <c r="K39" s="2056"/>
      <c r="L39" s="2056"/>
      <c r="M39" s="2056"/>
      <c r="N39" s="64"/>
      <c r="O39" s="69"/>
      <c r="P39" s="69"/>
      <c r="Q39" s="75"/>
      <c r="R39" s="69"/>
      <c r="S39" s="53"/>
      <c r="T39" s="69" t="s">
        <v>528</v>
      </c>
      <c r="U39" s="48"/>
      <c r="V39" s="69"/>
      <c r="W39" s="47"/>
      <c r="X39" s="75"/>
      <c r="Y39" s="43"/>
      <c r="Z39" s="43"/>
      <c r="AA39" s="44"/>
    </row>
    <row r="40" spans="1:27" ht="13.5" customHeight="1" x14ac:dyDescent="0.2">
      <c r="A40" s="2063" t="s">
        <v>2060</v>
      </c>
      <c r="B40" s="2064"/>
      <c r="C40" s="2065"/>
      <c r="D40" s="2065"/>
      <c r="E40" s="2065"/>
      <c r="F40" s="2066"/>
      <c r="G40" s="2066"/>
      <c r="H40" s="2067"/>
      <c r="I40" s="2088"/>
      <c r="J40" s="2089"/>
      <c r="K40" s="2089"/>
      <c r="L40" s="2089"/>
      <c r="M40" s="2089"/>
      <c r="N40" s="2089"/>
      <c r="O40" s="2089"/>
      <c r="P40" s="2089"/>
      <c r="Q40" s="2089"/>
      <c r="R40" s="2089"/>
      <c r="S40" s="2090"/>
      <c r="T40" s="2088"/>
      <c r="U40" s="2142"/>
      <c r="V40" s="2089"/>
      <c r="W40" s="2089"/>
      <c r="X40" s="2089"/>
      <c r="Y40" s="2089"/>
      <c r="Z40" s="2089"/>
      <c r="AA40" s="209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7" t="s">
        <v>2062</v>
      </c>
      <c r="B42" s="2069"/>
      <c r="C42" s="2070"/>
      <c r="D42" s="2068" t="s">
        <v>2061</v>
      </c>
      <c r="E42" s="2069"/>
      <c r="F42" s="2069"/>
      <c r="G42" s="2069"/>
      <c r="H42" s="2070"/>
      <c r="I42" s="2052"/>
      <c r="J42" s="2053"/>
      <c r="K42" s="2053"/>
      <c r="L42" s="2053"/>
      <c r="M42" s="2053"/>
      <c r="N42" s="2053"/>
      <c r="O42" s="2054"/>
      <c r="P42" s="2087"/>
      <c r="Q42" s="2053"/>
      <c r="R42" s="2053"/>
      <c r="S42" s="2054"/>
      <c r="T42" s="2052"/>
      <c r="U42" s="2053"/>
      <c r="V42" s="2053"/>
      <c r="W42" s="2054"/>
      <c r="X42" s="2087"/>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57"/>
      <c r="J44" s="2058"/>
      <c r="K44" s="2058"/>
      <c r="L44" s="2058"/>
      <c r="M44" s="2058"/>
      <c r="N44" s="2058"/>
      <c r="O44" s="2058"/>
      <c r="P44" s="2058"/>
      <c r="Q44" s="2058"/>
      <c r="R44" s="2058"/>
      <c r="S44" s="2059"/>
      <c r="T44" s="2057"/>
      <c r="U44" s="2076"/>
      <c r="V44" s="2076"/>
      <c r="W44" s="2076"/>
      <c r="X44" s="2076"/>
      <c r="Y44" s="2076"/>
      <c r="Z44" s="2058"/>
      <c r="AA44" s="205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2" colorId="8" zoomScaleNormal="100" workbookViewId="0">
      <selection activeCell="D115" sqref="D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2063</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1986</v>
      </c>
      <c r="B85" s="2196"/>
      <c r="C85" s="2196"/>
      <c r="D85" s="2197"/>
      <c r="E85" s="1483"/>
      <c r="F85" s="1483">
        <v>34936</v>
      </c>
      <c r="G85" s="1483"/>
      <c r="H85" s="1483"/>
      <c r="I85" s="1835"/>
      <c r="J85" s="1666">
        <f>SUM(E85:I85)</f>
        <v>34936</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1986</v>
      </c>
      <c r="B88" s="2199"/>
      <c r="C88" s="2199"/>
      <c r="D88" s="2200"/>
      <c r="E88" s="1483">
        <v>5198</v>
      </c>
      <c r="F88" s="1483">
        <v>28220</v>
      </c>
      <c r="G88" s="1483">
        <v>106664</v>
      </c>
      <c r="H88" s="1483">
        <v>355499</v>
      </c>
      <c r="I88" s="1835"/>
      <c r="J88" s="1666">
        <f>SUM(E88:I88)</f>
        <v>495581</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530517</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2051</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10" colorId="8" zoomScale="110" zoomScaleNormal="110" workbookViewId="0">
      <selection activeCell="H51" sqref="H5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530441355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2.4438999999999999E-2</v>
      </c>
      <c r="E10" s="333" t="s">
        <v>998</v>
      </c>
      <c r="F10" s="332">
        <v>1.7240000000000001E-3</v>
      </c>
      <c r="G10" s="333" t="s">
        <v>998</v>
      </c>
      <c r="H10" s="332">
        <v>1.106E-3</v>
      </c>
      <c r="I10" s="333" t="s">
        <v>999</v>
      </c>
      <c r="J10" s="1363">
        <f>ROUND(D10+F10+H10,5)</f>
        <v>2.7269999999999999E-2</v>
      </c>
      <c r="K10" s="217"/>
      <c r="L10" s="332"/>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19086075</v>
      </c>
      <c r="E16" s="1486"/>
      <c r="F16" s="1485">
        <f>SUM('Acct Summary 7-8'!C17,'Acct Summary 7-8'!D17,'Acct Summary 7-8'!F17)</f>
        <v>18672307</v>
      </c>
      <c r="G16" s="1486"/>
      <c r="H16" s="1485">
        <f>SUM(D16-F16)</f>
        <v>413768</v>
      </c>
      <c r="I16" s="1487"/>
      <c r="J16" s="1485">
        <f>SUM('Acct Summary 7-8'!C81,'Acct Summary 7-8'!D81,'Acct Summary 7-8'!F81,'Acct Summary 7-8'!I81)</f>
        <v>11004765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364">
        <f>IF(B31="X",(J7*0.069),IF(B32="X",(J7*0.138),"Enter x in a.or b."))</f>
        <v>36600453.495000005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2835000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Darien SD 61</v>
      </c>
      <c r="E7" s="368"/>
      <c r="G7" s="247"/>
      <c r="H7" s="364"/>
      <c r="I7" s="364"/>
      <c r="J7" s="364"/>
      <c r="K7" s="364"/>
      <c r="L7" s="307"/>
      <c r="M7" s="307"/>
      <c r="N7" s="307"/>
      <c r="O7" s="307"/>
      <c r="P7" s="307"/>
    </row>
    <row r="8" spans="1:18" ht="12.75" x14ac:dyDescent="0.2">
      <c r="A8" s="307"/>
      <c r="B8" s="307"/>
      <c r="C8" s="366" t="s">
        <v>1115</v>
      </c>
      <c r="D8" s="369">
        <f>COVER!A13</f>
        <v>19022061002</v>
      </c>
      <c r="E8" s="370"/>
      <c r="G8" s="307"/>
      <c r="H8" s="307"/>
      <c r="I8" s="307"/>
      <c r="J8" s="307"/>
      <c r="K8" s="307"/>
      <c r="L8" s="307"/>
      <c r="M8" s="307"/>
      <c r="N8" s="307"/>
      <c r="O8" s="307"/>
      <c r="P8" s="307"/>
    </row>
    <row r="9" spans="1:18" ht="12.75" x14ac:dyDescent="0.2">
      <c r="A9" s="307"/>
      <c r="B9" s="307"/>
      <c r="C9" s="366" t="s">
        <v>708</v>
      </c>
      <c r="D9" s="371" t="str">
        <f>COVER!A15</f>
        <v>DuPage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11004765</v>
      </c>
      <c r="I12" s="380"/>
      <c r="J12" s="380"/>
      <c r="K12" s="1498">
        <f>TRUNC((H12/H13*100000),5)/100000</f>
        <v>0.57658607120000005</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19086075</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18672307</v>
      </c>
      <c r="I17" s="380"/>
      <c r="J17" s="389"/>
      <c r="K17" s="1498">
        <f>TRUNC((H17/H18*100000),5)/100000</f>
        <v>0.97832094859999996</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19086075</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11786974</v>
      </c>
      <c r="I24" s="394"/>
      <c r="J24" s="394"/>
      <c r="K24" s="1494">
        <f>TRUNC(((H24/H25*100000)/100000),2)</f>
        <v>227.25</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51867.519439999996</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12295365.388219999</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4</v>
      </c>
      <c r="P31" s="211"/>
    </row>
    <row r="32" spans="1:18" s="382" customFormat="1" ht="11.25" x14ac:dyDescent="0.2">
      <c r="A32" s="213"/>
      <c r="B32" s="377"/>
      <c r="C32" s="213" t="s">
        <v>842</v>
      </c>
      <c r="D32" s="213"/>
      <c r="E32" s="213"/>
      <c r="F32" s="213"/>
      <c r="G32" s="378"/>
      <c r="H32" s="1490">
        <f>'FP Info 3'!H37</f>
        <v>2835000</v>
      </c>
      <c r="I32" s="392"/>
      <c r="J32" s="392"/>
      <c r="K32" s="1494">
        <f>TRUNC(100-((((H32/H33*100))*100)/100),2)</f>
        <v>92.25</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36600453.495000005</v>
      </c>
      <c r="I33" s="392"/>
      <c r="J33" s="392"/>
      <c r="K33" s="379"/>
      <c r="L33" s="213"/>
      <c r="M33" s="401" t="s">
        <v>1135</v>
      </c>
      <c r="N33" s="401"/>
      <c r="O33" s="1507">
        <f>(O31*O32)</f>
        <v>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21" activePane="bottomLeft" state="frozen"/>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7799692</v>
      </c>
      <c r="D4" s="1512">
        <v>1642771</v>
      </c>
      <c r="E4" s="1512">
        <v>520151</v>
      </c>
      <c r="F4" s="1512">
        <v>1031287</v>
      </c>
      <c r="G4" s="1512">
        <v>806031</v>
      </c>
      <c r="H4" s="1512">
        <v>291298</v>
      </c>
      <c r="I4" s="1512">
        <v>1313224</v>
      </c>
      <c r="J4" s="1513"/>
      <c r="K4" s="1512"/>
      <c r="L4" s="1512">
        <v>256330</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v>6364014</v>
      </c>
      <c r="D6" s="1512">
        <v>445383</v>
      </c>
      <c r="E6" s="1512">
        <v>391906</v>
      </c>
      <c r="F6" s="1512">
        <v>285727</v>
      </c>
      <c r="G6" s="1516">
        <v>250592</v>
      </c>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157474</v>
      </c>
      <c r="D8" s="1513"/>
      <c r="E8" s="1513"/>
      <c r="F8" s="1513">
        <v>114935</v>
      </c>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14321180</v>
      </c>
      <c r="D13" s="1526">
        <f t="shared" ref="D13:L13" si="0">SUM(D4:D12)</f>
        <v>2088154</v>
      </c>
      <c r="E13" s="1526">
        <f t="shared" si="0"/>
        <v>912057</v>
      </c>
      <c r="F13" s="1526">
        <f t="shared" si="0"/>
        <v>1431949</v>
      </c>
      <c r="G13" s="1526">
        <f t="shared" si="0"/>
        <v>1056623</v>
      </c>
      <c r="H13" s="1526">
        <f t="shared" si="0"/>
        <v>291298</v>
      </c>
      <c r="I13" s="1526">
        <f t="shared" si="0"/>
        <v>1313224</v>
      </c>
      <c r="J13" s="1526">
        <f t="shared" si="0"/>
        <v>0</v>
      </c>
      <c r="K13" s="1526">
        <f t="shared" si="0"/>
        <v>0</v>
      </c>
      <c r="L13" s="1526">
        <f t="shared" si="0"/>
        <v>256330</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f>'Cap Outlay Deprec 26'!L5</f>
        <v>1658656</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f>'Cap Outlay Deprec 26'!L8</f>
        <v>12156463</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f>'Cap Outlay Deprec 26'!L10</f>
        <v>86281</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'Cap Outlay Deprec 26'!L13</f>
        <v>575210</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f>'Cap Outlay Deprec 26'!L15</f>
        <v>0</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2835000</v>
      </c>
    </row>
    <row r="23" spans="1:14" ht="13.5" customHeight="1" thickBot="1" x14ac:dyDescent="0.25">
      <c r="A23" s="1365" t="s">
        <v>638</v>
      </c>
      <c r="B23" s="1368"/>
      <c r="C23" s="1514"/>
      <c r="D23" s="1514"/>
      <c r="E23" s="1514"/>
      <c r="F23" s="1514"/>
      <c r="G23" s="1514"/>
      <c r="H23" s="1514"/>
      <c r="I23" s="1514"/>
      <c r="J23" s="1514"/>
      <c r="K23" s="1514"/>
      <c r="L23" s="1514"/>
      <c r="M23" s="1533">
        <f>SUM(M15:M22)</f>
        <v>14476610</v>
      </c>
      <c r="N23" s="1533">
        <f>SUM(N21:N22)</f>
        <v>2835000</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v>285581</v>
      </c>
      <c r="D26" s="1513"/>
      <c r="E26" s="1513"/>
      <c r="F26" s="1513"/>
      <c r="G26" s="1513"/>
      <c r="H26" s="1513"/>
      <c r="I26" s="1513"/>
      <c r="J26" s="1518"/>
      <c r="K26" s="1513"/>
      <c r="L26" s="1514"/>
      <c r="M26" s="1514"/>
      <c r="N26" s="1514"/>
    </row>
    <row r="27" spans="1:14" ht="13.5" customHeight="1" x14ac:dyDescent="0.2">
      <c r="A27" s="430" t="s">
        <v>642</v>
      </c>
      <c r="B27" s="429">
        <v>430</v>
      </c>
      <c r="C27" s="1513">
        <v>-3609</v>
      </c>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744239</v>
      </c>
      <c r="D30" s="1518"/>
      <c r="E30" s="1513"/>
      <c r="F30" s="1513"/>
      <c r="G30" s="1513"/>
      <c r="H30" s="1513"/>
      <c r="I30" s="1513"/>
      <c r="J30" s="1513"/>
      <c r="K30" s="1522"/>
      <c r="L30" s="1514"/>
      <c r="M30" s="1514"/>
      <c r="N30" s="1514"/>
    </row>
    <row r="31" spans="1:14" ht="13.5" customHeight="1" x14ac:dyDescent="0.2">
      <c r="A31" s="430" t="s">
        <v>646</v>
      </c>
      <c r="B31" s="429">
        <v>480</v>
      </c>
      <c r="C31" s="1512"/>
      <c r="D31" s="1513">
        <v>-11383</v>
      </c>
      <c r="E31" s="1513"/>
      <c r="F31" s="1512">
        <v>3863</v>
      </c>
      <c r="G31" s="1513"/>
      <c r="H31" s="1513"/>
      <c r="I31" s="1513"/>
      <c r="J31" s="1513"/>
      <c r="K31" s="1513"/>
      <c r="L31" s="1514"/>
      <c r="M31" s="1514"/>
      <c r="N31" s="1514"/>
    </row>
    <row r="32" spans="1:14" ht="13.5" customHeight="1" x14ac:dyDescent="0.2">
      <c r="A32" s="434" t="s">
        <v>647</v>
      </c>
      <c r="B32" s="435">
        <v>490</v>
      </c>
      <c r="C32" s="1538">
        <v>6399941</v>
      </c>
      <c r="D32" s="1538">
        <v>445383</v>
      </c>
      <c r="E32" s="1518">
        <v>391906</v>
      </c>
      <c r="F32" s="1518">
        <v>285727</v>
      </c>
      <c r="G32" s="1518">
        <v>250592</v>
      </c>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256330</v>
      </c>
      <c r="M33" s="1514"/>
      <c r="N33" s="1515"/>
    </row>
    <row r="34" spans="1:14" ht="13.5" customHeight="1" thickBot="1" x14ac:dyDescent="0.25">
      <c r="A34" s="1366" t="s">
        <v>649</v>
      </c>
      <c r="B34" s="1367"/>
      <c r="C34" s="1539">
        <f>SUM(C25:C33)</f>
        <v>7426152</v>
      </c>
      <c r="D34" s="1539">
        <f t="shared" ref="D34:K34" si="1">SUM(D25:D33)</f>
        <v>434000</v>
      </c>
      <c r="E34" s="1539">
        <f t="shared" si="1"/>
        <v>391906</v>
      </c>
      <c r="F34" s="1539">
        <f t="shared" si="1"/>
        <v>289590</v>
      </c>
      <c r="G34" s="1539">
        <f t="shared" si="1"/>
        <v>250592</v>
      </c>
      <c r="H34" s="1539">
        <f t="shared" si="1"/>
        <v>0</v>
      </c>
      <c r="I34" s="1539">
        <f t="shared" si="1"/>
        <v>0</v>
      </c>
      <c r="J34" s="1539">
        <f t="shared" si="1"/>
        <v>0</v>
      </c>
      <c r="K34" s="1539">
        <f t="shared" si="1"/>
        <v>0</v>
      </c>
      <c r="L34" s="1540">
        <f>SUM(L33)</f>
        <v>256330</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2835000</v>
      </c>
    </row>
    <row r="37" spans="1:14" ht="13.5" thickBot="1" x14ac:dyDescent="0.25">
      <c r="A37" s="1365" t="s">
        <v>648</v>
      </c>
      <c r="B37" s="1368"/>
      <c r="C37" s="1521"/>
      <c r="D37" s="1521"/>
      <c r="E37" s="1521"/>
      <c r="F37" s="1521"/>
      <c r="G37" s="1521"/>
      <c r="H37" s="1521"/>
      <c r="I37" s="1521"/>
      <c r="J37" s="1521"/>
      <c r="K37" s="1521"/>
      <c r="L37" s="1524"/>
      <c r="M37" s="1514"/>
      <c r="N37" s="1533">
        <f>SUM(N36:N36)</f>
        <v>2835000</v>
      </c>
    </row>
    <row r="38" spans="1:14" s="307" customFormat="1" ht="13.5" customHeight="1" thickTop="1" x14ac:dyDescent="0.2">
      <c r="A38" s="438" t="s">
        <v>417</v>
      </c>
      <c r="B38" s="432">
        <v>714</v>
      </c>
      <c r="C38" s="1512"/>
      <c r="D38" s="1512">
        <v>1654154</v>
      </c>
      <c r="E38" s="1512">
        <v>520151</v>
      </c>
      <c r="F38" s="1512">
        <v>1142359</v>
      </c>
      <c r="G38" s="1512">
        <v>806031</v>
      </c>
      <c r="H38" s="1512">
        <v>291298</v>
      </c>
      <c r="I38" s="1512">
        <v>1313224</v>
      </c>
      <c r="J38" s="1513"/>
      <c r="K38" s="1512"/>
      <c r="L38" s="1525"/>
      <c r="M38" s="1543"/>
      <c r="N38" s="1543"/>
    </row>
    <row r="39" spans="1:14" s="307" customFormat="1" ht="13.5" customHeight="1" x14ac:dyDescent="0.2">
      <c r="A39" s="438" t="s">
        <v>339</v>
      </c>
      <c r="B39" s="432">
        <v>730</v>
      </c>
      <c r="C39" s="1512">
        <v>6895028</v>
      </c>
      <c r="D39" s="1512"/>
      <c r="E39" s="1512"/>
      <c r="F39" s="1512"/>
      <c r="G39" s="1512"/>
      <c r="H39" s="1512"/>
      <c r="I39" s="1512"/>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f>'Cap Outlay Deprec 26'!L16</f>
        <v>14476610</v>
      </c>
      <c r="N40" s="1543"/>
    </row>
    <row r="41" spans="1:14" ht="13.5" customHeight="1" thickBot="1" x14ac:dyDescent="0.25">
      <c r="A41" s="1365" t="s">
        <v>650</v>
      </c>
      <c r="B41" s="1344"/>
      <c r="C41" s="1533">
        <f>(SUM(C34,C37,C38,C39))</f>
        <v>14321180</v>
      </c>
      <c r="D41" s="1533">
        <f t="shared" ref="D41:L41" si="2">SUM(D34,D37,D38:D39)</f>
        <v>2088154</v>
      </c>
      <c r="E41" s="1533">
        <f t="shared" si="2"/>
        <v>912057</v>
      </c>
      <c r="F41" s="1533">
        <f t="shared" si="2"/>
        <v>1431949</v>
      </c>
      <c r="G41" s="1533">
        <f t="shared" si="2"/>
        <v>1056623</v>
      </c>
      <c r="H41" s="1533">
        <f t="shared" si="2"/>
        <v>291298</v>
      </c>
      <c r="I41" s="1533">
        <f t="shared" si="2"/>
        <v>1313224</v>
      </c>
      <c r="J41" s="1533">
        <f t="shared" si="2"/>
        <v>0</v>
      </c>
      <c r="K41" s="1533">
        <f t="shared" si="2"/>
        <v>0</v>
      </c>
      <c r="L41" s="1533">
        <f t="shared" si="2"/>
        <v>256330</v>
      </c>
      <c r="M41" s="1533">
        <f>SUM(M40)</f>
        <v>14476610</v>
      </c>
      <c r="N41" s="1533">
        <f>SUM(N37)</f>
        <v>2835000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C12" sqref="C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13395770</v>
      </c>
      <c r="D4" s="1545">
        <f>'Revenues 9-14'!D109</f>
        <v>1058001</v>
      </c>
      <c r="E4" s="1545">
        <f>'Revenues 9-14'!E109</f>
        <v>807075</v>
      </c>
      <c r="F4" s="1545">
        <f>'Revenues 9-14'!F109</f>
        <v>595534</v>
      </c>
      <c r="G4" s="1545">
        <f>'Revenues 9-14'!G109</f>
        <v>528960</v>
      </c>
      <c r="H4" s="1545">
        <f>'Revenues 9-14'!H109</f>
        <v>0</v>
      </c>
      <c r="I4" s="1545">
        <f>'Revenues 9-14'!I109</f>
        <v>0</v>
      </c>
      <c r="J4" s="1545">
        <f>'Revenues 9-14'!J109</f>
        <v>0</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1971512</v>
      </c>
      <c r="D6" s="1546">
        <f>'Revenues 9-14'!D170</f>
        <v>50000</v>
      </c>
      <c r="E6" s="1546">
        <f>'Revenues 9-14'!E170</f>
        <v>0</v>
      </c>
      <c r="F6" s="1546">
        <f>'Revenues 9-14'!F170</f>
        <v>462163</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1553095</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16920377</v>
      </c>
      <c r="D8" s="1533">
        <f t="shared" ref="D8:K8" si="0">SUM(D4:D7)</f>
        <v>1108001</v>
      </c>
      <c r="E8" s="1533">
        <f t="shared" si="0"/>
        <v>807075</v>
      </c>
      <c r="F8" s="1533">
        <f t="shared" si="0"/>
        <v>1057697</v>
      </c>
      <c r="G8" s="1533">
        <f t="shared" si="0"/>
        <v>528960</v>
      </c>
      <c r="H8" s="1533">
        <f t="shared" si="0"/>
        <v>0</v>
      </c>
      <c r="I8" s="1533">
        <f t="shared" si="0"/>
        <v>0</v>
      </c>
      <c r="J8" s="1533">
        <f t="shared" si="0"/>
        <v>0</v>
      </c>
      <c r="K8" s="1533">
        <f t="shared" si="0"/>
        <v>0</v>
      </c>
      <c r="L8" s="325"/>
    </row>
    <row r="9" spans="1:13" ht="15.75" thickTop="1" x14ac:dyDescent="0.2">
      <c r="A9" s="449" t="s">
        <v>1634</v>
      </c>
      <c r="B9" s="450">
        <v>3998</v>
      </c>
      <c r="C9" s="1525">
        <v>10292237</v>
      </c>
      <c r="D9" s="1552"/>
      <c r="E9" s="1525"/>
      <c r="F9" s="1525"/>
      <c r="G9" s="1553"/>
      <c r="H9" s="1525"/>
      <c r="I9" s="1548" t="s">
        <v>1159</v>
      </c>
      <c r="J9" s="1522"/>
      <c r="K9" s="1525"/>
      <c r="L9" s="325"/>
    </row>
    <row r="10" spans="1:13" s="452" customFormat="1" ht="13.5" thickBot="1" x14ac:dyDescent="0.25">
      <c r="A10" s="1365" t="s">
        <v>1163</v>
      </c>
      <c r="B10" s="1346"/>
      <c r="C10" s="1533">
        <f>SUM(C8:C9)</f>
        <v>27212614</v>
      </c>
      <c r="D10" s="1533">
        <f t="shared" ref="D10:K10" si="1">SUM(D8:D9)</f>
        <v>1108001</v>
      </c>
      <c r="E10" s="1533">
        <f t="shared" si="1"/>
        <v>807075</v>
      </c>
      <c r="F10" s="1533">
        <f t="shared" si="1"/>
        <v>1057697</v>
      </c>
      <c r="G10" s="1533">
        <f t="shared" si="1"/>
        <v>528960</v>
      </c>
      <c r="H10" s="1533">
        <f t="shared" si="1"/>
        <v>0</v>
      </c>
      <c r="I10" s="1533">
        <f t="shared" si="1"/>
        <v>0</v>
      </c>
      <c r="J10" s="1533">
        <f t="shared" si="1"/>
        <v>0</v>
      </c>
      <c r="K10" s="1533">
        <f t="shared" si="1"/>
        <v>0</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10614074</v>
      </c>
      <c r="D12" s="1555" t="s">
        <v>1159</v>
      </c>
      <c r="E12" s="1514" t="s">
        <v>1159</v>
      </c>
      <c r="F12" s="1514" t="s">
        <v>1159</v>
      </c>
      <c r="G12" s="1545">
        <f>'Expenditures 15-22'!K229</f>
        <v>73678</v>
      </c>
      <c r="H12" s="1556"/>
      <c r="I12" s="1514" t="s">
        <v>1159</v>
      </c>
      <c r="J12" s="1514" t="s">
        <v>1159</v>
      </c>
      <c r="K12" s="1556" t="s">
        <v>1159</v>
      </c>
      <c r="L12" s="325"/>
    </row>
    <row r="13" spans="1:13" ht="15.75" customHeight="1" x14ac:dyDescent="0.2">
      <c r="A13" s="1254" t="s">
        <v>454</v>
      </c>
      <c r="B13" s="1256">
        <v>2000</v>
      </c>
      <c r="C13" s="1546">
        <f>'Expenditures 15-22'!K74</f>
        <v>4102718</v>
      </c>
      <c r="D13" s="1546">
        <f>'Expenditures 15-22'!K129</f>
        <v>1137743</v>
      </c>
      <c r="E13" s="1515" t="s">
        <v>1159</v>
      </c>
      <c r="F13" s="1546">
        <f>'Expenditures 15-22'!K184</f>
        <v>844112</v>
      </c>
      <c r="G13" s="1546">
        <f>'Expenditures 15-22'!K279</f>
        <v>264992</v>
      </c>
      <c r="H13" s="1546">
        <f>'Expenditures 15-22'!K303</f>
        <v>59881</v>
      </c>
      <c r="I13" s="1514" t="s">
        <v>1159</v>
      </c>
      <c r="J13" s="1546">
        <f>'Expenditures 15-22'!K330</f>
        <v>0</v>
      </c>
      <c r="K13" s="1557">
        <f>'Expenditures 15-22'!K352</f>
        <v>0</v>
      </c>
      <c r="L13" s="325"/>
    </row>
    <row r="14" spans="1:13" ht="15.75" customHeight="1" x14ac:dyDescent="0.2">
      <c r="A14" s="1254" t="s">
        <v>446</v>
      </c>
      <c r="B14" s="1256">
        <v>3000</v>
      </c>
      <c r="C14" s="1546">
        <f>'Expenditures 15-22'!K75</f>
        <v>0</v>
      </c>
      <c r="D14" s="1546">
        <f>'Expenditures 15-22'!K130</f>
        <v>0</v>
      </c>
      <c r="E14" s="1555" t="s">
        <v>1159</v>
      </c>
      <c r="F14" s="1546">
        <f>'Expenditures 15-22'!K185</f>
        <v>0</v>
      </c>
      <c r="G14" s="1546">
        <f>'Expenditures 15-22'!K280</f>
        <v>0</v>
      </c>
      <c r="H14" s="1551"/>
      <c r="I14" s="1514" t="s">
        <v>1159</v>
      </c>
      <c r="J14" s="1514" t="s">
        <v>1159</v>
      </c>
      <c r="K14" s="1551" t="s">
        <v>1159</v>
      </c>
      <c r="L14" s="325"/>
    </row>
    <row r="15" spans="1:13" ht="15.75" customHeight="1" x14ac:dyDescent="0.2">
      <c r="A15" s="1254" t="s">
        <v>107</v>
      </c>
      <c r="B15" s="1256">
        <v>4000</v>
      </c>
      <c r="C15" s="1546">
        <f>'Expenditures 15-22'!K102</f>
        <v>1973660</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786100</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16690452</v>
      </c>
      <c r="D17" s="1533">
        <f t="shared" si="2"/>
        <v>1137743</v>
      </c>
      <c r="E17" s="1533">
        <f t="shared" si="2"/>
        <v>786100</v>
      </c>
      <c r="F17" s="1533">
        <f t="shared" si="2"/>
        <v>844112</v>
      </c>
      <c r="G17" s="1533">
        <f t="shared" si="2"/>
        <v>338670</v>
      </c>
      <c r="H17" s="1533">
        <f t="shared" si="2"/>
        <v>59881</v>
      </c>
      <c r="I17" s="1514"/>
      <c r="J17" s="1533">
        <f>SUM(J12:J16)</f>
        <v>0</v>
      </c>
      <c r="K17" s="1533">
        <f>SUM(K12:K16)</f>
        <v>0</v>
      </c>
      <c r="L17" s="325"/>
    </row>
    <row r="18" spans="1:12" ht="15" customHeight="1" thickTop="1" x14ac:dyDescent="0.2">
      <c r="A18" s="1369" t="s">
        <v>1635</v>
      </c>
      <c r="B18" s="1370">
        <v>4180</v>
      </c>
      <c r="C18" s="1545">
        <f t="shared" ref="C18:H18" si="3">C9</f>
        <v>10292237</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26982689</v>
      </c>
      <c r="D19" s="1533">
        <f t="shared" si="4"/>
        <v>1137743</v>
      </c>
      <c r="E19" s="1533">
        <f t="shared" si="4"/>
        <v>786100</v>
      </c>
      <c r="F19" s="1533">
        <f t="shared" si="4"/>
        <v>844112</v>
      </c>
      <c r="G19" s="1533">
        <f t="shared" si="4"/>
        <v>338670</v>
      </c>
      <c r="H19" s="1533">
        <f t="shared" si="4"/>
        <v>59881</v>
      </c>
      <c r="I19" s="1514"/>
      <c r="J19" s="1533">
        <f>SUM(J17:J18)</f>
        <v>0</v>
      </c>
      <c r="K19" s="1533">
        <f>SUM(K17:K18)</f>
        <v>0</v>
      </c>
      <c r="L19" s="325"/>
    </row>
    <row r="20" spans="1:12" ht="16.5" thickTop="1" thickBot="1" x14ac:dyDescent="0.25">
      <c r="A20" s="2243" t="s">
        <v>1636</v>
      </c>
      <c r="B20" s="2244"/>
      <c r="C20" s="1561">
        <f>C8-C17</f>
        <v>229925</v>
      </c>
      <c r="D20" s="1561">
        <f t="shared" ref="D20:K20" si="5">D8-D17</f>
        <v>-29742</v>
      </c>
      <c r="E20" s="1561">
        <f t="shared" si="5"/>
        <v>20975</v>
      </c>
      <c r="F20" s="1561">
        <f t="shared" si="5"/>
        <v>213585</v>
      </c>
      <c r="G20" s="1561">
        <f t="shared" si="5"/>
        <v>190290</v>
      </c>
      <c r="H20" s="1561">
        <f t="shared" si="5"/>
        <v>-59881</v>
      </c>
      <c r="I20" s="1561">
        <f t="shared" si="5"/>
        <v>0</v>
      </c>
      <c r="J20" s="1561">
        <f t="shared" si="5"/>
        <v>0</v>
      </c>
      <c r="K20" s="1561">
        <f t="shared" si="5"/>
        <v>0</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0</v>
      </c>
      <c r="D44" s="1563">
        <f t="shared" ref="D44:K44" si="6">SUM(D24:D43)</f>
        <v>0</v>
      </c>
      <c r="E44" s="1563">
        <f t="shared" si="6"/>
        <v>0</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0</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35" t="s">
        <v>1167</v>
      </c>
      <c r="B77" s="2236"/>
      <c r="C77" s="1563">
        <f t="shared" ref="C77:K77" si="8">C44-C76</f>
        <v>0</v>
      </c>
      <c r="D77" s="1563">
        <f t="shared" si="8"/>
        <v>0</v>
      </c>
      <c r="E77" s="1563">
        <f t="shared" si="8"/>
        <v>0</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39" t="s">
        <v>593</v>
      </c>
      <c r="B78" s="2240"/>
      <c r="C78" s="1568">
        <f t="shared" ref="C78:K78" si="9">C20+C77</f>
        <v>229925</v>
      </c>
      <c r="D78" s="1568">
        <f t="shared" si="9"/>
        <v>-29742</v>
      </c>
      <c r="E78" s="1568">
        <f t="shared" si="9"/>
        <v>20975</v>
      </c>
      <c r="F78" s="1568">
        <f t="shared" si="9"/>
        <v>213585</v>
      </c>
      <c r="G78" s="1568">
        <f t="shared" si="9"/>
        <v>190290</v>
      </c>
      <c r="H78" s="1568">
        <f t="shared" si="9"/>
        <v>-59881</v>
      </c>
      <c r="I78" s="1568">
        <f t="shared" si="9"/>
        <v>0</v>
      </c>
      <c r="J78" s="1568">
        <f t="shared" si="9"/>
        <v>0</v>
      </c>
      <c r="K78" s="1568">
        <f t="shared" si="9"/>
        <v>0</v>
      </c>
      <c r="L78" s="457"/>
    </row>
    <row r="79" spans="1:12" ht="13.5" thickTop="1" x14ac:dyDescent="0.2">
      <c r="A79" s="1775" t="str">
        <f>"Fund Balances - July 1, "&amp;'AFR20'!E2-1</f>
        <v>Fund Balances - July 1, 2019</v>
      </c>
      <c r="B79" s="458"/>
      <c r="C79" s="1522">
        <v>6665103</v>
      </c>
      <c r="D79" s="1569">
        <v>1683896</v>
      </c>
      <c r="E79" s="1569">
        <v>499176</v>
      </c>
      <c r="F79" s="1569">
        <v>928774</v>
      </c>
      <c r="G79" s="1569">
        <v>615741</v>
      </c>
      <c r="H79" s="1569">
        <v>351179</v>
      </c>
      <c r="I79" s="1569">
        <v>1313224</v>
      </c>
      <c r="J79" s="1569"/>
      <c r="K79" s="1569"/>
      <c r="L79" s="325"/>
    </row>
    <row r="80" spans="1:12" x14ac:dyDescent="0.2">
      <c r="A80" s="2245" t="s">
        <v>1769</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6895028</v>
      </c>
      <c r="D81" s="1533">
        <f>SUM(D78:D80)</f>
        <v>1654154</v>
      </c>
      <c r="E81" s="1533">
        <f t="shared" ref="E81:K81" si="10">SUM(E78:E80)</f>
        <v>520151</v>
      </c>
      <c r="F81" s="1533">
        <f t="shared" si="10"/>
        <v>1142359</v>
      </c>
      <c r="G81" s="1533">
        <f t="shared" si="10"/>
        <v>806031</v>
      </c>
      <c r="H81" s="1533">
        <f t="shared" si="10"/>
        <v>291298</v>
      </c>
      <c r="I81" s="1533">
        <f t="shared" si="10"/>
        <v>1313224</v>
      </c>
      <c r="J81" s="1533">
        <f t="shared" si="10"/>
        <v>0</v>
      </c>
      <c r="K81" s="1533">
        <f t="shared" si="10"/>
        <v>0</v>
      </c>
      <c r="L81" s="325"/>
    </row>
    <row r="82" spans="1:12" ht="0.75" customHeight="1" thickTop="1" thickBot="1" x14ac:dyDescent="0.25">
      <c r="A82" s="459" t="s">
        <v>340</v>
      </c>
      <c r="B82" s="460"/>
      <c r="C82" s="461">
        <f>(C81-C79)</f>
        <v>229925</v>
      </c>
      <c r="D82" s="461">
        <f t="shared" ref="D82:K82" si="11">(D81-D79)</f>
        <v>-29742</v>
      </c>
      <c r="E82" s="461">
        <f t="shared" si="11"/>
        <v>20975</v>
      </c>
      <c r="F82" s="461">
        <f t="shared" si="11"/>
        <v>213585</v>
      </c>
      <c r="G82" s="461">
        <f t="shared" si="11"/>
        <v>190290</v>
      </c>
      <c r="H82" s="461">
        <f t="shared" si="11"/>
        <v>-59881</v>
      </c>
      <c r="I82" s="461">
        <f t="shared" si="11"/>
        <v>0</v>
      </c>
      <c r="J82" s="461">
        <f t="shared" si="11"/>
        <v>0</v>
      </c>
      <c r="K82" s="461">
        <f t="shared" si="11"/>
        <v>0</v>
      </c>
    </row>
    <row r="83" spans="1:12" ht="14.25" hidden="1" thickTop="1" thickBot="1" x14ac:dyDescent="0.25">
      <c r="A83" s="462" t="s">
        <v>341</v>
      </c>
      <c r="B83" s="428"/>
      <c r="C83" s="463">
        <f>C82/C81</f>
        <v>3.3346492574069318E-2</v>
      </c>
      <c r="D83" s="463">
        <f t="shared" ref="D83:K83" si="12">D82/D81</f>
        <v>-1.7980188059878343E-2</v>
      </c>
      <c r="E83" s="463">
        <f t="shared" si="12"/>
        <v>4.0324828751650964E-2</v>
      </c>
      <c r="F83" s="463">
        <f t="shared" si="12"/>
        <v>0.18696836983820322</v>
      </c>
      <c r="G83" s="463">
        <f t="shared" si="12"/>
        <v>0.23608273130934171</v>
      </c>
      <c r="H83" s="463">
        <f t="shared" si="12"/>
        <v>-0.20556612129159829</v>
      </c>
      <c r="I83" s="463">
        <f t="shared" si="12"/>
        <v>0</v>
      </c>
      <c r="J83" s="463" t="e">
        <f t="shared" si="12"/>
        <v>#DIV/0!</v>
      </c>
      <c r="K83" s="463" t="e">
        <f t="shared" si="12"/>
        <v>#DIV/0!</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01" activePane="bottomLeft" state="frozen"/>
      <selection pane="bottomLeft" activeCell="C214" sqref="C2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1776</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f>12933184-103861</f>
        <v>12829323</v>
      </c>
      <c r="D5" s="1525">
        <v>918951</v>
      </c>
      <c r="E5" s="1512">
        <v>799800</v>
      </c>
      <c r="F5" s="1570">
        <v>589554</v>
      </c>
      <c r="G5" s="1512">
        <f>516718-G8</f>
        <v>258877</v>
      </c>
      <c r="H5" s="1512"/>
      <c r="I5" s="1512"/>
      <c r="J5" s="1513"/>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103861</v>
      </c>
      <c r="D7" s="1512"/>
      <c r="E7" s="1514"/>
      <c r="F7" s="1513"/>
      <c r="G7" s="1513"/>
      <c r="H7" s="1513"/>
      <c r="I7" s="1514"/>
      <c r="J7" s="1514"/>
      <c r="K7" s="1514"/>
    </row>
    <row r="8" spans="1:12" x14ac:dyDescent="0.2">
      <c r="A8" s="427" t="s">
        <v>410</v>
      </c>
      <c r="B8" s="429">
        <v>1150</v>
      </c>
      <c r="C8" s="1519"/>
      <c r="D8" s="1519"/>
      <c r="E8" s="1521"/>
      <c r="F8" s="1521"/>
      <c r="G8" s="1525">
        <v>257841</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12933184</v>
      </c>
      <c r="D12" s="1572">
        <f t="shared" si="0"/>
        <v>918951</v>
      </c>
      <c r="E12" s="1572">
        <f t="shared" si="0"/>
        <v>799800</v>
      </c>
      <c r="F12" s="1572">
        <f t="shared" si="0"/>
        <v>589554</v>
      </c>
      <c r="G12" s="1572">
        <f t="shared" si="0"/>
        <v>516718</v>
      </c>
      <c r="H12" s="1572">
        <f t="shared" si="0"/>
        <v>0</v>
      </c>
      <c r="I12" s="1572">
        <f t="shared" si="0"/>
        <v>0</v>
      </c>
      <c r="J12" s="1572">
        <f t="shared" si="0"/>
        <v>0</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c r="D16" s="1512">
        <v>59685</v>
      </c>
      <c r="E16" s="1512"/>
      <c r="F16" s="1512"/>
      <c r="G16" s="1512">
        <v>7377</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0</v>
      </c>
      <c r="D18" s="1574">
        <f t="shared" ref="D18:K18" si="1">SUM(D14:D17)</f>
        <v>59685</v>
      </c>
      <c r="E18" s="1574">
        <f t="shared" si="1"/>
        <v>0</v>
      </c>
      <c r="F18" s="1574">
        <f t="shared" si="1"/>
        <v>0</v>
      </c>
      <c r="G18" s="1574">
        <f t="shared" si="1"/>
        <v>7377</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v>18502</v>
      </c>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2500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21002</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116990</v>
      </c>
      <c r="D65" s="1512">
        <v>7197</v>
      </c>
      <c r="E65" s="1512">
        <v>7275</v>
      </c>
      <c r="F65" s="1513">
        <v>5717</v>
      </c>
      <c r="G65" s="1512">
        <v>4865</v>
      </c>
      <c r="H65" s="1512"/>
      <c r="I65" s="1512"/>
      <c r="J65" s="1513"/>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116990</v>
      </c>
      <c r="D67" s="1533">
        <f t="shared" ref="D67:K67" si="2">SUM(D65:D66)</f>
        <v>7197</v>
      </c>
      <c r="E67" s="1533">
        <f t="shared" si="2"/>
        <v>7275</v>
      </c>
      <c r="F67" s="1533">
        <f t="shared" si="2"/>
        <v>5717</v>
      </c>
      <c r="G67" s="1533">
        <f t="shared" si="2"/>
        <v>4865</v>
      </c>
      <c r="H67" s="1533">
        <f t="shared" si="2"/>
        <v>0</v>
      </c>
      <c r="I67" s="1533">
        <f t="shared" si="2"/>
        <v>0</v>
      </c>
      <c r="J67" s="1533">
        <f t="shared" si="2"/>
        <v>0</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62631</v>
      </c>
      <c r="D69" s="1514"/>
      <c r="E69" s="1514"/>
      <c r="F69" s="1514"/>
      <c r="G69" s="1514"/>
      <c r="H69" s="1514"/>
      <c r="I69" s="1514"/>
      <c r="J69" s="1514"/>
      <c r="K69" s="1514"/>
    </row>
    <row r="70" spans="1:11" ht="12.75" customHeight="1" x14ac:dyDescent="0.2">
      <c r="A70" s="427" t="s">
        <v>990</v>
      </c>
      <c r="B70" s="429">
        <v>1612</v>
      </c>
      <c r="C70" s="1571">
        <v>7323</v>
      </c>
      <c r="D70" s="1514"/>
      <c r="E70" s="1514"/>
      <c r="F70" s="1514"/>
      <c r="G70" s="1514"/>
      <c r="H70" s="1514"/>
      <c r="I70" s="1514"/>
      <c r="J70" s="1514"/>
      <c r="K70" s="1514"/>
    </row>
    <row r="71" spans="1:11" ht="12.75" customHeight="1" x14ac:dyDescent="0.2">
      <c r="A71" s="427" t="s">
        <v>271</v>
      </c>
      <c r="B71" s="429">
        <v>1613</v>
      </c>
      <c r="C71" s="1571">
        <v>23287</v>
      </c>
      <c r="D71" s="1514"/>
      <c r="E71" s="1514"/>
      <c r="F71" s="1514"/>
      <c r="G71" s="1514"/>
      <c r="H71" s="1514"/>
      <c r="I71" s="1514"/>
      <c r="J71" s="1514"/>
      <c r="K71" s="1514"/>
    </row>
    <row r="72" spans="1:11" ht="12.75" customHeight="1" x14ac:dyDescent="0.2">
      <c r="A72" s="427" t="s">
        <v>24</v>
      </c>
      <c r="B72" s="429">
        <v>1614</v>
      </c>
      <c r="C72" s="1571">
        <v>5473</v>
      </c>
      <c r="D72" s="1514"/>
      <c r="E72" s="1514"/>
      <c r="F72" s="1514"/>
      <c r="G72" s="1514"/>
      <c r="H72" s="1514"/>
      <c r="I72" s="1514"/>
      <c r="J72" s="1514"/>
      <c r="K72" s="1514"/>
    </row>
    <row r="73" spans="1:11" ht="12.75" customHeight="1" x14ac:dyDescent="0.2">
      <c r="A73" s="427" t="s">
        <v>991</v>
      </c>
      <c r="B73" s="429">
        <v>1620</v>
      </c>
      <c r="C73" s="1571">
        <v>1000</v>
      </c>
      <c r="D73" s="1514"/>
      <c r="E73" s="1514"/>
      <c r="F73" s="1514"/>
      <c r="G73" s="1514"/>
      <c r="H73" s="1514"/>
      <c r="I73" s="1514"/>
      <c r="J73" s="1514"/>
      <c r="K73" s="1514"/>
    </row>
    <row r="74" spans="1:11" ht="12.75" customHeight="1" x14ac:dyDescent="0.2">
      <c r="A74" s="427" t="s">
        <v>25</v>
      </c>
      <c r="B74" s="429">
        <v>1690</v>
      </c>
      <c r="C74" s="1571">
        <v>1629</v>
      </c>
      <c r="D74" s="1514"/>
      <c r="E74" s="1514"/>
      <c r="F74" s="1514"/>
      <c r="G74" s="1514"/>
      <c r="H74" s="1514"/>
      <c r="I74" s="1514"/>
      <c r="J74" s="1514"/>
      <c r="K74" s="1514"/>
    </row>
    <row r="75" spans="1:11" ht="12.75" customHeight="1" thickBot="1" x14ac:dyDescent="0.25">
      <c r="A75" s="1345" t="s">
        <v>544</v>
      </c>
      <c r="B75" s="1346"/>
      <c r="C75" s="1533">
        <f>SUM(C69:C74)</f>
        <v>101343</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v>6840</v>
      </c>
      <c r="D78" s="1512"/>
      <c r="E78" s="1514"/>
      <c r="F78" s="1514"/>
      <c r="G78" s="1514"/>
      <c r="H78" s="1514"/>
      <c r="I78" s="1514"/>
      <c r="J78" s="1514"/>
      <c r="K78" s="1514"/>
    </row>
    <row r="79" spans="1:11" ht="12.75" customHeight="1" x14ac:dyDescent="0.2">
      <c r="A79" s="427" t="s">
        <v>546</v>
      </c>
      <c r="B79" s="429">
        <v>1720</v>
      </c>
      <c r="C79" s="1571">
        <v>63828</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v>9713</v>
      </c>
      <c r="D81" s="1512"/>
      <c r="E81" s="1514"/>
      <c r="F81" s="1514"/>
      <c r="G81" s="1514"/>
      <c r="H81" s="1514"/>
      <c r="I81" s="1514"/>
      <c r="J81" s="1514"/>
      <c r="K81" s="1514"/>
    </row>
    <row r="82" spans="1:11" ht="12.75" customHeight="1" thickBot="1" x14ac:dyDescent="0.25">
      <c r="A82" s="1345" t="s">
        <v>239</v>
      </c>
      <c r="B82" s="1346"/>
      <c r="C82" s="1572">
        <f>SUM(C77:C81)</f>
        <v>80381</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68130</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68130</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72168</v>
      </c>
      <c r="E95" s="1556"/>
      <c r="F95" s="1556"/>
      <c r="G95" s="1556"/>
      <c r="H95" s="1556"/>
      <c r="I95" s="1556"/>
      <c r="J95" s="1556"/>
      <c r="K95" s="1556"/>
    </row>
    <row r="96" spans="1:11" ht="12.75" customHeight="1" x14ac:dyDescent="0.2">
      <c r="A96" s="427" t="s">
        <v>388</v>
      </c>
      <c r="B96" s="429">
        <v>1920</v>
      </c>
      <c r="C96" s="1571"/>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2846</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71894</v>
      </c>
      <c r="D107" s="1512"/>
      <c r="E107" s="1512"/>
      <c r="F107" s="1512">
        <v>263</v>
      </c>
      <c r="G107" s="1512"/>
      <c r="H107" s="1512"/>
      <c r="I107" s="1512"/>
      <c r="J107" s="1513"/>
      <c r="K107" s="1512"/>
    </row>
    <row r="108" spans="1:12" ht="12.75" customHeight="1" thickBot="1" x14ac:dyDescent="0.25">
      <c r="A108" s="1345" t="s">
        <v>484</v>
      </c>
      <c r="B108" s="1347"/>
      <c r="C108" s="1572">
        <f>SUM(C95:C107)</f>
        <v>74740</v>
      </c>
      <c r="D108" s="1572">
        <f t="shared" ref="D108:K108" si="3">SUM(D95:D107)</f>
        <v>72168</v>
      </c>
      <c r="E108" s="1572">
        <f t="shared" si="3"/>
        <v>0</v>
      </c>
      <c r="F108" s="1572">
        <f t="shared" si="3"/>
        <v>263</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13395770</v>
      </c>
      <c r="D109" s="1580">
        <f t="shared" si="4"/>
        <v>1058001</v>
      </c>
      <c r="E109" s="1580">
        <f t="shared" si="4"/>
        <v>807075</v>
      </c>
      <c r="F109" s="1580">
        <f t="shared" si="4"/>
        <v>595534</v>
      </c>
      <c r="G109" s="1580">
        <f t="shared" si="4"/>
        <v>528960</v>
      </c>
      <c r="H109" s="1580">
        <f t="shared" si="4"/>
        <v>0</v>
      </c>
      <c r="I109" s="1580">
        <f t="shared" si="4"/>
        <v>0</v>
      </c>
      <c r="J109" s="1580">
        <f t="shared" si="4"/>
        <v>0</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1912819</v>
      </c>
      <c r="D117" s="1525"/>
      <c r="E117" s="1512"/>
      <c r="F117" s="1525"/>
      <c r="G117" s="1525"/>
      <c r="H117" s="1512"/>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1912819</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5197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28220</v>
      </c>
      <c r="D128" s="1579"/>
      <c r="E128" s="1514"/>
      <c r="F128" s="1512"/>
      <c r="G128" s="1514"/>
      <c r="H128" s="1514"/>
      <c r="I128" s="1514"/>
      <c r="J128" s="1514"/>
      <c r="K128" s="1514"/>
    </row>
    <row r="129" spans="1:11" ht="12.75" customHeight="1" x14ac:dyDescent="0.2">
      <c r="A129" s="427" t="s">
        <v>1430</v>
      </c>
      <c r="B129" s="478">
        <v>3130</v>
      </c>
      <c r="C129" s="1512">
        <v>22974</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56391</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2052</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106664</v>
      </c>
      <c r="G152" s="1513"/>
      <c r="H152" s="1514"/>
      <c r="I152" s="1514"/>
      <c r="J152" s="1514"/>
      <c r="K152" s="1514"/>
    </row>
    <row r="153" spans="1:11" ht="12.75" customHeight="1" x14ac:dyDescent="0.2">
      <c r="A153" s="427" t="s">
        <v>1048</v>
      </c>
      <c r="B153" s="478">
        <v>3510</v>
      </c>
      <c r="C153" s="1571"/>
      <c r="D153" s="1512"/>
      <c r="E153" s="1579"/>
      <c r="F153" s="1512">
        <v>355499</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462163</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v>250</v>
      </c>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58693</v>
      </c>
      <c r="D169" s="1597">
        <f t="shared" si="6"/>
        <v>50000</v>
      </c>
      <c r="E169" s="1597">
        <f t="shared" si="6"/>
        <v>0</v>
      </c>
      <c r="F169" s="1597">
        <f t="shared" si="6"/>
        <v>462163</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1971512</v>
      </c>
      <c r="D170" s="1580">
        <f t="shared" si="7"/>
        <v>50000</v>
      </c>
      <c r="E170" s="1580">
        <f t="shared" si="7"/>
        <v>0</v>
      </c>
      <c r="F170" s="1580">
        <f t="shared" si="7"/>
        <v>462163</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1777</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121507</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28607</v>
      </c>
      <c r="D193" s="1514"/>
      <c r="E193" s="1579"/>
      <c r="F193" s="1514"/>
      <c r="G193" s="1603"/>
      <c r="H193" s="1514"/>
      <c r="I193" s="1514"/>
      <c r="J193" s="1514"/>
      <c r="K193" s="1514"/>
    </row>
    <row r="194" spans="1:11" ht="12.75" customHeight="1" x14ac:dyDescent="0.2">
      <c r="A194" s="427" t="s">
        <v>1434</v>
      </c>
      <c r="B194" s="429">
        <v>4225</v>
      </c>
      <c r="C194" s="1571">
        <v>34923</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185037</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199193</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199193</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24334</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24334</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15512</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935070</v>
      </c>
      <c r="D213" s="1512"/>
      <c r="E213" s="1514"/>
      <c r="F213" s="1512"/>
      <c r="G213" s="1512"/>
      <c r="H213" s="1514"/>
      <c r="I213" s="1514"/>
      <c r="J213" s="1514"/>
      <c r="K213" s="1514"/>
    </row>
    <row r="214" spans="1:11" ht="12.75" customHeight="1" x14ac:dyDescent="0.2">
      <c r="A214" s="427" t="s">
        <v>1045</v>
      </c>
      <c r="B214" s="429">
        <v>4625</v>
      </c>
      <c r="C214" s="1571">
        <v>38956</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989538</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20179</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47821</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16014</v>
      </c>
      <c r="D263" s="1590"/>
      <c r="E263" s="1514"/>
      <c r="F263" s="1590"/>
      <c r="G263" s="1590"/>
      <c r="H263" s="1514"/>
      <c r="I263" s="1514"/>
      <c r="J263" s="1514"/>
      <c r="K263" s="1514"/>
    </row>
    <row r="264" spans="1:11" ht="12.75" customHeight="1" thickTop="1" thickBot="1" x14ac:dyDescent="0.25">
      <c r="A264" s="427" t="s">
        <v>374</v>
      </c>
      <c r="B264" s="429">
        <v>4992</v>
      </c>
      <c r="C264" s="1589">
        <v>70979</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1553095</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1553095</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16920377</v>
      </c>
      <c r="D268" s="1580">
        <f t="shared" si="12"/>
        <v>1108001</v>
      </c>
      <c r="E268" s="1580">
        <f t="shared" si="12"/>
        <v>807075</v>
      </c>
      <c r="F268" s="1580">
        <f t="shared" si="12"/>
        <v>1057697</v>
      </c>
      <c r="G268" s="1580">
        <f t="shared" si="12"/>
        <v>528960</v>
      </c>
      <c r="H268" s="1580">
        <f t="shared" si="12"/>
        <v>0</v>
      </c>
      <c r="I268" s="1580">
        <f t="shared" si="12"/>
        <v>0</v>
      </c>
      <c r="J268" s="1580">
        <f t="shared" si="12"/>
        <v>0</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1" activePane="bottomLeft" state="frozen"/>
      <selection pane="bottomLeft" activeCell="H38" sqref="H3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1" t="s">
        <v>294</v>
      </c>
      <c r="B3" s="2282"/>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5445733</v>
      </c>
      <c r="D5" s="1512">
        <v>914600</v>
      </c>
      <c r="E5" s="1512">
        <v>131623</v>
      </c>
      <c r="F5" s="1512">
        <v>202816</v>
      </c>
      <c r="G5" s="1512">
        <v>0</v>
      </c>
      <c r="H5" s="1512">
        <v>1081</v>
      </c>
      <c r="I5" s="1513"/>
      <c r="J5" s="1513"/>
      <c r="K5" s="1611">
        <f>SUM(C5:J5)</f>
        <v>6695853</v>
      </c>
      <c r="L5" s="1512">
        <v>7408476</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c r="D7" s="1513"/>
      <c r="E7" s="1513"/>
      <c r="F7" s="1513"/>
      <c r="G7" s="1513"/>
      <c r="H7" s="1513"/>
      <c r="I7" s="1513"/>
      <c r="J7" s="1513"/>
      <c r="K7" s="1611">
        <f t="shared" ref="K7:K32" si="0">SUM(C7:J7)</f>
        <v>0</v>
      </c>
      <c r="L7" s="1512"/>
    </row>
    <row r="8" spans="1:14" x14ac:dyDescent="0.2">
      <c r="A8" s="1214" t="s">
        <v>163</v>
      </c>
      <c r="B8" s="503">
        <v>1200</v>
      </c>
      <c r="C8" s="1512">
        <v>364371</v>
      </c>
      <c r="D8" s="1512">
        <v>78046</v>
      </c>
      <c r="E8" s="1512">
        <v>8604</v>
      </c>
      <c r="F8" s="1512">
        <v>8093</v>
      </c>
      <c r="G8" s="1512">
        <v>0</v>
      </c>
      <c r="H8" s="1512"/>
      <c r="I8" s="1513"/>
      <c r="J8" s="1513"/>
      <c r="K8" s="1611">
        <f t="shared" si="0"/>
        <v>459114</v>
      </c>
      <c r="L8" s="1512">
        <v>550421</v>
      </c>
    </row>
    <row r="9" spans="1:14" x14ac:dyDescent="0.2">
      <c r="A9" s="1214" t="s">
        <v>716</v>
      </c>
      <c r="B9" s="503" t="s">
        <v>962</v>
      </c>
      <c r="C9" s="1513">
        <v>91018</v>
      </c>
      <c r="D9" s="1513">
        <v>7756</v>
      </c>
      <c r="E9" s="1513"/>
      <c r="F9" s="1513">
        <v>1895</v>
      </c>
      <c r="G9" s="1513"/>
      <c r="H9" s="1513"/>
      <c r="I9" s="1513"/>
      <c r="J9" s="1513"/>
      <c r="K9" s="1611">
        <f t="shared" si="0"/>
        <v>100669</v>
      </c>
      <c r="L9" s="1512">
        <v>115324</v>
      </c>
    </row>
    <row r="10" spans="1:14" x14ac:dyDescent="0.2">
      <c r="A10" s="1214" t="s">
        <v>717</v>
      </c>
      <c r="B10" s="503">
        <v>1250</v>
      </c>
      <c r="C10" s="1512">
        <v>1539671</v>
      </c>
      <c r="D10" s="1512">
        <v>199165</v>
      </c>
      <c r="E10" s="1512">
        <v>19816</v>
      </c>
      <c r="F10" s="1512">
        <v>50644</v>
      </c>
      <c r="G10" s="1512"/>
      <c r="H10" s="1512"/>
      <c r="I10" s="1513"/>
      <c r="J10" s="1513"/>
      <c r="K10" s="1611">
        <f t="shared" si="0"/>
        <v>1809296</v>
      </c>
      <c r="L10" s="1512">
        <v>1483132</v>
      </c>
    </row>
    <row r="11" spans="1:14" x14ac:dyDescent="0.2">
      <c r="A11" s="1214" t="s">
        <v>1120</v>
      </c>
      <c r="B11" s="503" t="s">
        <v>160</v>
      </c>
      <c r="C11" s="1513">
        <v>68065</v>
      </c>
      <c r="D11" s="1513">
        <v>9454</v>
      </c>
      <c r="E11" s="1513"/>
      <c r="F11" s="1513">
        <v>509</v>
      </c>
      <c r="G11" s="1513"/>
      <c r="H11" s="1513"/>
      <c r="I11" s="1513"/>
      <c r="J11" s="1513"/>
      <c r="K11" s="1611">
        <f t="shared" si="0"/>
        <v>78028</v>
      </c>
      <c r="L11" s="1512">
        <v>75204</v>
      </c>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v>126</v>
      </c>
      <c r="E13" s="1512">
        <v>909</v>
      </c>
      <c r="F13" s="1512">
        <v>2911</v>
      </c>
      <c r="G13" s="1512"/>
      <c r="H13" s="1512"/>
      <c r="I13" s="1513"/>
      <c r="J13" s="1513"/>
      <c r="K13" s="1611">
        <f t="shared" si="0"/>
        <v>3946</v>
      </c>
      <c r="L13" s="1512">
        <v>83793</v>
      </c>
    </row>
    <row r="14" spans="1:14" x14ac:dyDescent="0.2">
      <c r="A14" s="1214" t="s">
        <v>957</v>
      </c>
      <c r="B14" s="503">
        <v>1500</v>
      </c>
      <c r="C14" s="1512">
        <v>196540</v>
      </c>
      <c r="D14" s="1512">
        <v>27444</v>
      </c>
      <c r="E14" s="1512">
        <v>2123</v>
      </c>
      <c r="F14" s="1512">
        <v>12721</v>
      </c>
      <c r="G14" s="1512">
        <v>2688</v>
      </c>
      <c r="H14" s="1512">
        <v>9759</v>
      </c>
      <c r="I14" s="1513"/>
      <c r="J14" s="1513"/>
      <c r="K14" s="1611">
        <f t="shared" si="0"/>
        <v>251275</v>
      </c>
      <c r="L14" s="1512">
        <v>250788</v>
      </c>
    </row>
    <row r="15" spans="1:14" x14ac:dyDescent="0.2">
      <c r="A15" s="1214" t="s">
        <v>958</v>
      </c>
      <c r="B15" s="503">
        <v>1600</v>
      </c>
      <c r="C15" s="1512"/>
      <c r="D15" s="1512"/>
      <c r="E15" s="1512"/>
      <c r="F15" s="1512">
        <v>139</v>
      </c>
      <c r="G15" s="1512"/>
      <c r="H15" s="1512"/>
      <c r="I15" s="1513"/>
      <c r="J15" s="1513"/>
      <c r="K15" s="1611">
        <f t="shared" si="0"/>
        <v>139</v>
      </c>
      <c r="L15" s="1512">
        <v>500</v>
      </c>
    </row>
    <row r="16" spans="1:14" x14ac:dyDescent="0.2">
      <c r="A16" s="1214" t="s">
        <v>980</v>
      </c>
      <c r="B16" s="503" t="s">
        <v>421</v>
      </c>
      <c r="C16" s="1512">
        <v>166202</v>
      </c>
      <c r="D16" s="1512">
        <v>28725</v>
      </c>
      <c r="E16" s="1512"/>
      <c r="F16" s="1512">
        <v>1276</v>
      </c>
      <c r="G16" s="1512"/>
      <c r="H16" s="1512"/>
      <c r="I16" s="1513"/>
      <c r="J16" s="1513"/>
      <c r="K16" s="1611">
        <f t="shared" si="0"/>
        <v>196203</v>
      </c>
      <c r="L16" s="1512">
        <v>195965</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669564</v>
      </c>
      <c r="D18" s="1512">
        <v>96564</v>
      </c>
      <c r="E18" s="1512"/>
      <c r="F18" s="1512">
        <v>13440</v>
      </c>
      <c r="G18" s="1512"/>
      <c r="H18" s="1512">
        <v>3500</v>
      </c>
      <c r="I18" s="1513"/>
      <c r="J18" s="1513"/>
      <c r="K18" s="1611">
        <f t="shared" si="0"/>
        <v>783068</v>
      </c>
      <c r="L18" s="1512">
        <v>834890</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236483</v>
      </c>
      <c r="I22" s="1612"/>
      <c r="J22" s="1521"/>
      <c r="K22" s="1611">
        <f t="shared" si="0"/>
        <v>236483</v>
      </c>
      <c r="L22" s="1516">
        <v>500000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8541164</v>
      </c>
      <c r="D33" s="1613">
        <f t="shared" ref="D33:L33" si="1">SUM(D5:D32)</f>
        <v>1361880</v>
      </c>
      <c r="E33" s="1613">
        <f t="shared" si="1"/>
        <v>163075</v>
      </c>
      <c r="F33" s="1613">
        <f t="shared" si="1"/>
        <v>294444</v>
      </c>
      <c r="G33" s="1613">
        <f t="shared" si="1"/>
        <v>2688</v>
      </c>
      <c r="H33" s="1613">
        <f t="shared" si="1"/>
        <v>250823</v>
      </c>
      <c r="I33" s="1613">
        <f t="shared" si="1"/>
        <v>0</v>
      </c>
      <c r="J33" s="1613">
        <f t="shared" si="1"/>
        <v>0</v>
      </c>
      <c r="K33" s="1613">
        <f t="shared" si="1"/>
        <v>10614074</v>
      </c>
      <c r="L33" s="1613">
        <f t="shared" si="1"/>
        <v>11498493</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332847</v>
      </c>
      <c r="D36" s="1525">
        <v>57455</v>
      </c>
      <c r="E36" s="1525">
        <v>425</v>
      </c>
      <c r="F36" s="1525">
        <v>2368</v>
      </c>
      <c r="G36" s="1525"/>
      <c r="H36" s="1525"/>
      <c r="I36" s="1513"/>
      <c r="J36" s="1513"/>
      <c r="K36" s="1611">
        <f t="shared" ref="K36:K41" si="2">SUM(C36:J36)</f>
        <v>393095</v>
      </c>
      <c r="L36" s="1512">
        <v>404093</v>
      </c>
    </row>
    <row r="37" spans="1:14" x14ac:dyDescent="0.2">
      <c r="A37" s="1214" t="s">
        <v>1081</v>
      </c>
      <c r="B37" s="503">
        <v>2120</v>
      </c>
      <c r="C37" s="1512">
        <v>53391</v>
      </c>
      <c r="D37" s="1512">
        <v>5241</v>
      </c>
      <c r="E37" s="1512"/>
      <c r="F37" s="1512"/>
      <c r="G37" s="1512"/>
      <c r="H37" s="1512"/>
      <c r="I37" s="1513"/>
      <c r="J37" s="1513"/>
      <c r="K37" s="1611">
        <f t="shared" si="2"/>
        <v>58632</v>
      </c>
      <c r="L37" s="1512">
        <v>60611</v>
      </c>
    </row>
    <row r="38" spans="1:14" x14ac:dyDescent="0.2">
      <c r="A38" s="1214" t="s">
        <v>196</v>
      </c>
      <c r="B38" s="503">
        <v>2130</v>
      </c>
      <c r="C38" s="1512">
        <v>204271</v>
      </c>
      <c r="D38" s="1512">
        <v>31389</v>
      </c>
      <c r="E38" s="1512"/>
      <c r="F38" s="1512">
        <v>4856</v>
      </c>
      <c r="G38" s="1512">
        <v>-1</v>
      </c>
      <c r="H38" s="1512">
        <v>662</v>
      </c>
      <c r="I38" s="1513"/>
      <c r="J38" s="1513"/>
      <c r="K38" s="1611">
        <f t="shared" si="2"/>
        <v>241177</v>
      </c>
      <c r="L38" s="1512">
        <v>210674</v>
      </c>
    </row>
    <row r="39" spans="1:14" x14ac:dyDescent="0.2">
      <c r="A39" s="1214" t="s">
        <v>197</v>
      </c>
      <c r="B39" s="503">
        <v>2140</v>
      </c>
      <c r="C39" s="1512">
        <v>102361</v>
      </c>
      <c r="D39" s="1512">
        <v>48933</v>
      </c>
      <c r="E39" s="1512">
        <v>817</v>
      </c>
      <c r="F39" s="1512">
        <v>2490</v>
      </c>
      <c r="G39" s="1512"/>
      <c r="H39" s="1512">
        <v>675</v>
      </c>
      <c r="I39" s="1513"/>
      <c r="J39" s="1513"/>
      <c r="K39" s="1611">
        <f t="shared" si="2"/>
        <v>155276</v>
      </c>
      <c r="L39" s="1512">
        <v>150881</v>
      </c>
    </row>
    <row r="40" spans="1:14" x14ac:dyDescent="0.2">
      <c r="A40" s="1214" t="s">
        <v>198</v>
      </c>
      <c r="B40" s="503">
        <v>2150</v>
      </c>
      <c r="C40" s="1512"/>
      <c r="D40" s="1512"/>
      <c r="E40" s="1512"/>
      <c r="F40" s="1512"/>
      <c r="G40" s="1512"/>
      <c r="H40" s="1512"/>
      <c r="I40" s="1513"/>
      <c r="J40" s="1513"/>
      <c r="K40" s="1611">
        <f t="shared" si="2"/>
        <v>0</v>
      </c>
      <c r="L40" s="1512"/>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692870</v>
      </c>
      <c r="D42" s="1613">
        <f t="shared" ref="D42:L42" si="3">SUM(D36:D41)</f>
        <v>143018</v>
      </c>
      <c r="E42" s="1613">
        <f t="shared" si="3"/>
        <v>1242</v>
      </c>
      <c r="F42" s="1613">
        <f t="shared" si="3"/>
        <v>9714</v>
      </c>
      <c r="G42" s="1613">
        <f t="shared" si="3"/>
        <v>-1</v>
      </c>
      <c r="H42" s="1613">
        <f t="shared" si="3"/>
        <v>1337</v>
      </c>
      <c r="I42" s="1613">
        <f t="shared" si="3"/>
        <v>0</v>
      </c>
      <c r="J42" s="1613">
        <f t="shared" si="3"/>
        <v>0</v>
      </c>
      <c r="K42" s="1613">
        <f t="shared" si="3"/>
        <v>848180</v>
      </c>
      <c r="L42" s="1613">
        <f t="shared" si="3"/>
        <v>826259</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5297</v>
      </c>
      <c r="D44" s="1525">
        <v>2416</v>
      </c>
      <c r="E44" s="1525">
        <v>2037</v>
      </c>
      <c r="F44" s="1525">
        <v>258</v>
      </c>
      <c r="G44" s="1525"/>
      <c r="H44" s="1525">
        <v>15975</v>
      </c>
      <c r="I44" s="1513"/>
      <c r="J44" s="1513"/>
      <c r="K44" s="1617">
        <f>SUM(C44:J44)</f>
        <v>25983</v>
      </c>
      <c r="L44" s="1525">
        <v>47795</v>
      </c>
    </row>
    <row r="45" spans="1:14" x14ac:dyDescent="0.2">
      <c r="A45" s="1214" t="s">
        <v>810</v>
      </c>
      <c r="B45" s="503">
        <v>2220</v>
      </c>
      <c r="C45" s="1512">
        <v>341461</v>
      </c>
      <c r="D45" s="1512">
        <v>62000</v>
      </c>
      <c r="E45" s="1512">
        <v>84592</v>
      </c>
      <c r="F45" s="1512">
        <v>17347</v>
      </c>
      <c r="G45" s="1512">
        <v>10895</v>
      </c>
      <c r="H45" s="1512">
        <v>425118</v>
      </c>
      <c r="I45" s="1513"/>
      <c r="J45" s="1513"/>
      <c r="K45" s="1617">
        <f>SUM(C45:J45)</f>
        <v>941413</v>
      </c>
      <c r="L45" s="1512">
        <v>891934</v>
      </c>
    </row>
    <row r="46" spans="1:14" x14ac:dyDescent="0.2">
      <c r="A46" s="1214" t="s">
        <v>811</v>
      </c>
      <c r="B46" s="503">
        <v>2230</v>
      </c>
      <c r="C46" s="1512"/>
      <c r="D46" s="1512"/>
      <c r="E46" s="1512">
        <v>19563</v>
      </c>
      <c r="F46" s="1512"/>
      <c r="G46" s="1512"/>
      <c r="H46" s="1512"/>
      <c r="I46" s="1513"/>
      <c r="J46" s="1513"/>
      <c r="K46" s="1617">
        <f>SUM(C46:J46)</f>
        <v>19563</v>
      </c>
      <c r="L46" s="1512">
        <v>18900</v>
      </c>
    </row>
    <row r="47" spans="1:14" ht="12.75" customHeight="1" thickBot="1" x14ac:dyDescent="0.25">
      <c r="A47" s="1319" t="s">
        <v>557</v>
      </c>
      <c r="B47" s="1320" t="s">
        <v>32</v>
      </c>
      <c r="C47" s="1613">
        <f>SUM(C44:C46)</f>
        <v>346758</v>
      </c>
      <c r="D47" s="1613">
        <f t="shared" ref="D47:K47" si="4">SUM(D44:D46)</f>
        <v>64416</v>
      </c>
      <c r="E47" s="1613">
        <f t="shared" si="4"/>
        <v>106192</v>
      </c>
      <c r="F47" s="1613">
        <f t="shared" si="4"/>
        <v>17605</v>
      </c>
      <c r="G47" s="1613">
        <f t="shared" si="4"/>
        <v>10895</v>
      </c>
      <c r="H47" s="1613">
        <f t="shared" si="4"/>
        <v>441093</v>
      </c>
      <c r="I47" s="1613">
        <f t="shared" si="4"/>
        <v>0</v>
      </c>
      <c r="J47" s="1613">
        <f t="shared" si="4"/>
        <v>0</v>
      </c>
      <c r="K47" s="1613">
        <f t="shared" si="4"/>
        <v>986959</v>
      </c>
      <c r="L47" s="1613">
        <f>SUM(L44:L46)</f>
        <v>958629</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173837</v>
      </c>
      <c r="F49" s="1525"/>
      <c r="G49" s="1525"/>
      <c r="H49" s="1525">
        <v>12312</v>
      </c>
      <c r="I49" s="1513"/>
      <c r="J49" s="1513"/>
      <c r="K49" s="1617">
        <f>SUM(C49:J49)</f>
        <v>186149</v>
      </c>
      <c r="L49" s="1525">
        <v>253515</v>
      </c>
    </row>
    <row r="50" spans="1:14" x14ac:dyDescent="0.2">
      <c r="A50" s="1214" t="s">
        <v>813</v>
      </c>
      <c r="B50" s="503">
        <v>2320</v>
      </c>
      <c r="C50" s="1512">
        <v>282740</v>
      </c>
      <c r="D50" s="1512">
        <v>91489</v>
      </c>
      <c r="E50" s="1512">
        <v>7633</v>
      </c>
      <c r="F50" s="1512">
        <v>-370</v>
      </c>
      <c r="G50" s="1512"/>
      <c r="H50" s="1512">
        <v>4282</v>
      </c>
      <c r="I50" s="1513"/>
      <c r="J50" s="1513"/>
      <c r="K50" s="1617">
        <f>SUM(C50:J50)</f>
        <v>385774</v>
      </c>
      <c r="L50" s="1512">
        <v>360842</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282740</v>
      </c>
      <c r="D53" s="1613">
        <f t="shared" ref="D53:L53" si="5">SUM(D49:D52)</f>
        <v>91489</v>
      </c>
      <c r="E53" s="1613">
        <f t="shared" si="5"/>
        <v>181470</v>
      </c>
      <c r="F53" s="1613">
        <f t="shared" si="5"/>
        <v>-370</v>
      </c>
      <c r="G53" s="1613">
        <f t="shared" si="5"/>
        <v>0</v>
      </c>
      <c r="H53" s="1613">
        <f t="shared" si="5"/>
        <v>16594</v>
      </c>
      <c r="I53" s="1613">
        <f t="shared" si="5"/>
        <v>0</v>
      </c>
      <c r="J53" s="1613">
        <f t="shared" si="5"/>
        <v>0</v>
      </c>
      <c r="K53" s="1613">
        <f t="shared" si="5"/>
        <v>571923</v>
      </c>
      <c r="L53" s="1613">
        <f t="shared" si="5"/>
        <v>614357</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630558</v>
      </c>
      <c r="D55" s="1525">
        <v>311110</v>
      </c>
      <c r="E55" s="1525">
        <v>998</v>
      </c>
      <c r="F55" s="1525">
        <v>738</v>
      </c>
      <c r="G55" s="1525">
        <v>-1</v>
      </c>
      <c r="H55" s="1525">
        <v>2123</v>
      </c>
      <c r="I55" s="1513"/>
      <c r="J55" s="1513"/>
      <c r="K55" s="1617">
        <f>SUM(C55:J55)</f>
        <v>945526</v>
      </c>
      <c r="L55" s="1525">
        <v>899180</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630558</v>
      </c>
      <c r="D57" s="1618">
        <f t="shared" ref="D57:K57" si="6">SUM(D55:D56)</f>
        <v>311110</v>
      </c>
      <c r="E57" s="1618">
        <f t="shared" si="6"/>
        <v>998</v>
      </c>
      <c r="F57" s="1618">
        <f t="shared" si="6"/>
        <v>738</v>
      </c>
      <c r="G57" s="1618">
        <f t="shared" si="6"/>
        <v>-1</v>
      </c>
      <c r="H57" s="1618">
        <f t="shared" si="6"/>
        <v>2123</v>
      </c>
      <c r="I57" s="1618">
        <f t="shared" si="6"/>
        <v>0</v>
      </c>
      <c r="J57" s="1618">
        <f t="shared" si="6"/>
        <v>0</v>
      </c>
      <c r="K57" s="1618">
        <f t="shared" si="6"/>
        <v>945526</v>
      </c>
      <c r="L57" s="1613">
        <f>SUM(L55:L56)</f>
        <v>899180</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c r="D59" s="1525"/>
      <c r="E59" s="1525"/>
      <c r="F59" s="1525"/>
      <c r="G59" s="1525"/>
      <c r="H59" s="1525"/>
      <c r="I59" s="1513"/>
      <c r="J59" s="1513"/>
      <c r="K59" s="1617">
        <f t="shared" ref="K59:K64" si="7">SUM(C59:J59)</f>
        <v>0</v>
      </c>
      <c r="L59" s="1525"/>
      <c r="M59" s="501"/>
      <c r="N59" s="501"/>
    </row>
    <row r="60" spans="1:14" s="321" customFormat="1" x14ac:dyDescent="0.2">
      <c r="A60" s="1214" t="s">
        <v>460</v>
      </c>
      <c r="B60" s="503">
        <v>2520</v>
      </c>
      <c r="C60" s="1512">
        <v>229331</v>
      </c>
      <c r="D60" s="1512">
        <v>68544</v>
      </c>
      <c r="E60" s="1512">
        <v>2050</v>
      </c>
      <c r="F60" s="1512">
        <v>1315</v>
      </c>
      <c r="G60" s="1512"/>
      <c r="H60" s="1512">
        <v>1430</v>
      </c>
      <c r="I60" s="1513"/>
      <c r="J60" s="1513"/>
      <c r="K60" s="1617">
        <f t="shared" si="7"/>
        <v>302670</v>
      </c>
      <c r="L60" s="1512">
        <v>321927</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234633</v>
      </c>
      <c r="D63" s="1512">
        <v>29254</v>
      </c>
      <c r="E63" s="1512">
        <v>7642</v>
      </c>
      <c r="F63" s="1512">
        <v>123919</v>
      </c>
      <c r="G63" s="1512">
        <v>0</v>
      </c>
      <c r="H63" s="1512"/>
      <c r="I63" s="1513"/>
      <c r="J63" s="1513"/>
      <c r="K63" s="1617">
        <f t="shared" si="7"/>
        <v>395448</v>
      </c>
      <c r="L63" s="1512">
        <v>417502</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714</v>
      </c>
      <c r="B65" s="1320" t="s">
        <v>35</v>
      </c>
      <c r="C65" s="1613">
        <f>SUM(C59:C64)</f>
        <v>463964</v>
      </c>
      <c r="D65" s="1613">
        <f t="shared" ref="D65:L65" si="8">SUM(D59:D64)</f>
        <v>97798</v>
      </c>
      <c r="E65" s="1613">
        <f t="shared" si="8"/>
        <v>9692</v>
      </c>
      <c r="F65" s="1613">
        <f t="shared" si="8"/>
        <v>125234</v>
      </c>
      <c r="G65" s="1613">
        <f t="shared" si="8"/>
        <v>0</v>
      </c>
      <c r="H65" s="1613">
        <f t="shared" si="8"/>
        <v>1430</v>
      </c>
      <c r="I65" s="1613">
        <f t="shared" si="8"/>
        <v>0</v>
      </c>
      <c r="J65" s="1613">
        <f t="shared" si="8"/>
        <v>0</v>
      </c>
      <c r="K65" s="1613">
        <f t="shared" si="8"/>
        <v>698118</v>
      </c>
      <c r="L65" s="1613">
        <f t="shared" si="8"/>
        <v>739429</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c r="D69" s="1512"/>
      <c r="E69" s="1512"/>
      <c r="F69" s="1512"/>
      <c r="G69" s="1512"/>
      <c r="H69" s="1512"/>
      <c r="I69" s="1513"/>
      <c r="J69" s="1513"/>
      <c r="K69" s="1617">
        <f>SUM(C69:J69)</f>
        <v>0</v>
      </c>
      <c r="L69" s="1512"/>
      <c r="M69" s="501"/>
      <c r="N69" s="501"/>
    </row>
    <row r="70" spans="1:14" s="321" customFormat="1" x14ac:dyDescent="0.2">
      <c r="A70" s="1214" t="s">
        <v>400</v>
      </c>
      <c r="B70" s="503">
        <v>2640</v>
      </c>
      <c r="C70" s="1512"/>
      <c r="D70" s="1512"/>
      <c r="E70" s="1512"/>
      <c r="F70" s="1512"/>
      <c r="G70" s="1512"/>
      <c r="H70" s="1512"/>
      <c r="I70" s="1513"/>
      <c r="J70" s="1513"/>
      <c r="K70" s="1617">
        <f>SUM(C70:J70)</f>
        <v>0</v>
      </c>
      <c r="L70" s="1512"/>
      <c r="M70" s="501"/>
      <c r="N70" s="501"/>
    </row>
    <row r="71" spans="1:14" s="321" customFormat="1" x14ac:dyDescent="0.2">
      <c r="A71" s="1214" t="s">
        <v>401</v>
      </c>
      <c r="B71" s="503">
        <v>2660</v>
      </c>
      <c r="C71" s="1512"/>
      <c r="D71" s="1512"/>
      <c r="E71" s="1512">
        <v>52012</v>
      </c>
      <c r="F71" s="1512"/>
      <c r="G71" s="1512"/>
      <c r="H71" s="1512"/>
      <c r="I71" s="1513"/>
      <c r="J71" s="1513"/>
      <c r="K71" s="1617">
        <f>SUM(C71:J71)</f>
        <v>52012</v>
      </c>
      <c r="L71" s="1512">
        <v>158000</v>
      </c>
      <c r="M71" s="501"/>
      <c r="N71" s="501"/>
    </row>
    <row r="72" spans="1:14" s="321" customFormat="1" ht="12.75" customHeight="1" thickBot="1" x14ac:dyDescent="0.25">
      <c r="A72" s="1319" t="s">
        <v>37</v>
      </c>
      <c r="B72" s="1322" t="s">
        <v>36</v>
      </c>
      <c r="C72" s="1613">
        <f>SUM(C67:C71)</f>
        <v>0</v>
      </c>
      <c r="D72" s="1613">
        <f t="shared" ref="D72:K72" si="9">SUM(D67:D71)</f>
        <v>0</v>
      </c>
      <c r="E72" s="1613">
        <f t="shared" si="9"/>
        <v>52012</v>
      </c>
      <c r="F72" s="1613">
        <f t="shared" si="9"/>
        <v>0</v>
      </c>
      <c r="G72" s="1613">
        <f t="shared" si="9"/>
        <v>0</v>
      </c>
      <c r="H72" s="1613">
        <f t="shared" si="9"/>
        <v>0</v>
      </c>
      <c r="I72" s="1613">
        <f t="shared" si="9"/>
        <v>0</v>
      </c>
      <c r="J72" s="1613">
        <f t="shared" si="9"/>
        <v>0</v>
      </c>
      <c r="K72" s="1613">
        <f t="shared" si="9"/>
        <v>52012</v>
      </c>
      <c r="L72" s="1613">
        <f>SUM(L67:L71)</f>
        <v>158000</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2416890</v>
      </c>
      <c r="D74" s="1620">
        <f t="shared" ref="D74:K74" si="10">SUM(D42,D47,D53,D57,D65,D72,D73)</f>
        <v>707831</v>
      </c>
      <c r="E74" s="1620">
        <f t="shared" si="10"/>
        <v>351606</v>
      </c>
      <c r="F74" s="1620">
        <f t="shared" si="10"/>
        <v>152921</v>
      </c>
      <c r="G74" s="1620">
        <f t="shared" si="10"/>
        <v>10893</v>
      </c>
      <c r="H74" s="1620">
        <f t="shared" si="10"/>
        <v>462577</v>
      </c>
      <c r="I74" s="1620">
        <f t="shared" si="10"/>
        <v>0</v>
      </c>
      <c r="J74" s="1620">
        <f t="shared" si="10"/>
        <v>0</v>
      </c>
      <c r="K74" s="1620">
        <f t="shared" si="10"/>
        <v>4102718</v>
      </c>
      <c r="L74" s="1620">
        <f>SUM(L42,L47,L53,L57,L65,L72,L73)</f>
        <v>4195854</v>
      </c>
    </row>
    <row r="75" spans="1:14" s="254" customFormat="1" ht="15.75" customHeight="1" thickTop="1" thickBot="1" x14ac:dyDescent="0.25">
      <c r="A75" s="1288" t="s">
        <v>47</v>
      </c>
      <c r="B75" s="1289" t="s">
        <v>571</v>
      </c>
      <c r="C75" s="1588"/>
      <c r="D75" s="1588"/>
      <c r="E75" s="1588"/>
      <c r="F75" s="1588"/>
      <c r="G75" s="1588"/>
      <c r="H75" s="1588"/>
      <c r="I75" s="1566"/>
      <c r="J75" s="1566"/>
      <c r="K75" s="1613">
        <f>SUM(C75:J75)</f>
        <v>0</v>
      </c>
      <c r="L75" s="1590"/>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1973660</v>
      </c>
      <c r="F79" s="1612"/>
      <c r="G79" s="1612"/>
      <c r="H79" s="1512"/>
      <c r="I79" s="1521"/>
      <c r="J79" s="1521"/>
      <c r="K79" s="1611">
        <f t="shared" si="11"/>
        <v>1973660</v>
      </c>
      <c r="L79" s="1512">
        <v>1745000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1973660</v>
      </c>
      <c r="F84" s="1612"/>
      <c r="G84" s="1612"/>
      <c r="H84" s="1613">
        <f>SUM(H78:H83)</f>
        <v>0</v>
      </c>
      <c r="I84" s="1521"/>
      <c r="J84" s="1521"/>
      <c r="K84" s="1613">
        <f>SUM(K78:K83)</f>
        <v>1973660</v>
      </c>
      <c r="L84" s="1613">
        <f>SUM(L78:L83)</f>
        <v>1745000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1973660</v>
      </c>
      <c r="F102" s="1612"/>
      <c r="G102" s="1612"/>
      <c r="H102" s="1620">
        <f>SUM(H84,H92,H100,H101)</f>
        <v>0</v>
      </c>
      <c r="I102" s="1521"/>
      <c r="J102" s="1521"/>
      <c r="K102" s="1620">
        <f>SUM(K84,K92,K100,K101)</f>
        <v>1973660</v>
      </c>
      <c r="L102" s="1620">
        <f>SUM(L84,L92,L100,L101)</f>
        <v>1745000</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10958054</v>
      </c>
      <c r="D114" s="1613">
        <f t="shared" ref="D114:K114" si="13">SUM(D33,D74,D75,D102,D112,D113)</f>
        <v>2069711</v>
      </c>
      <c r="E114" s="1613">
        <f t="shared" si="13"/>
        <v>2488341</v>
      </c>
      <c r="F114" s="1613">
        <f t="shared" si="13"/>
        <v>447365</v>
      </c>
      <c r="G114" s="1613">
        <f t="shared" si="13"/>
        <v>13581</v>
      </c>
      <c r="H114" s="1613">
        <f>SUM(H33,H74,H75,H102,H112,H113)</f>
        <v>713400</v>
      </c>
      <c r="I114" s="1613">
        <f t="shared" si="13"/>
        <v>0</v>
      </c>
      <c r="J114" s="1613">
        <f t="shared" si="13"/>
        <v>0</v>
      </c>
      <c r="K114" s="1613">
        <f t="shared" si="13"/>
        <v>16690452</v>
      </c>
      <c r="L114" s="1613">
        <f>SUM(L33,L74,L75,L102,L112,L113)</f>
        <v>17439347</v>
      </c>
    </row>
    <row r="115" spans="1:14" ht="13.5" thickTop="1" x14ac:dyDescent="0.2">
      <c r="A115" s="2273" t="s">
        <v>989</v>
      </c>
      <c r="B115" s="2274"/>
      <c r="C115" s="1614"/>
      <c r="D115" s="1614"/>
      <c r="E115" s="1614"/>
      <c r="F115" s="1614"/>
      <c r="G115" s="1614"/>
      <c r="H115" s="1614"/>
      <c r="I115" s="1614"/>
      <c r="J115" s="1614"/>
      <c r="K115" s="1628">
        <f>'Revenues 9-14'!C268-'Expenditures 15-22'!K114</f>
        <v>229925</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8" t="s">
        <v>293</v>
      </c>
      <c r="B117" s="2279"/>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500247</v>
      </c>
      <c r="D124" s="1512">
        <v>102395</v>
      </c>
      <c r="E124" s="1512">
        <v>269219</v>
      </c>
      <c r="F124" s="1512">
        <v>250802</v>
      </c>
      <c r="G124" s="1512">
        <v>15080</v>
      </c>
      <c r="H124" s="1512"/>
      <c r="I124" s="1513"/>
      <c r="J124" s="1513"/>
      <c r="K124" s="1613">
        <f>SUM(C124:J124)</f>
        <v>1137743</v>
      </c>
      <c r="L124" s="1512">
        <v>1234932</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500247</v>
      </c>
      <c r="D127" s="1613">
        <f t="shared" ref="D127:L127" si="14">SUM(D122:D126)</f>
        <v>102395</v>
      </c>
      <c r="E127" s="1613">
        <f t="shared" si="14"/>
        <v>269219</v>
      </c>
      <c r="F127" s="1613">
        <f t="shared" si="14"/>
        <v>250802</v>
      </c>
      <c r="G127" s="1613">
        <f t="shared" si="14"/>
        <v>15080</v>
      </c>
      <c r="H127" s="1613">
        <f t="shared" si="14"/>
        <v>0</v>
      </c>
      <c r="I127" s="1613">
        <f t="shared" si="14"/>
        <v>0</v>
      </c>
      <c r="J127" s="1613">
        <f t="shared" si="14"/>
        <v>0</v>
      </c>
      <c r="K127" s="1613">
        <f t="shared" si="14"/>
        <v>1137743</v>
      </c>
      <c r="L127" s="1613">
        <f t="shared" si="14"/>
        <v>1234932</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500247</v>
      </c>
      <c r="D129" s="1620">
        <f t="shared" ref="D129:L129" si="15">SUM(D120,D127,D128)</f>
        <v>102395</v>
      </c>
      <c r="E129" s="1620">
        <f t="shared" si="15"/>
        <v>269219</v>
      </c>
      <c r="F129" s="1620">
        <f t="shared" si="15"/>
        <v>250802</v>
      </c>
      <c r="G129" s="1620">
        <f t="shared" si="15"/>
        <v>15080</v>
      </c>
      <c r="H129" s="1620">
        <f t="shared" si="15"/>
        <v>0</v>
      </c>
      <c r="I129" s="1620">
        <f t="shared" si="15"/>
        <v>0</v>
      </c>
      <c r="J129" s="1620">
        <f t="shared" si="15"/>
        <v>0</v>
      </c>
      <c r="K129" s="1620">
        <f t="shared" si="15"/>
        <v>1137743</v>
      </c>
      <c r="L129" s="1620">
        <f t="shared" si="15"/>
        <v>1234932</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90" t="s">
        <v>616</v>
      </c>
      <c r="B151" s="2270"/>
      <c r="C151" s="1613">
        <f>SUM(C129,C130,C139,C149,C150)</f>
        <v>500247</v>
      </c>
      <c r="D151" s="1613">
        <f t="shared" ref="D151:K151" si="16">SUM(D129,D130,D139,D149,D150)</f>
        <v>102395</v>
      </c>
      <c r="E151" s="1613">
        <f t="shared" si="16"/>
        <v>269219</v>
      </c>
      <c r="F151" s="1613">
        <f t="shared" si="16"/>
        <v>250802</v>
      </c>
      <c r="G151" s="1613">
        <f t="shared" si="16"/>
        <v>15080</v>
      </c>
      <c r="H151" s="1613">
        <f t="shared" si="16"/>
        <v>0</v>
      </c>
      <c r="I151" s="1613">
        <f t="shared" si="16"/>
        <v>0</v>
      </c>
      <c r="J151" s="1613">
        <f t="shared" si="16"/>
        <v>0</v>
      </c>
      <c r="K151" s="1613">
        <f t="shared" si="16"/>
        <v>1137743</v>
      </c>
      <c r="L151" s="1613">
        <f>SUM(L129,L130,L139,L149,L150)</f>
        <v>1234932</v>
      </c>
    </row>
    <row r="152" spans="1:14" ht="12.75" customHeight="1" thickTop="1" x14ac:dyDescent="0.2">
      <c r="A152" s="2293" t="s">
        <v>1168</v>
      </c>
      <c r="B152" s="2294"/>
      <c r="C152" s="1614"/>
      <c r="D152" s="1614"/>
      <c r="E152" s="1614"/>
      <c r="F152" s="1614"/>
      <c r="G152" s="1614"/>
      <c r="H152" s="1614"/>
      <c r="I152" s="1614"/>
      <c r="J152" s="1612"/>
      <c r="K152" s="1628">
        <f>'Revenues 9-14'!D268-'Expenditures 15-22'!K151</f>
        <v>-29742</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8" t="s">
        <v>617</v>
      </c>
      <c r="B154" s="2280"/>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75625</v>
      </c>
      <c r="I169" s="1612"/>
      <c r="J169" s="1612"/>
      <c r="K169" s="1611">
        <f>SUM(C169:H169)</f>
        <v>75625</v>
      </c>
      <c r="L169" s="1634">
        <v>105000</v>
      </c>
    </row>
    <row r="170" spans="1:14" ht="33.75" customHeight="1" x14ac:dyDescent="0.2">
      <c r="A170" s="543" t="s">
        <v>1651</v>
      </c>
      <c r="B170" s="545" t="s">
        <v>31</v>
      </c>
      <c r="C170" s="1612"/>
      <c r="D170" s="1612"/>
      <c r="E170" s="1612"/>
      <c r="F170" s="1612"/>
      <c r="G170" s="1612"/>
      <c r="H170" s="1585">
        <v>710000</v>
      </c>
      <c r="I170" s="1612"/>
      <c r="J170" s="1612"/>
      <c r="K170" s="1611">
        <f>SUM(C170:J170)</f>
        <v>710000</v>
      </c>
      <c r="L170" s="1585">
        <v>662500</v>
      </c>
    </row>
    <row r="171" spans="1:14" ht="15.75" customHeight="1" x14ac:dyDescent="0.2">
      <c r="A171" s="507" t="s">
        <v>761</v>
      </c>
      <c r="B171" s="546" t="s">
        <v>84</v>
      </c>
      <c r="C171" s="1612"/>
      <c r="D171" s="1612"/>
      <c r="E171" s="1512"/>
      <c r="F171" s="1612"/>
      <c r="G171" s="1612"/>
      <c r="H171" s="1585">
        <v>475</v>
      </c>
      <c r="I171" s="1521"/>
      <c r="J171" s="1612"/>
      <c r="K171" s="1611">
        <f>SUM(C171:J171)</f>
        <v>475</v>
      </c>
      <c r="L171" s="1585">
        <v>475</v>
      </c>
    </row>
    <row r="172" spans="1:14" ht="12.75" customHeight="1" thickBot="1" x14ac:dyDescent="0.25">
      <c r="A172" s="1319" t="s">
        <v>633</v>
      </c>
      <c r="B172" s="1320" t="s">
        <v>489</v>
      </c>
      <c r="C172" s="1612"/>
      <c r="D172" s="1612"/>
      <c r="E172" s="1620">
        <f>SUM(E168,E169,E170,E171)</f>
        <v>0</v>
      </c>
      <c r="F172" s="1612"/>
      <c r="G172" s="1612"/>
      <c r="H172" s="1620">
        <f>SUM(H168,H169,H170,H171)</f>
        <v>786100</v>
      </c>
      <c r="I172" s="1623"/>
      <c r="J172" s="1612"/>
      <c r="K172" s="1620">
        <f>SUM(K168,K169,K170,K171)</f>
        <v>786100</v>
      </c>
      <c r="L172" s="1620">
        <f>SUM(L168,L169,L170,L171)</f>
        <v>767975</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786100</v>
      </c>
      <c r="I174" s="1623"/>
      <c r="J174" s="1612"/>
      <c r="K174" s="1620">
        <f>SUM(K160,K172,K173)</f>
        <v>786100</v>
      </c>
      <c r="L174" s="1620">
        <f>SUM(L160,L172,L173)</f>
        <v>767975</v>
      </c>
    </row>
    <row r="175" spans="1:14" ht="13.5" thickTop="1" x14ac:dyDescent="0.2">
      <c r="A175" s="2273" t="s">
        <v>989</v>
      </c>
      <c r="B175" s="2274"/>
      <c r="C175" s="1612"/>
      <c r="D175" s="1612"/>
      <c r="E175" s="1612"/>
      <c r="F175" s="1612"/>
      <c r="G175" s="1612"/>
      <c r="H175" s="1614"/>
      <c r="I175" s="1612"/>
      <c r="J175" s="1612"/>
      <c r="K175" s="1628">
        <f>'Revenues 9-14'!E268-'Expenditures 15-22'!K174</f>
        <v>20975</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167123</v>
      </c>
      <c r="D182" s="1512">
        <v>12439</v>
      </c>
      <c r="E182" s="1512">
        <v>491961</v>
      </c>
      <c r="F182" s="1512">
        <v>31569</v>
      </c>
      <c r="G182" s="1512">
        <v>141020</v>
      </c>
      <c r="H182" s="1512"/>
      <c r="I182" s="1513"/>
      <c r="J182" s="1513"/>
      <c r="K182" s="1611">
        <f>SUM(C182:J182)</f>
        <v>844112</v>
      </c>
      <c r="L182" s="1512">
        <v>1091006</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167123</v>
      </c>
      <c r="D184" s="1620">
        <f t="shared" ref="D184:J184" si="17">SUM(D180,D182,D183)</f>
        <v>12439</v>
      </c>
      <c r="E184" s="1620">
        <f t="shared" si="17"/>
        <v>491961</v>
      </c>
      <c r="F184" s="1620">
        <f t="shared" si="17"/>
        <v>31569</v>
      </c>
      <c r="G184" s="1620">
        <f t="shared" si="17"/>
        <v>141020</v>
      </c>
      <c r="H184" s="1620">
        <f t="shared" si="17"/>
        <v>0</v>
      </c>
      <c r="I184" s="1620">
        <f t="shared" si="17"/>
        <v>0</v>
      </c>
      <c r="J184" s="1620">
        <f t="shared" si="17"/>
        <v>0</v>
      </c>
      <c r="K184" s="1620">
        <f>SUM(K180,K182,K183)</f>
        <v>844112</v>
      </c>
      <c r="L184" s="1620">
        <f>SUM(L180, L182:L183)</f>
        <v>1091006</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167123</v>
      </c>
      <c r="D210" s="1613">
        <f>SUM(D184,D185)</f>
        <v>12439</v>
      </c>
      <c r="E210" s="1613">
        <f>SUM(E184,E185,E196)</f>
        <v>491961</v>
      </c>
      <c r="F210" s="1613">
        <f>SUM(F184,F185)</f>
        <v>31569</v>
      </c>
      <c r="G210" s="1613">
        <f>SUM(G184,G185)</f>
        <v>141020</v>
      </c>
      <c r="H210" s="1613">
        <f>SUM(H184,H185,H196,H208,H209)</f>
        <v>0</v>
      </c>
      <c r="I210" s="1613">
        <f>SUM(I184,I185)</f>
        <v>0</v>
      </c>
      <c r="J210" s="1613">
        <f>SUM(J184,J185)</f>
        <v>0</v>
      </c>
      <c r="K210" s="1611">
        <f>SUM(K184,K185,K196,K208,K209)</f>
        <v>844112</v>
      </c>
      <c r="L210" s="1613">
        <f>SUM(L184,L185,L196,L208,L209)</f>
        <v>1091006</v>
      </c>
    </row>
    <row r="211" spans="1:14" ht="13.5" thickTop="1" x14ac:dyDescent="0.2">
      <c r="A211" s="2273" t="s">
        <v>989</v>
      </c>
      <c r="B211" s="2274"/>
      <c r="C211" s="1614"/>
      <c r="D211" s="1614"/>
      <c r="E211" s="1614"/>
      <c r="F211" s="1614"/>
      <c r="G211" s="1614"/>
      <c r="H211" s="1614"/>
      <c r="I211" s="1612"/>
      <c r="J211" s="1612"/>
      <c r="K211" s="1628">
        <f>'Revenues 9-14'!F268-'Expenditures 15-22'!K210</f>
        <v>213585</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5" t="s">
        <v>959</v>
      </c>
      <c r="B213" s="2296"/>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11059</v>
      </c>
      <c r="E215" s="1612"/>
      <c r="F215" s="1612"/>
      <c r="G215" s="1612"/>
      <c r="H215" s="1612"/>
      <c r="I215" s="1612"/>
      <c r="J215" s="1612"/>
      <c r="K215" s="1611">
        <f>D215</f>
        <v>11059</v>
      </c>
      <c r="L215" s="1512">
        <v>85066</v>
      </c>
    </row>
    <row r="216" spans="1:14" x14ac:dyDescent="0.2">
      <c r="A216" s="1214" t="s">
        <v>162</v>
      </c>
      <c r="B216" s="503" t="s">
        <v>961</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16709</v>
      </c>
      <c r="E217" s="1612"/>
      <c r="F217" s="1612"/>
      <c r="G217" s="1612"/>
      <c r="H217" s="1612"/>
      <c r="I217" s="1612"/>
      <c r="J217" s="1612"/>
      <c r="K217" s="1611">
        <f t="shared" si="19"/>
        <v>16709</v>
      </c>
      <c r="L217" s="1512">
        <v>20241</v>
      </c>
    </row>
    <row r="218" spans="1:14" x14ac:dyDescent="0.2">
      <c r="A218" s="1214" t="s">
        <v>276</v>
      </c>
      <c r="B218" s="503" t="s">
        <v>962</v>
      </c>
      <c r="C218" s="1612"/>
      <c r="D218" s="1513">
        <v>4856</v>
      </c>
      <c r="E218" s="1612"/>
      <c r="F218" s="1612"/>
      <c r="G218" s="1612"/>
      <c r="H218" s="1612"/>
      <c r="I218" s="1612"/>
      <c r="J218" s="1612"/>
      <c r="K218" s="1611">
        <f t="shared" si="19"/>
        <v>4856</v>
      </c>
      <c r="L218" s="1512">
        <v>8243</v>
      </c>
    </row>
    <row r="219" spans="1:14" x14ac:dyDescent="0.2">
      <c r="A219" s="1214" t="s">
        <v>277</v>
      </c>
      <c r="B219" s="503">
        <v>1250</v>
      </c>
      <c r="C219" s="1612"/>
      <c r="D219" s="1512">
        <v>35355</v>
      </c>
      <c r="E219" s="1612"/>
      <c r="F219" s="1612"/>
      <c r="G219" s="1612"/>
      <c r="H219" s="1612"/>
      <c r="I219" s="1612"/>
      <c r="J219" s="1612"/>
      <c r="K219" s="1611">
        <f t="shared" si="19"/>
        <v>35355</v>
      </c>
      <c r="L219" s="1512">
        <v>56948</v>
      </c>
    </row>
    <row r="220" spans="1:14" x14ac:dyDescent="0.2">
      <c r="A220" s="1214" t="s">
        <v>278</v>
      </c>
      <c r="B220" s="503" t="s">
        <v>160</v>
      </c>
      <c r="C220" s="1612"/>
      <c r="D220" s="1513"/>
      <c r="E220" s="1612"/>
      <c r="F220" s="1612"/>
      <c r="G220" s="1612"/>
      <c r="H220" s="1612"/>
      <c r="I220" s="1612"/>
      <c r="J220" s="1612"/>
      <c r="K220" s="1611">
        <f t="shared" si="19"/>
        <v>0</v>
      </c>
      <c r="L220" s="1512">
        <v>1328</v>
      </c>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v>934</v>
      </c>
    </row>
    <row r="223" spans="1:14" x14ac:dyDescent="0.2">
      <c r="A223" s="1214" t="s">
        <v>957</v>
      </c>
      <c r="B223" s="503">
        <v>1500</v>
      </c>
      <c r="C223" s="1612"/>
      <c r="D223" s="1512">
        <v>677</v>
      </c>
      <c r="E223" s="1612"/>
      <c r="F223" s="1612"/>
      <c r="G223" s="1612"/>
      <c r="H223" s="1612"/>
      <c r="I223" s="1612"/>
      <c r="J223" s="1612"/>
      <c r="K223" s="1611">
        <f t="shared" si="19"/>
        <v>677</v>
      </c>
      <c r="L223" s="1512">
        <v>2906</v>
      </c>
    </row>
    <row r="224" spans="1:14" x14ac:dyDescent="0.2">
      <c r="A224" s="1214" t="s">
        <v>958</v>
      </c>
      <c r="B224" s="503">
        <v>1600</v>
      </c>
      <c r="C224" s="1612"/>
      <c r="D224" s="1512"/>
      <c r="E224" s="1612"/>
      <c r="F224" s="1612"/>
      <c r="G224" s="1612"/>
      <c r="H224" s="1612"/>
      <c r="I224" s="1612"/>
      <c r="J224" s="1612"/>
      <c r="K224" s="1611">
        <f t="shared" si="19"/>
        <v>0</v>
      </c>
      <c r="L224" s="1512"/>
    </row>
    <row r="225" spans="1:12" x14ac:dyDescent="0.2">
      <c r="A225" s="1214" t="s">
        <v>980</v>
      </c>
      <c r="B225" s="503">
        <v>1650</v>
      </c>
      <c r="C225" s="1612"/>
      <c r="D225" s="1512"/>
      <c r="E225" s="1612"/>
      <c r="F225" s="1612"/>
      <c r="G225" s="1612"/>
      <c r="H225" s="1612"/>
      <c r="I225" s="1612"/>
      <c r="J225" s="1612"/>
      <c r="K225" s="1611">
        <f t="shared" si="19"/>
        <v>0</v>
      </c>
      <c r="L225" s="1512">
        <v>2176</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5022</v>
      </c>
      <c r="E227" s="1612"/>
      <c r="F227" s="1612"/>
      <c r="G227" s="1612"/>
      <c r="H227" s="1612"/>
      <c r="I227" s="1612"/>
      <c r="J227" s="1612"/>
      <c r="K227" s="1611">
        <f t="shared" si="19"/>
        <v>5022</v>
      </c>
      <c r="L227" s="1512">
        <v>16108</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73678</v>
      </c>
      <c r="E229" s="1612"/>
      <c r="F229" s="1612"/>
      <c r="G229" s="1612"/>
      <c r="H229" s="1612"/>
      <c r="I229" s="1612"/>
      <c r="J229" s="1612"/>
      <c r="K229" s="1613">
        <f>SUM(K215:K228)</f>
        <v>73678</v>
      </c>
      <c r="L229" s="1613">
        <f>SUM(L215:L228)</f>
        <v>193950</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966</v>
      </c>
      <c r="E232" s="1612"/>
      <c r="F232" s="1612"/>
      <c r="G232" s="1612"/>
      <c r="H232" s="1612"/>
      <c r="I232" s="1612"/>
      <c r="J232" s="1612"/>
      <c r="K232" s="1611">
        <f t="shared" ref="K232:K237" si="20">D232</f>
        <v>966</v>
      </c>
      <c r="L232" s="1512">
        <v>10736</v>
      </c>
    </row>
    <row r="233" spans="1:12" x14ac:dyDescent="0.2">
      <c r="A233" s="1214" t="s">
        <v>1081</v>
      </c>
      <c r="B233" s="503">
        <v>2120</v>
      </c>
      <c r="C233" s="1612"/>
      <c r="D233" s="1512"/>
      <c r="E233" s="1612"/>
      <c r="F233" s="1612"/>
      <c r="G233" s="1612"/>
      <c r="H233" s="1612"/>
      <c r="I233" s="1612"/>
      <c r="J233" s="1612"/>
      <c r="K233" s="1611">
        <f t="shared" si="20"/>
        <v>0</v>
      </c>
      <c r="L233" s="1512">
        <v>753</v>
      </c>
    </row>
    <row r="234" spans="1:12" x14ac:dyDescent="0.2">
      <c r="A234" s="1214" t="s">
        <v>196</v>
      </c>
      <c r="B234" s="503">
        <v>2130</v>
      </c>
      <c r="C234" s="1612"/>
      <c r="D234" s="1512">
        <v>22979</v>
      </c>
      <c r="E234" s="1612"/>
      <c r="F234" s="1612"/>
      <c r="G234" s="1612"/>
      <c r="H234" s="1612"/>
      <c r="I234" s="1612"/>
      <c r="J234" s="1612"/>
      <c r="K234" s="1611">
        <f t="shared" si="20"/>
        <v>22979</v>
      </c>
      <c r="L234" s="1512">
        <v>19250</v>
      </c>
    </row>
    <row r="235" spans="1:12" x14ac:dyDescent="0.2">
      <c r="A235" s="1214" t="s">
        <v>197</v>
      </c>
      <c r="B235" s="503">
        <v>2140</v>
      </c>
      <c r="C235" s="1612"/>
      <c r="D235" s="1512"/>
      <c r="E235" s="1612"/>
      <c r="F235" s="1612"/>
      <c r="G235" s="1612"/>
      <c r="H235" s="1612"/>
      <c r="I235" s="1612"/>
      <c r="J235" s="1612"/>
      <c r="K235" s="1611">
        <f t="shared" si="20"/>
        <v>0</v>
      </c>
      <c r="L235" s="1512">
        <v>1900</v>
      </c>
    </row>
    <row r="236" spans="1:12" x14ac:dyDescent="0.2">
      <c r="A236" s="1214" t="s">
        <v>198</v>
      </c>
      <c r="B236" s="503">
        <v>2150</v>
      </c>
      <c r="C236" s="1612"/>
      <c r="D236" s="1512"/>
      <c r="E236" s="1612"/>
      <c r="F236" s="1612"/>
      <c r="G236" s="1612"/>
      <c r="H236" s="1612"/>
      <c r="I236" s="1612"/>
      <c r="J236" s="1612"/>
      <c r="K236" s="1611">
        <f t="shared" si="20"/>
        <v>0</v>
      </c>
      <c r="L236" s="1512"/>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23945</v>
      </c>
      <c r="E238" s="1612"/>
      <c r="F238" s="1612"/>
      <c r="G238" s="1612"/>
      <c r="H238" s="1612"/>
      <c r="I238" s="1612"/>
      <c r="J238" s="1612"/>
      <c r="K238" s="1613">
        <f>SUM(K232:K237)</f>
        <v>23945</v>
      </c>
      <c r="L238" s="1613">
        <f>SUM(L232:L237)</f>
        <v>32639</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c r="E240" s="1612"/>
      <c r="F240" s="1612"/>
      <c r="G240" s="1612"/>
      <c r="H240" s="1612"/>
      <c r="I240" s="1612"/>
      <c r="J240" s="1612"/>
      <c r="K240" s="1617">
        <f>D240</f>
        <v>0</v>
      </c>
      <c r="L240" s="1525">
        <v>116</v>
      </c>
    </row>
    <row r="241" spans="1:12" x14ac:dyDescent="0.2">
      <c r="A241" s="1214" t="s">
        <v>810</v>
      </c>
      <c r="B241" s="503">
        <v>2220</v>
      </c>
      <c r="C241" s="1612"/>
      <c r="D241" s="1512">
        <v>27565</v>
      </c>
      <c r="E241" s="1612"/>
      <c r="F241" s="1612"/>
      <c r="G241" s="1612"/>
      <c r="H241" s="1612"/>
      <c r="I241" s="1612"/>
      <c r="J241" s="1612"/>
      <c r="K241" s="1617">
        <f>D241</f>
        <v>27565</v>
      </c>
      <c r="L241" s="1512">
        <v>23799</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27565</v>
      </c>
      <c r="E243" s="1612"/>
      <c r="F243" s="1612"/>
      <c r="G243" s="1612"/>
      <c r="H243" s="1612"/>
      <c r="I243" s="1612"/>
      <c r="J243" s="1612"/>
      <c r="K243" s="1613">
        <f>SUM(K240:K242)</f>
        <v>27565</v>
      </c>
      <c r="L243" s="1613">
        <f>SUM(L240:L242)</f>
        <v>23915</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v>23</v>
      </c>
    </row>
    <row r="246" spans="1:12" x14ac:dyDescent="0.2">
      <c r="A246" s="1214" t="s">
        <v>813</v>
      </c>
      <c r="B246" s="503">
        <v>2320</v>
      </c>
      <c r="C246" s="1612"/>
      <c r="D246" s="1512">
        <v>10259</v>
      </c>
      <c r="E246" s="1612"/>
      <c r="F246" s="1612"/>
      <c r="G246" s="1612"/>
      <c r="H246" s="1612"/>
      <c r="I246" s="1612"/>
      <c r="J246" s="1612"/>
      <c r="K246" s="1617">
        <f t="shared" ref="K246:K256" si="21">D246</f>
        <v>10259</v>
      </c>
      <c r="L246" s="1512">
        <v>13526</v>
      </c>
    </row>
    <row r="247" spans="1:12" x14ac:dyDescent="0.2">
      <c r="A247" s="1214" t="s">
        <v>814</v>
      </c>
      <c r="B247" s="503">
        <v>2330</v>
      </c>
      <c r="C247" s="1612"/>
      <c r="D247" s="1512"/>
      <c r="E247" s="1612"/>
      <c r="F247" s="1612"/>
      <c r="G247" s="1612"/>
      <c r="H247" s="1612"/>
      <c r="I247" s="1612"/>
      <c r="J247" s="1612"/>
      <c r="K247" s="1617">
        <f t="shared" si="21"/>
        <v>0</v>
      </c>
      <c r="L247" s="1512"/>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10259</v>
      </c>
      <c r="E257" s="1612"/>
      <c r="F257" s="1612"/>
      <c r="G257" s="1612"/>
      <c r="H257" s="1612"/>
      <c r="I257" s="1612"/>
      <c r="J257" s="1612"/>
      <c r="K257" s="1613">
        <f>SUM(K245:K256)</f>
        <v>10259</v>
      </c>
      <c r="L257" s="1613">
        <f>SUM(L245:L256)</f>
        <v>13549</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22608</v>
      </c>
      <c r="E259" s="1612"/>
      <c r="F259" s="1612"/>
      <c r="G259" s="1612"/>
      <c r="H259" s="1612"/>
      <c r="I259" s="1612"/>
      <c r="J259" s="1612"/>
      <c r="K259" s="1617">
        <f>D259</f>
        <v>22608</v>
      </c>
      <c r="L259" s="1525">
        <v>28081</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22608</v>
      </c>
      <c r="E261" s="1612"/>
      <c r="F261" s="1612"/>
      <c r="G261" s="1612"/>
      <c r="H261" s="1612"/>
      <c r="I261" s="1612"/>
      <c r="J261" s="1612"/>
      <c r="K261" s="1613">
        <f>SUM(K259:K260)</f>
        <v>22608</v>
      </c>
      <c r="L261" s="1613">
        <f>SUM(L259:L260)</f>
        <v>28081</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c r="E263" s="1612"/>
      <c r="F263" s="1612"/>
      <c r="G263" s="1612"/>
      <c r="H263" s="1612"/>
      <c r="I263" s="1612"/>
      <c r="J263" s="1612"/>
      <c r="K263" s="1617">
        <f>D263</f>
        <v>0</v>
      </c>
      <c r="L263" s="1525"/>
    </row>
    <row r="264" spans="1:14" x14ac:dyDescent="0.2">
      <c r="A264" s="1214" t="s">
        <v>460</v>
      </c>
      <c r="B264" s="559">
        <v>2520</v>
      </c>
      <c r="C264" s="1612"/>
      <c r="D264" s="1512">
        <v>20558</v>
      </c>
      <c r="E264" s="1612"/>
      <c r="F264" s="1612"/>
      <c r="G264" s="1612"/>
      <c r="H264" s="1612"/>
      <c r="I264" s="1612"/>
      <c r="J264" s="1612"/>
      <c r="K264" s="1617">
        <f t="shared" ref="K264:K269" si="22">D264</f>
        <v>20558</v>
      </c>
      <c r="L264" s="1512">
        <v>24297</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91317</v>
      </c>
      <c r="E266" s="1612"/>
      <c r="F266" s="1612"/>
      <c r="G266" s="1612"/>
      <c r="H266" s="1612"/>
      <c r="I266" s="1612"/>
      <c r="J266" s="1612"/>
      <c r="K266" s="1617">
        <f t="shared" si="22"/>
        <v>91317</v>
      </c>
      <c r="L266" s="1512">
        <v>87101</v>
      </c>
    </row>
    <row r="267" spans="1:14" x14ac:dyDescent="0.2">
      <c r="A267" s="1214" t="s">
        <v>947</v>
      </c>
      <c r="B267" s="503">
        <v>2550</v>
      </c>
      <c r="C267" s="1612"/>
      <c r="D267" s="1512">
        <v>28072</v>
      </c>
      <c r="E267" s="1612"/>
      <c r="F267" s="1612"/>
      <c r="G267" s="1612"/>
      <c r="H267" s="1612"/>
      <c r="I267" s="1612"/>
      <c r="J267" s="1612"/>
      <c r="K267" s="1617">
        <f t="shared" si="22"/>
        <v>28072</v>
      </c>
      <c r="L267" s="1512">
        <v>33722</v>
      </c>
    </row>
    <row r="268" spans="1:14" x14ac:dyDescent="0.2">
      <c r="A268" s="1214" t="s">
        <v>100</v>
      </c>
      <c r="B268" s="503">
        <v>2560</v>
      </c>
      <c r="C268" s="1612"/>
      <c r="D268" s="1512">
        <v>40668</v>
      </c>
      <c r="E268" s="1612"/>
      <c r="F268" s="1612"/>
      <c r="G268" s="1612"/>
      <c r="H268" s="1612"/>
      <c r="I268" s="1612"/>
      <c r="J268" s="1612"/>
      <c r="K268" s="1617">
        <f t="shared" si="22"/>
        <v>40668</v>
      </c>
      <c r="L268" s="1512">
        <v>39568</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180615</v>
      </c>
      <c r="E270" s="1612"/>
      <c r="F270" s="1612"/>
      <c r="G270" s="1612"/>
      <c r="H270" s="1612"/>
      <c r="I270" s="1612"/>
      <c r="J270" s="1612"/>
      <c r="K270" s="1613">
        <f>SUM(K263:K269)</f>
        <v>180615</v>
      </c>
      <c r="L270" s="1613">
        <f>SUM(L263:L269)</f>
        <v>184688</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c r="E274" s="1612"/>
      <c r="F274" s="1612"/>
      <c r="G274" s="1612"/>
      <c r="H274" s="1612"/>
      <c r="I274" s="1612"/>
      <c r="J274" s="1612"/>
      <c r="K274" s="1617">
        <f>D274</f>
        <v>0</v>
      </c>
      <c r="L274" s="1512"/>
    </row>
    <row r="275" spans="1:12" x14ac:dyDescent="0.2">
      <c r="A275" s="1214" t="s">
        <v>400</v>
      </c>
      <c r="B275" s="503">
        <v>2640</v>
      </c>
      <c r="C275" s="1612"/>
      <c r="D275" s="1512"/>
      <c r="E275" s="1612"/>
      <c r="F275" s="1612"/>
      <c r="G275" s="1612"/>
      <c r="H275" s="1612"/>
      <c r="I275" s="1612"/>
      <c r="J275" s="1612"/>
      <c r="K275" s="1617">
        <f>D275</f>
        <v>0</v>
      </c>
      <c r="L275" s="1512"/>
    </row>
    <row r="276" spans="1:12" x14ac:dyDescent="0.2">
      <c r="A276" s="1214" t="s">
        <v>401</v>
      </c>
      <c r="B276" s="503">
        <v>2660</v>
      </c>
      <c r="C276" s="1612"/>
      <c r="D276" s="1512"/>
      <c r="E276" s="1612"/>
      <c r="F276" s="1612"/>
      <c r="G276" s="1612"/>
      <c r="H276" s="1612"/>
      <c r="I276" s="1612"/>
      <c r="J276" s="1612"/>
      <c r="K276" s="1617">
        <f>D276</f>
        <v>0</v>
      </c>
      <c r="L276" s="1512"/>
    </row>
    <row r="277" spans="1:12" ht="12.75" customHeight="1" thickBot="1" x14ac:dyDescent="0.25">
      <c r="A277" s="1332" t="s">
        <v>37</v>
      </c>
      <c r="B277" s="1320" t="s">
        <v>36</v>
      </c>
      <c r="C277" s="1612"/>
      <c r="D277" s="1613">
        <f>SUM(D272:D276)</f>
        <v>0</v>
      </c>
      <c r="E277" s="1612"/>
      <c r="F277" s="1612"/>
      <c r="G277" s="1612"/>
      <c r="H277" s="1612"/>
      <c r="I277" s="1612"/>
      <c r="J277" s="1612"/>
      <c r="K277" s="1613">
        <f>SUM(K272:K276)</f>
        <v>0</v>
      </c>
      <c r="L277" s="1613">
        <f>SUM(L272:L276)</f>
        <v>0</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264992</v>
      </c>
      <c r="E279" s="1612"/>
      <c r="F279" s="1612"/>
      <c r="G279" s="1612"/>
      <c r="H279" s="1612"/>
      <c r="I279" s="1612"/>
      <c r="J279" s="1612"/>
      <c r="K279" s="1620">
        <f>SUM(K238,K243,K257,K261,K270,K277,K278)</f>
        <v>264992</v>
      </c>
      <c r="L279" s="1620">
        <f>SUM(L238,L243,L257,L261,L270,L277,L278)</f>
        <v>282872</v>
      </c>
    </row>
    <row r="280" spans="1:12" ht="15.75" customHeight="1" thickTop="1" thickBot="1" x14ac:dyDescent="0.25">
      <c r="A280" s="1302" t="s">
        <v>870</v>
      </c>
      <c r="B280" s="1291">
        <v>3000</v>
      </c>
      <c r="C280" s="1612"/>
      <c r="D280" s="1590"/>
      <c r="E280" s="1612"/>
      <c r="F280" s="1612"/>
      <c r="G280" s="1612"/>
      <c r="H280" s="1612"/>
      <c r="I280" s="1612"/>
      <c r="J280" s="1612"/>
      <c r="K280" s="1626">
        <f>D280</f>
        <v>0</v>
      </c>
      <c r="L280" s="1590"/>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91" t="s">
        <v>502</v>
      </c>
      <c r="B295" s="2292"/>
      <c r="C295" s="1612"/>
      <c r="D295" s="1613">
        <f>SUM(D229,D279,D280,D285)</f>
        <v>338670</v>
      </c>
      <c r="E295" s="1612"/>
      <c r="F295" s="1612"/>
      <c r="G295" s="1612"/>
      <c r="H295" s="1613">
        <f>H293</f>
        <v>0</v>
      </c>
      <c r="I295" s="1612"/>
      <c r="J295" s="1612"/>
      <c r="K295" s="1613">
        <f>SUM(K229,K279,K280,K285,K293,K294)</f>
        <v>338670</v>
      </c>
      <c r="L295" s="1613">
        <f>SUM(L229,L279,L280,L285,L293,L294)</f>
        <v>476822</v>
      </c>
    </row>
    <row r="296" spans="1:14" ht="13.5" thickTop="1" x14ac:dyDescent="0.2">
      <c r="A296" s="2273" t="s">
        <v>989</v>
      </c>
      <c r="B296" s="2274"/>
      <c r="C296" s="1612"/>
      <c r="D296" s="1614"/>
      <c r="E296" s="1612"/>
      <c r="F296" s="1612"/>
      <c r="G296" s="1612"/>
      <c r="H296" s="1646"/>
      <c r="I296" s="1612"/>
      <c r="J296" s="1612"/>
      <c r="K296" s="1628">
        <f>'Revenues 9-14'!G268-'Expenditures 15-22'!K295</f>
        <v>190290</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3" t="s">
        <v>142</v>
      </c>
      <c r="B298" s="2277"/>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c r="F301" s="1512"/>
      <c r="G301" s="1512">
        <v>59881</v>
      </c>
      <c r="H301" s="1512"/>
      <c r="I301" s="1513"/>
      <c r="J301" s="1513"/>
      <c r="K301" s="1611">
        <f>SUM(C301:J301)</f>
        <v>59881</v>
      </c>
      <c r="L301" s="1513">
        <v>90000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0</v>
      </c>
      <c r="F303" s="1620">
        <f t="shared" si="23"/>
        <v>0</v>
      </c>
      <c r="G303" s="1620">
        <f t="shared" si="23"/>
        <v>59881</v>
      </c>
      <c r="H303" s="1620">
        <f t="shared" si="23"/>
        <v>0</v>
      </c>
      <c r="I303" s="1620">
        <f t="shared" si="23"/>
        <v>0</v>
      </c>
      <c r="J303" s="1620">
        <f t="shared" si="23"/>
        <v>0</v>
      </c>
      <c r="K303" s="1620">
        <f t="shared" si="23"/>
        <v>59881</v>
      </c>
      <c r="L303" s="1620">
        <f t="shared" si="23"/>
        <v>90000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8" t="s">
        <v>275</v>
      </c>
      <c r="B312" s="2289"/>
      <c r="C312" s="1613">
        <f>SUM(C303)</f>
        <v>0</v>
      </c>
      <c r="D312" s="1613">
        <f>SUM(D303)</f>
        <v>0</v>
      </c>
      <c r="E312" s="1613">
        <f>SUM(E303,E310)</f>
        <v>0</v>
      </c>
      <c r="F312" s="1613">
        <f>SUM(F303)</f>
        <v>0</v>
      </c>
      <c r="G312" s="1613">
        <f>SUM(G303)</f>
        <v>59881</v>
      </c>
      <c r="H312" s="1613">
        <f>SUM(H303,H310)</f>
        <v>0</v>
      </c>
      <c r="I312" s="1613">
        <f>SUM(I303)</f>
        <v>0</v>
      </c>
      <c r="J312" s="1613">
        <f>SUM(J303)</f>
        <v>0</v>
      </c>
      <c r="K312" s="1613">
        <f>SUM(K303,K310,K311)</f>
        <v>59881</v>
      </c>
      <c r="L312" s="1613">
        <f>SUM(L303,L310,L311)</f>
        <v>90000</v>
      </c>
      <c r="M312" s="539"/>
      <c r="N312" s="539"/>
    </row>
    <row r="313" spans="1:14" ht="13.5" thickTop="1" x14ac:dyDescent="0.2">
      <c r="A313" s="2284" t="s">
        <v>989</v>
      </c>
      <c r="B313" s="2285"/>
      <c r="C313" s="1616"/>
      <c r="D313" s="1616"/>
      <c r="E313" s="1616"/>
      <c r="F313" s="1616"/>
      <c r="G313" s="1616"/>
      <c r="H313" s="1616"/>
      <c r="I313" s="1616"/>
      <c r="J313" s="1616"/>
      <c r="K313" s="1635">
        <f>'Revenues 9-14'!H268-'Expenditures 15-22'!K312</f>
        <v>-59881</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7" t="s">
        <v>148</v>
      </c>
      <c r="B315" s="2298"/>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9" t="s">
        <v>892</v>
      </c>
      <c r="B317" s="2298"/>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SUM(L330,L334,L340,L341)</f>
        <v>0</v>
      </c>
    </row>
    <row r="343" spans="1:14" ht="12.75" customHeight="1" thickTop="1" x14ac:dyDescent="0.2">
      <c r="A343" s="2286" t="s">
        <v>989</v>
      </c>
      <c r="B343" s="2287"/>
      <c r="C343" s="1612"/>
      <c r="D343" s="1612"/>
      <c r="E343" s="1612"/>
      <c r="F343" s="1612"/>
      <c r="G343" s="1612"/>
      <c r="H343" s="1612"/>
      <c r="I343" s="1612"/>
      <c r="J343" s="1612"/>
      <c r="K343" s="1628">
        <f>'Revenues 9-14'!J268-'Expenditures 15-22'!K342</f>
        <v>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6" t="s">
        <v>960</v>
      </c>
      <c r="B345" s="2277"/>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73" t="s">
        <v>989</v>
      </c>
      <c r="B368" s="2274"/>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12829323</v>
      </c>
      <c r="C4" s="1661">
        <v>6649819</v>
      </c>
      <c r="D4" s="1662">
        <f>B4-C4</f>
        <v>6179504</v>
      </c>
      <c r="E4" s="1661">
        <v>12963456</v>
      </c>
      <c r="F4" s="1662">
        <f>E4-C4</f>
        <v>6313637</v>
      </c>
    </row>
    <row r="5" spans="1:8" ht="13.7" customHeight="1" x14ac:dyDescent="0.2">
      <c r="A5" s="579" t="s">
        <v>865</v>
      </c>
      <c r="B5" s="1663">
        <f>'Revenues 9-14'!D5</f>
        <v>918951</v>
      </c>
      <c r="C5" s="1603">
        <v>469098</v>
      </c>
      <c r="D5" s="1664">
        <f t="shared" ref="D5:D18" si="0">B5-C5</f>
        <v>449853</v>
      </c>
      <c r="E5" s="1603">
        <v>914481</v>
      </c>
      <c r="F5" s="1664">
        <f>E5-C5</f>
        <v>445383</v>
      </c>
    </row>
    <row r="6" spans="1:8" ht="13.7" customHeight="1" x14ac:dyDescent="0.2">
      <c r="A6" s="579" t="s">
        <v>408</v>
      </c>
      <c r="B6" s="1663">
        <f>'Revenues 9-14'!E5</f>
        <v>799800</v>
      </c>
      <c r="C6" s="1603">
        <v>412774</v>
      </c>
      <c r="D6" s="1664">
        <f t="shared" si="0"/>
        <v>387026</v>
      </c>
      <c r="E6" s="1603">
        <v>804680</v>
      </c>
      <c r="F6" s="1664">
        <f t="shared" ref="F6:F18" si="1">E6-C6</f>
        <v>391906</v>
      </c>
    </row>
    <row r="7" spans="1:8" ht="13.7" customHeight="1" x14ac:dyDescent="0.2">
      <c r="A7" s="579" t="s">
        <v>154</v>
      </c>
      <c r="B7" s="1663">
        <f>'Revenues 9-14'!F5</f>
        <v>589554</v>
      </c>
      <c r="C7" s="1603">
        <v>300941</v>
      </c>
      <c r="D7" s="1664">
        <f t="shared" si="0"/>
        <v>288613</v>
      </c>
      <c r="E7" s="1603">
        <v>586668</v>
      </c>
      <c r="F7" s="1664">
        <f t="shared" si="1"/>
        <v>285727</v>
      </c>
    </row>
    <row r="8" spans="1:8" ht="13.7" customHeight="1" x14ac:dyDescent="0.2">
      <c r="A8" s="579" t="s">
        <v>1169</v>
      </c>
      <c r="B8" s="1663">
        <f>'Revenues 9-14'!G5</f>
        <v>258877</v>
      </c>
      <c r="C8" s="1603">
        <v>132240</v>
      </c>
      <c r="D8" s="1664">
        <f t="shared" si="0"/>
        <v>126637</v>
      </c>
      <c r="E8" s="1603">
        <v>257795</v>
      </c>
      <c r="F8" s="1664">
        <f t="shared" si="1"/>
        <v>125555</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0</v>
      </c>
      <c r="C10" s="1603"/>
      <c r="D10" s="1664">
        <f t="shared" si="0"/>
        <v>0</v>
      </c>
      <c r="E10" s="1603"/>
      <c r="F10" s="1664">
        <f t="shared" si="1"/>
        <v>0</v>
      </c>
    </row>
    <row r="11" spans="1:8" x14ac:dyDescent="0.2">
      <c r="A11" s="579" t="s">
        <v>406</v>
      </c>
      <c r="B11" s="1663">
        <f>'Revenues 9-14'!J5</f>
        <v>0</v>
      </c>
      <c r="C11" s="1603"/>
      <c r="D11" s="1664">
        <f t="shared" si="0"/>
        <v>0</v>
      </c>
      <c r="E11" s="1603"/>
      <c r="F11" s="1664">
        <f t="shared" si="1"/>
        <v>0</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103861</v>
      </c>
      <c r="C14" s="1603">
        <v>53059</v>
      </c>
      <c r="D14" s="1664">
        <f t="shared" si="0"/>
        <v>50802</v>
      </c>
      <c r="E14" s="1603">
        <v>103436</v>
      </c>
      <c r="F14" s="1664">
        <f t="shared" si="1"/>
        <v>50377</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257841</v>
      </c>
      <c r="C16" s="1603">
        <v>131696</v>
      </c>
      <c r="D16" s="1664">
        <f t="shared" si="0"/>
        <v>126145</v>
      </c>
      <c r="E16" s="1603">
        <v>256734</v>
      </c>
      <c r="F16" s="1664">
        <f t="shared" si="1"/>
        <v>125038</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15758207</v>
      </c>
      <c r="C19" s="1665">
        <f>SUM(C4:C18)</f>
        <v>8149627</v>
      </c>
      <c r="D19" s="1665">
        <f>SUM(D4:D18)</f>
        <v>7608580</v>
      </c>
      <c r="E19" s="1665">
        <f>SUM(E4:E18)</f>
        <v>15887250</v>
      </c>
      <c r="F19" s="1665">
        <f>SUM(F4:F18)</f>
        <v>7737623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625</v>
      </c>
      <c r="B1" s="2320"/>
      <c r="C1" s="585"/>
    </row>
    <row r="2" spans="1:7" ht="33.75" x14ac:dyDescent="0.2">
      <c r="A2" s="2327" t="s">
        <v>1776</v>
      </c>
      <c r="B2" s="2328"/>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29" t="s">
        <v>1104</v>
      </c>
      <c r="B3" s="2330"/>
      <c r="C3" s="2323"/>
      <c r="D3" s="2324"/>
      <c r="E3" s="2324"/>
      <c r="F3" s="2325"/>
    </row>
    <row r="4" spans="1:7" ht="12.75" customHeight="1" thickBot="1" x14ac:dyDescent="0.25">
      <c r="A4" s="2317" t="s">
        <v>626</v>
      </c>
      <c r="B4" s="2318"/>
      <c r="C4" s="1595"/>
      <c r="D4" s="1595"/>
      <c r="E4" s="1595"/>
      <c r="F4" s="1671">
        <f>SUM(C4+D4)-E4</f>
        <v>0</v>
      </c>
    </row>
    <row r="5" spans="1:7" ht="15.75" customHeight="1" thickTop="1" x14ac:dyDescent="0.2">
      <c r="A5" s="2321" t="s">
        <v>1101</v>
      </c>
      <c r="B5" s="2316"/>
      <c r="C5" s="2310"/>
      <c r="D5" s="2311"/>
      <c r="E5" s="2311"/>
      <c r="F5" s="2312"/>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13" t="s">
        <v>627</v>
      </c>
      <c r="B15" s="2314"/>
      <c r="C15" s="1671">
        <f>SUM(C6:C14)</f>
        <v>0</v>
      </c>
      <c r="D15" s="1671">
        <f>SUM(D6:D14)</f>
        <v>0</v>
      </c>
      <c r="E15" s="1671">
        <f>SUM(E6:E14)</f>
        <v>0</v>
      </c>
      <c r="F15" s="1671">
        <f>SUM(F6:F14)</f>
        <v>0</v>
      </c>
      <c r="G15" s="473"/>
    </row>
    <row r="16" spans="1:7" s="197" customFormat="1" ht="15.75" customHeight="1" thickTop="1" x14ac:dyDescent="0.2">
      <c r="A16" s="2326" t="s">
        <v>1102</v>
      </c>
      <c r="B16" s="2316"/>
      <c r="C16" s="2310"/>
      <c r="D16" s="2311"/>
      <c r="E16" s="2311"/>
      <c r="F16" s="2312"/>
    </row>
    <row r="17" spans="1:11" ht="12.75" customHeight="1" thickBot="1" x14ac:dyDescent="0.25">
      <c r="A17" s="2308" t="s">
        <v>64</v>
      </c>
      <c r="B17" s="2309"/>
      <c r="C17" s="1672"/>
      <c r="D17" s="1603"/>
      <c r="E17" s="1672"/>
      <c r="F17" s="1671">
        <f>SUM(C17+D17)-E17</f>
        <v>0</v>
      </c>
    </row>
    <row r="18" spans="1:11" ht="12.75" customHeight="1" thickTop="1" thickBot="1" x14ac:dyDescent="0.25">
      <c r="A18" s="2308" t="s">
        <v>6</v>
      </c>
      <c r="B18" s="2309"/>
      <c r="C18" s="1672"/>
      <c r="D18" s="1603"/>
      <c r="E18" s="1672"/>
      <c r="F18" s="1671">
        <f>SUM(C18+D18)-E18</f>
        <v>0</v>
      </c>
    </row>
    <row r="19" spans="1:11" ht="12.75" customHeight="1" thickTop="1" thickBot="1" x14ac:dyDescent="0.25">
      <c r="A19" s="2308" t="s">
        <v>385</v>
      </c>
      <c r="B19" s="2309"/>
      <c r="C19" s="1672"/>
      <c r="D19" s="1603"/>
      <c r="E19" s="1672"/>
      <c r="F19" s="1671">
        <f>SUM(C19+D19)-E19</f>
        <v>0</v>
      </c>
    </row>
    <row r="20" spans="1:11" ht="12.75" customHeight="1" thickTop="1" thickBot="1" x14ac:dyDescent="0.25">
      <c r="A20" s="2308" t="s">
        <v>445</v>
      </c>
      <c r="B20" s="2309"/>
      <c r="C20" s="1672"/>
      <c r="D20" s="1603"/>
      <c r="E20" s="1672"/>
      <c r="F20" s="1671">
        <f>SUM(C20+D20)-E20</f>
        <v>0</v>
      </c>
    </row>
    <row r="21" spans="1:11" ht="14.25" thickTop="1" thickBot="1" x14ac:dyDescent="0.25">
      <c r="A21" s="2313" t="s">
        <v>628</v>
      </c>
      <c r="B21" s="2314"/>
      <c r="C21" s="1671">
        <f>SUM(C17:C20)</f>
        <v>0</v>
      </c>
      <c r="D21" s="1671">
        <f>SUM(D17:D20)</f>
        <v>0</v>
      </c>
      <c r="E21" s="1671">
        <f>SUM(E17:E20)</f>
        <v>0</v>
      </c>
      <c r="F21" s="1671">
        <f>SUM(F17:F20)</f>
        <v>0</v>
      </c>
      <c r="G21" s="473"/>
    </row>
    <row r="22" spans="1:11" ht="15.75" customHeight="1" thickTop="1" x14ac:dyDescent="0.2">
      <c r="A22" s="2315" t="s">
        <v>1103</v>
      </c>
      <c r="B22" s="2316"/>
      <c r="C22" s="2310"/>
      <c r="D22" s="2311"/>
      <c r="E22" s="2311"/>
      <c r="F22" s="2312"/>
    </row>
    <row r="23" spans="1:11" ht="13.5" thickBot="1" x14ac:dyDescent="0.25">
      <c r="A23" s="2317" t="s">
        <v>629</v>
      </c>
      <c r="B23" s="2318"/>
      <c r="C23" s="1595"/>
      <c r="D23" s="1595"/>
      <c r="E23" s="1595"/>
      <c r="F23" s="1671">
        <f>SUM(C23+D23)-E23</f>
        <v>0</v>
      </c>
      <c r="G23" s="473"/>
    </row>
    <row r="24" spans="1:11" ht="15.75" customHeight="1" thickTop="1" x14ac:dyDescent="0.2">
      <c r="A24" s="2315" t="s">
        <v>2003</v>
      </c>
      <c r="B24" s="2316"/>
      <c r="C24" s="2310"/>
      <c r="D24" s="2311"/>
      <c r="E24" s="2311"/>
      <c r="F24" s="2312"/>
    </row>
    <row r="25" spans="1:11" ht="13.5" thickBot="1" x14ac:dyDescent="0.25">
      <c r="A25" s="2317" t="s">
        <v>2004</v>
      </c>
      <c r="B25" s="2318"/>
      <c r="C25" s="1595"/>
      <c r="D25" s="1595"/>
      <c r="E25" s="1595"/>
      <c r="F25" s="1671">
        <f>SUM(C25+D25)-E25</f>
        <v>0</v>
      </c>
      <c r="G25" s="473"/>
    </row>
    <row r="26" spans="1:11" ht="15.75" customHeight="1" thickTop="1" x14ac:dyDescent="0.2">
      <c r="A26" s="2321" t="s">
        <v>652</v>
      </c>
      <c r="B26" s="2316"/>
      <c r="C26" s="589"/>
      <c r="D26" s="589"/>
      <c r="E26" s="589"/>
      <c r="F26" s="590"/>
    </row>
    <row r="27" spans="1:11" ht="13.5" thickBot="1" x14ac:dyDescent="0.25">
      <c r="A27" s="2313" t="s">
        <v>1061</v>
      </c>
      <c r="B27" s="2314"/>
      <c r="C27" s="1603"/>
      <c r="D27" s="1603"/>
      <c r="E27" s="1603"/>
      <c r="F27" s="1671">
        <f>SUM(C27+D27)-E27</f>
        <v>0</v>
      </c>
      <c r="G27" s="473"/>
    </row>
    <row r="28" spans="1:11" ht="7.5" customHeight="1" thickTop="1" x14ac:dyDescent="0.2">
      <c r="A28" s="489"/>
    </row>
    <row r="29" spans="1:11" ht="23.25" customHeight="1" x14ac:dyDescent="0.2">
      <c r="A29" s="2319" t="s">
        <v>578</v>
      </c>
      <c r="B29" s="2320"/>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1874</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2064</v>
      </c>
      <c r="B31" s="595">
        <v>42059</v>
      </c>
      <c r="C31" s="1673">
        <v>5525000</v>
      </c>
      <c r="D31" s="1674" t="s">
        <v>2065</v>
      </c>
      <c r="E31" s="1673">
        <v>3545000</v>
      </c>
      <c r="F31" s="1673"/>
      <c r="G31" s="1673"/>
      <c r="H31" s="1673">
        <v>710000</v>
      </c>
      <c r="I31" s="1675">
        <f>((E31+F31)-H31)+G31</f>
        <v>2835000</v>
      </c>
      <c r="J31" s="1673">
        <v>2835000</v>
      </c>
      <c r="K31" s="596"/>
    </row>
    <row r="32" spans="1:11" ht="12" customHeight="1" x14ac:dyDescent="0.2">
      <c r="A32" s="594"/>
      <c r="B32" s="595"/>
      <c r="C32" s="1673"/>
      <c r="D32" s="1674"/>
      <c r="E32" s="1673"/>
      <c r="F32" s="1673"/>
      <c r="G32" s="1673"/>
      <c r="H32" s="1673"/>
      <c r="I32" s="1675">
        <f>((E32+F32)-H32)+G32</f>
        <v>0</v>
      </c>
      <c r="J32" s="1673"/>
      <c r="K32" s="596"/>
    </row>
    <row r="33" spans="1:11" ht="12" customHeight="1" x14ac:dyDescent="0.2">
      <c r="A33" s="594"/>
      <c r="B33" s="595"/>
      <c r="C33" s="1673"/>
      <c r="D33" s="1674"/>
      <c r="E33" s="1673"/>
      <c r="F33" s="1673"/>
      <c r="G33" s="1673"/>
      <c r="H33" s="1673"/>
      <c r="I33" s="1675">
        <f t="shared" ref="I33:I48" si="1">((E33+F33)-H33)+G33</f>
        <v>0</v>
      </c>
      <c r="J33" s="1673"/>
      <c r="K33" s="596"/>
    </row>
    <row r="34" spans="1:11" ht="12" customHeight="1" x14ac:dyDescent="0.2">
      <c r="A34" s="594"/>
      <c r="B34" s="595"/>
      <c r="C34" s="1673"/>
      <c r="D34" s="1674"/>
      <c r="E34" s="1673"/>
      <c r="F34" s="1673"/>
      <c r="G34" s="1673"/>
      <c r="H34" s="1673"/>
      <c r="I34" s="1675">
        <f t="shared" si="1"/>
        <v>0</v>
      </c>
      <c r="J34" s="1673"/>
      <c r="K34" s="597"/>
    </row>
    <row r="35" spans="1:11" ht="12" customHeight="1" x14ac:dyDescent="0.2">
      <c r="A35" s="594"/>
      <c r="B35" s="595"/>
      <c r="C35" s="1676"/>
      <c r="D35" s="1674"/>
      <c r="E35" s="1676"/>
      <c r="F35" s="1676"/>
      <c r="G35" s="1676"/>
      <c r="H35" s="1676"/>
      <c r="I35" s="1675">
        <f t="shared" si="1"/>
        <v>0</v>
      </c>
      <c r="J35" s="1676"/>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5525000</v>
      </c>
      <c r="D49" s="1681"/>
      <c r="E49" s="1675">
        <f t="shared" ref="E49:J49" si="2">SUM(E31:E48)</f>
        <v>3545000</v>
      </c>
      <c r="F49" s="1675">
        <f t="shared" si="2"/>
        <v>0</v>
      </c>
      <c r="G49" s="1675">
        <f t="shared" si="2"/>
        <v>0</v>
      </c>
      <c r="H49" s="1675">
        <f t="shared" si="2"/>
        <v>710000</v>
      </c>
      <c r="I49" s="1675">
        <f t="shared" si="2"/>
        <v>2835000</v>
      </c>
      <c r="J49" s="1675">
        <f t="shared" si="2"/>
        <v>2835000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c r="G52" s="2305"/>
      <c r="H52" s="596"/>
      <c r="I52" s="596"/>
      <c r="J52" s="600"/>
    </row>
    <row r="53" spans="1:11" ht="11.25" customHeight="1" x14ac:dyDescent="0.2">
      <c r="A53" s="604" t="s">
        <v>907</v>
      </c>
      <c r="B53" s="605" t="s">
        <v>945</v>
      </c>
      <c r="C53" s="600"/>
      <c r="D53" s="597"/>
      <c r="E53" s="603" t="s">
        <v>494</v>
      </c>
      <c r="F53" s="2306"/>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1" t="s">
        <v>851</v>
      </c>
      <c r="B1" s="2332"/>
      <c r="C1" s="2332"/>
      <c r="D1" s="2332"/>
      <c r="E1" s="2332"/>
      <c r="F1" s="2332"/>
      <c r="G1" s="2333"/>
      <c r="H1" s="1238"/>
      <c r="I1" s="614"/>
      <c r="J1" s="400"/>
    </row>
    <row r="2" spans="1:11" ht="26.25" x14ac:dyDescent="0.2">
      <c r="A2" s="2350" t="s">
        <v>1658</v>
      </c>
      <c r="B2" s="2351"/>
      <c r="C2" s="2351"/>
      <c r="D2" s="2351"/>
      <c r="E2" s="2352"/>
      <c r="F2" s="615" t="s">
        <v>898</v>
      </c>
      <c r="G2" s="616" t="s">
        <v>1655</v>
      </c>
      <c r="H2" s="616" t="s">
        <v>407</v>
      </c>
      <c r="I2" s="616" t="s">
        <v>1148</v>
      </c>
      <c r="J2" s="616" t="s">
        <v>1786</v>
      </c>
      <c r="K2" s="616" t="s">
        <v>137</v>
      </c>
    </row>
    <row r="3" spans="1:11" x14ac:dyDescent="0.2">
      <c r="A3" s="2353" t="str">
        <f>"Cash Basis Fund Balance as of July 1, "&amp;'AFR20'!E2-1</f>
        <v>Cash Basis Fund Balance as of July 1, 2019</v>
      </c>
      <c r="B3" s="2354"/>
      <c r="C3" s="2354"/>
      <c r="D3" s="2354"/>
      <c r="E3" s="2355"/>
      <c r="F3" s="617"/>
      <c r="G3" s="1683"/>
      <c r="H3" s="1683"/>
      <c r="I3" s="1683"/>
      <c r="J3" s="1684"/>
      <c r="K3" s="1684"/>
    </row>
    <row r="4" spans="1:11" x14ac:dyDescent="0.2">
      <c r="A4" s="2356" t="s">
        <v>366</v>
      </c>
      <c r="B4" s="2357"/>
      <c r="C4" s="2357"/>
      <c r="D4" s="2357"/>
      <c r="E4" s="2303"/>
      <c r="F4" s="620"/>
      <c r="G4" s="1685"/>
      <c r="H4" s="1686"/>
      <c r="I4" s="1685"/>
      <c r="J4" s="1687"/>
      <c r="K4" s="1687"/>
    </row>
    <row r="5" spans="1:11" x14ac:dyDescent="0.2">
      <c r="A5" s="2334" t="s">
        <v>1060</v>
      </c>
      <c r="B5" s="2335"/>
      <c r="C5" s="2335"/>
      <c r="D5" s="2335"/>
      <c r="E5" s="2336"/>
      <c r="F5" s="622" t="s">
        <v>843</v>
      </c>
      <c r="G5" s="1688"/>
      <c r="H5" s="1683">
        <f>'Revenues 9-14'!C7</f>
        <v>103861</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34" t="s">
        <v>1787</v>
      </c>
      <c r="B10" s="2335"/>
      <c r="C10" s="2335"/>
      <c r="D10" s="2335"/>
      <c r="E10" s="2337"/>
      <c r="F10" s="633" t="s">
        <v>857</v>
      </c>
      <c r="G10" s="1692"/>
      <c r="H10" s="1693"/>
      <c r="I10" s="1683"/>
      <c r="J10" s="1684"/>
      <c r="K10" s="1684"/>
    </row>
    <row r="11" spans="1:11" x14ac:dyDescent="0.2">
      <c r="A11" s="2334" t="s">
        <v>159</v>
      </c>
      <c r="B11" s="2335"/>
      <c r="C11" s="2335"/>
      <c r="D11" s="2335"/>
      <c r="E11" s="2336"/>
      <c r="F11" s="622" t="s">
        <v>847</v>
      </c>
      <c r="G11" s="1688"/>
      <c r="H11" s="1683"/>
      <c r="I11" s="1683"/>
      <c r="J11" s="1684"/>
      <c r="K11" s="1690"/>
    </row>
    <row r="12" spans="1:11" ht="13.5" thickBot="1" x14ac:dyDescent="0.25">
      <c r="A12" s="2361" t="s">
        <v>899</v>
      </c>
      <c r="B12" s="2362"/>
      <c r="C12" s="2362"/>
      <c r="D12" s="2362"/>
      <c r="E12" s="2363"/>
      <c r="F12" s="1372"/>
      <c r="G12" s="1694">
        <f>SUM(G5:G11)</f>
        <v>0</v>
      </c>
      <c r="H12" s="1694">
        <f>SUM(H5:H11)</f>
        <v>103861</v>
      </c>
      <c r="I12" s="1694">
        <f>SUM(I5:I11)</f>
        <v>0</v>
      </c>
      <c r="J12" s="1694">
        <f>SUM(J5:J11)</f>
        <v>0</v>
      </c>
      <c r="K12" s="1694">
        <f>SUM(K5:K11)</f>
        <v>0</v>
      </c>
    </row>
    <row r="13" spans="1:11" ht="13.5" thickTop="1" x14ac:dyDescent="0.2">
      <c r="A13" s="2358" t="s">
        <v>367</v>
      </c>
      <c r="B13" s="2359"/>
      <c r="C13" s="2359"/>
      <c r="D13" s="2359"/>
      <c r="E13" s="2360"/>
      <c r="F13" s="634"/>
      <c r="G13" s="1695"/>
      <c r="H13" s="1696"/>
      <c r="I13" s="1697"/>
      <c r="J13" s="1697"/>
      <c r="K13" s="1697"/>
    </row>
    <row r="14" spans="1:11" x14ac:dyDescent="0.2">
      <c r="A14" s="2341" t="s">
        <v>453</v>
      </c>
      <c r="B14" s="2341"/>
      <c r="C14" s="2341"/>
      <c r="D14" s="2341"/>
      <c r="E14" s="2342"/>
      <c r="F14" s="635" t="s">
        <v>849</v>
      </c>
      <c r="G14" s="1692"/>
      <c r="H14" s="1683">
        <f>H5</f>
        <v>103861</v>
      </c>
      <c r="I14" s="1688"/>
      <c r="J14" s="1690"/>
      <c r="K14" s="1684"/>
    </row>
    <row r="15" spans="1:11" x14ac:dyDescent="0.2">
      <c r="A15" s="2335" t="s">
        <v>4</v>
      </c>
      <c r="B15" s="2335"/>
      <c r="C15" s="2335"/>
      <c r="D15" s="2335"/>
      <c r="E15" s="2336"/>
      <c r="F15" s="635" t="s">
        <v>850</v>
      </c>
      <c r="G15" s="1688"/>
      <c r="H15" s="1683"/>
      <c r="I15" s="1683"/>
      <c r="J15" s="1684"/>
      <c r="K15" s="1684"/>
    </row>
    <row r="16" spans="1:11" x14ac:dyDescent="0.2">
      <c r="A16" s="2335" t="s">
        <v>295</v>
      </c>
      <c r="B16" s="2335"/>
      <c r="C16" s="2335"/>
      <c r="D16" s="2335"/>
      <c r="E16" s="2336"/>
      <c r="F16" s="635" t="s">
        <v>917</v>
      </c>
      <c r="G16" s="1689"/>
      <c r="H16" s="1685"/>
      <c r="I16" s="1685"/>
      <c r="J16" s="1687"/>
      <c r="K16" s="1687"/>
    </row>
    <row r="17" spans="1:15" x14ac:dyDescent="0.2">
      <c r="A17" s="2368" t="s">
        <v>929</v>
      </c>
      <c r="B17" s="2368"/>
      <c r="C17" s="2368"/>
      <c r="D17" s="2368"/>
      <c r="E17" s="2369"/>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43" t="s">
        <v>1783</v>
      </c>
      <c r="B19" s="2343"/>
      <c r="C19" s="2343"/>
      <c r="D19" s="2343"/>
      <c r="E19" s="2344"/>
      <c r="F19" s="635" t="s">
        <v>927</v>
      </c>
      <c r="G19" s="1692"/>
      <c r="H19" s="1692"/>
      <c r="I19" s="1692"/>
      <c r="J19" s="1684"/>
      <c r="K19" s="1702"/>
    </row>
    <row r="20" spans="1:15" x14ac:dyDescent="0.2">
      <c r="A20" s="2345" t="s">
        <v>1788</v>
      </c>
      <c r="B20" s="2346"/>
      <c r="C20" s="2346"/>
      <c r="D20" s="2346"/>
      <c r="E20" s="2347"/>
      <c r="F20" s="635" t="s">
        <v>928</v>
      </c>
      <c r="G20" s="1692"/>
      <c r="H20" s="1692"/>
      <c r="I20" s="1692"/>
      <c r="J20" s="1684"/>
      <c r="K20" s="1702"/>
    </row>
    <row r="21" spans="1:15" ht="13.5" thickBot="1" x14ac:dyDescent="0.25">
      <c r="A21" s="2364" t="s">
        <v>633</v>
      </c>
      <c r="B21" s="2364"/>
      <c r="C21" s="2364"/>
      <c r="D21" s="2364"/>
      <c r="E21" s="2364"/>
      <c r="F21" s="1373"/>
      <c r="G21" s="1699"/>
      <c r="H21" s="1703"/>
      <c r="I21" s="1703"/>
      <c r="J21" s="1704">
        <f>SUM(J18:J20)</f>
        <v>0</v>
      </c>
      <c r="K21" s="1700"/>
    </row>
    <row r="22" spans="1:15" ht="13.5" thickTop="1" x14ac:dyDescent="0.2">
      <c r="A22" s="2335" t="s">
        <v>1789</v>
      </c>
      <c r="B22" s="2335"/>
      <c r="C22" s="2335"/>
      <c r="D22" s="2335"/>
      <c r="E22" s="2336"/>
      <c r="F22" s="635" t="s">
        <v>857</v>
      </c>
      <c r="G22" s="1692"/>
      <c r="H22" s="1683"/>
      <c r="I22" s="1683"/>
      <c r="J22" s="1705"/>
      <c r="K22" s="1684"/>
    </row>
    <row r="23" spans="1:15" ht="13.5" thickBot="1" x14ac:dyDescent="0.25">
      <c r="A23" s="2365" t="s">
        <v>900</v>
      </c>
      <c r="B23" s="2364"/>
      <c r="C23" s="2364"/>
      <c r="D23" s="2364"/>
      <c r="E23" s="2364"/>
      <c r="F23" s="1375"/>
      <c r="G23" s="1694">
        <f>SUM(G14:G16,G21,G22)</f>
        <v>0</v>
      </c>
      <c r="H23" s="1694">
        <f>SUM(H14:H16,H21,H22)</f>
        <v>103861</v>
      </c>
      <c r="I23" s="1694">
        <f>SUM(I14:I16,I21,I22)</f>
        <v>0</v>
      </c>
      <c r="J23" s="1694">
        <f>SUM(J14:J16,J21,J22)</f>
        <v>0</v>
      </c>
      <c r="K23" s="1694">
        <f>SUM(K14:K16,K21,K22)</f>
        <v>0</v>
      </c>
      <c r="M23" s="1777"/>
      <c r="N23" s="1777"/>
      <c r="O23" s="1777"/>
    </row>
    <row r="24" spans="1:15" ht="14.25" thickTop="1" thickBot="1" x14ac:dyDescent="0.25">
      <c r="A24" s="2366" t="str">
        <f>"Ending Cash Basis Fund Balance as of June 30, "&amp;'AFR20'!E2</f>
        <v>Ending Cash Basis Fund Balance as of June 30, 2020</v>
      </c>
      <c r="B24" s="2367"/>
      <c r="C24" s="2367"/>
      <c r="D24" s="2367"/>
      <c r="E24" s="2367"/>
      <c r="F24" s="1376"/>
      <c r="G24" s="1706">
        <f>SUM(G3,G12)-G23</f>
        <v>0</v>
      </c>
      <c r="H24" s="1706">
        <f>SUM(H3,H12)-H23</f>
        <v>0</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8"/>
      <c r="I31" s="2339"/>
      <c r="J31" s="2339"/>
      <c r="K31" s="2339"/>
    </row>
    <row r="32" spans="1:15" x14ac:dyDescent="0.2">
      <c r="A32" s="649"/>
      <c r="B32" s="232"/>
      <c r="C32" s="232"/>
      <c r="D32" s="232"/>
      <c r="E32" s="645"/>
      <c r="F32" s="651" t="s">
        <v>537</v>
      </c>
      <c r="G32" s="618"/>
      <c r="H32" s="2340"/>
      <c r="I32" s="2339"/>
      <c r="J32" s="2339"/>
      <c r="K32" s="2339"/>
    </row>
    <row r="33" spans="1:11" ht="1.5" customHeight="1" x14ac:dyDescent="0.2">
      <c r="A33" s="652" t="s">
        <v>1159</v>
      </c>
      <c r="B33" s="341"/>
      <c r="C33" s="341"/>
      <c r="D33" s="341"/>
      <c r="E33" s="341"/>
      <c r="F33" s="341"/>
      <c r="G33" s="653"/>
      <c r="H33" s="2340"/>
      <c r="I33" s="2339"/>
      <c r="J33" s="2339"/>
      <c r="K33" s="2339"/>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48"/>
      <c r="C41" s="2348"/>
      <c r="D41" s="2348"/>
      <c r="E41" s="2348"/>
      <c r="F41" s="234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23" sqref="D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1872</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1658656</v>
      </c>
      <c r="D5" s="1709"/>
      <c r="E5" s="1709"/>
      <c r="F5" s="1704">
        <f>(C5+D5)-E5</f>
        <v>1658656</v>
      </c>
      <c r="G5" s="676"/>
      <c r="H5" s="680"/>
      <c r="I5" s="680"/>
      <c r="J5" s="680"/>
      <c r="K5" s="637"/>
      <c r="L5" s="1381">
        <f>F5-K5</f>
        <v>1658656</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25118420</v>
      </c>
      <c r="D8" s="1710">
        <v>12700</v>
      </c>
      <c r="E8" s="1710"/>
      <c r="F8" s="1704">
        <f>(C8+D8)-E8</f>
        <v>25131120</v>
      </c>
      <c r="G8" s="681">
        <v>50</v>
      </c>
      <c r="H8" s="619">
        <v>12438205</v>
      </c>
      <c r="I8" s="619">
        <v>536452</v>
      </c>
      <c r="J8" s="619"/>
      <c r="K8" s="1381">
        <f>(H8+I8)-J8</f>
        <v>12974657</v>
      </c>
      <c r="L8" s="1381">
        <f>F8-K8</f>
        <v>12156463</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1063174</v>
      </c>
      <c r="D10" s="1711"/>
      <c r="E10" s="1711"/>
      <c r="F10" s="1712">
        <f>(C10+D10)-E10</f>
        <v>1063174</v>
      </c>
      <c r="G10" s="681">
        <v>20</v>
      </c>
      <c r="H10" s="683">
        <v>955838</v>
      </c>
      <c r="I10" s="683">
        <v>21055</v>
      </c>
      <c r="J10" s="683"/>
      <c r="K10" s="1381">
        <f>(H10+I10)-J10</f>
        <v>976893</v>
      </c>
      <c r="L10" s="1381">
        <f>F10-K10</f>
        <v>86281</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c r="D12" s="1710"/>
      <c r="E12" s="1710"/>
      <c r="F12" s="1704">
        <f>(C12+D12)-E12</f>
        <v>0</v>
      </c>
      <c r="G12" s="681">
        <v>10</v>
      </c>
      <c r="H12" s="619"/>
      <c r="I12" s="619"/>
      <c r="J12" s="619"/>
      <c r="K12" s="1381">
        <f>(H12+I12)-J12</f>
        <v>0</v>
      </c>
      <c r="L12" s="1381">
        <f>F12-K12</f>
        <v>0</v>
      </c>
    </row>
    <row r="13" spans="1:14" ht="14.25" thickTop="1" thickBot="1" x14ac:dyDescent="0.25">
      <c r="A13" s="684" t="s">
        <v>1112</v>
      </c>
      <c r="B13" s="679">
        <v>252</v>
      </c>
      <c r="C13" s="1710">
        <v>3188521</v>
      </c>
      <c r="D13" s="1710">
        <v>31465</v>
      </c>
      <c r="E13" s="1710"/>
      <c r="F13" s="1704">
        <f>(C13+D13)-E13</f>
        <v>3219986</v>
      </c>
      <c r="G13" s="681">
        <v>5</v>
      </c>
      <c r="H13" s="619">
        <v>2453822</v>
      </c>
      <c r="I13" s="619">
        <v>190954</v>
      </c>
      <c r="J13" s="619"/>
      <c r="K13" s="1381">
        <f>(H13+I13)-J13</f>
        <v>2644776</v>
      </c>
      <c r="L13" s="1381">
        <f>F13-K13</f>
        <v>575210</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c r="D15" s="1710"/>
      <c r="E15" s="1710"/>
      <c r="F15" s="1704">
        <f>(C15+D15)-E15</f>
        <v>0</v>
      </c>
      <c r="G15" s="685" t="s">
        <v>857</v>
      </c>
      <c r="H15" s="632"/>
      <c r="I15" s="632"/>
      <c r="J15" s="632"/>
      <c r="K15" s="632"/>
      <c r="L15" s="1381">
        <f>F15-K15</f>
        <v>0</v>
      </c>
    </row>
    <row r="16" spans="1:14" ht="15" customHeight="1" thickTop="1" thickBot="1" x14ac:dyDescent="0.25">
      <c r="A16" s="1377" t="s">
        <v>638</v>
      </c>
      <c r="B16" s="1378">
        <v>200</v>
      </c>
      <c r="C16" s="1704">
        <f>SUM(C3,C5:C6,C8:C10,C12:C15)</f>
        <v>31028771</v>
      </c>
      <c r="D16" s="1704">
        <f>SUM(D3,D5:D6,D8:D10,D12:D15)</f>
        <v>44165</v>
      </c>
      <c r="E16" s="1704">
        <f>SUM(E3,E5:E6,E8:E10,E12:E15)</f>
        <v>0</v>
      </c>
      <c r="F16" s="1704">
        <f>SUM(F3,F5:F6,F8:F10,F12:F15)</f>
        <v>31072936</v>
      </c>
      <c r="G16" s="681"/>
      <c r="H16" s="1374">
        <f>SUM(H3,H6,H8:H10,H12:H14,)</f>
        <v>15847865</v>
      </c>
      <c r="I16" s="1374">
        <f>SUM(I3,I6,I8:I10,I12:I14,)</f>
        <v>748461</v>
      </c>
      <c r="J16" s="1374">
        <f>SUM(J3,J6,J8:J10,J12:J14,)</f>
        <v>0</v>
      </c>
      <c r="K16" s="1374">
        <f>(H16+I16)-J16</f>
        <v>16596326</v>
      </c>
      <c r="L16" s="1374">
        <f>F16-K16</f>
        <v>14476610</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0</v>
      </c>
      <c r="G17" s="676">
        <v>10</v>
      </c>
      <c r="H17" s="621"/>
      <c r="I17" s="1381">
        <f>F17/G17</f>
        <v>0</v>
      </c>
      <c r="J17" s="621"/>
      <c r="K17" s="638"/>
      <c r="L17" s="638"/>
    </row>
    <row r="18" spans="1:12" ht="14.25" thickTop="1" thickBot="1" x14ac:dyDescent="0.25">
      <c r="A18" s="1379" t="s">
        <v>680</v>
      </c>
      <c r="B18" s="1380"/>
      <c r="C18" s="623"/>
      <c r="D18" s="623"/>
      <c r="E18" s="623"/>
      <c r="F18" s="686"/>
      <c r="G18" s="687"/>
      <c r="H18" s="624"/>
      <c r="I18" s="1374">
        <f>SUM(I16,I17)</f>
        <v>748461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55" colorId="8" zoomScale="110" zoomScaleNormal="110" workbookViewId="0">
      <selection activeCell="C88" sqref="C8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16690452</v>
      </c>
      <c r="G8" s="701"/>
    </row>
    <row r="9" spans="1:9" x14ac:dyDescent="0.2">
      <c r="A9" s="705" t="s">
        <v>457</v>
      </c>
      <c r="B9" s="706" t="s">
        <v>1845</v>
      </c>
      <c r="C9" s="707"/>
      <c r="D9" s="705" t="s">
        <v>498</v>
      </c>
      <c r="E9" s="704"/>
      <c r="F9" s="1714">
        <f>'Expenditures 15-22'!K151</f>
        <v>1137743</v>
      </c>
      <c r="G9" s="708"/>
    </row>
    <row r="10" spans="1:9" x14ac:dyDescent="0.2">
      <c r="A10" s="705" t="s">
        <v>496</v>
      </c>
      <c r="B10" s="706" t="s">
        <v>1846</v>
      </c>
      <c r="C10" s="707"/>
      <c r="D10" s="705" t="s">
        <v>498</v>
      </c>
      <c r="E10" s="704"/>
      <c r="F10" s="1714">
        <f>'Expenditures 15-22'!K174</f>
        <v>786100</v>
      </c>
      <c r="G10" s="708"/>
    </row>
    <row r="11" spans="1:9" x14ac:dyDescent="0.2">
      <c r="A11" s="705" t="s">
        <v>458</v>
      </c>
      <c r="B11" s="706" t="s">
        <v>1847</v>
      </c>
      <c r="C11" s="707"/>
      <c r="D11" s="705" t="s">
        <v>498</v>
      </c>
      <c r="E11" s="704"/>
      <c r="F11" s="1714">
        <f>'Expenditures 15-22'!K210</f>
        <v>844112</v>
      </c>
      <c r="G11" s="708"/>
    </row>
    <row r="12" spans="1:9" x14ac:dyDescent="0.2">
      <c r="A12" s="705" t="s">
        <v>459</v>
      </c>
      <c r="B12" s="706" t="s">
        <v>1848</v>
      </c>
      <c r="C12" s="707"/>
      <c r="D12" s="705" t="s">
        <v>498</v>
      </c>
      <c r="E12" s="704"/>
      <c r="F12" s="1714">
        <f>'Expenditures 15-22'!K295</f>
        <v>338670</v>
      </c>
      <c r="G12" s="708"/>
    </row>
    <row r="13" spans="1:9" x14ac:dyDescent="0.2">
      <c r="A13" s="705" t="s">
        <v>106</v>
      </c>
      <c r="B13" s="706" t="s">
        <v>1849</v>
      </c>
      <c r="C13" s="707"/>
      <c r="D13" s="705" t="s">
        <v>498</v>
      </c>
      <c r="E13" s="704"/>
      <c r="F13" s="1714">
        <f>'Expenditures 15-22'!K342</f>
        <v>0</v>
      </c>
      <c r="G13" s="709"/>
    </row>
    <row r="14" spans="1:9" ht="12" customHeight="1" thickBot="1" x14ac:dyDescent="0.25">
      <c r="A14" s="1382"/>
      <c r="B14" s="1383"/>
      <c r="C14" s="1384"/>
      <c r="D14" s="1385" t="s">
        <v>498</v>
      </c>
      <c r="E14" s="1386" t="s">
        <v>952</v>
      </c>
      <c r="F14" s="1715">
        <f>SUM(F8:F13)</f>
        <v>19797077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100669</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78028</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139</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236483</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21">
        <f>'Expenditures 15-22'!K102</f>
        <v>1973660</v>
      </c>
      <c r="G53" s="701"/>
    </row>
    <row r="54" spans="1:7" x14ac:dyDescent="0.2">
      <c r="A54" s="705" t="s">
        <v>456</v>
      </c>
      <c r="B54" s="705" t="s">
        <v>1459</v>
      </c>
      <c r="C54" s="724" t="s">
        <v>975</v>
      </c>
      <c r="D54" s="720" t="s">
        <v>1086</v>
      </c>
      <c r="E54" s="704"/>
      <c r="F54" s="1721">
        <f>'Expenditures 15-22'!G114</f>
        <v>13581</v>
      </c>
      <c r="G54" s="701"/>
    </row>
    <row r="55" spans="1:7" x14ac:dyDescent="0.2">
      <c r="A55" s="705" t="s">
        <v>456</v>
      </c>
      <c r="B55" s="705" t="s">
        <v>1460</v>
      </c>
      <c r="C55" s="724" t="s">
        <v>975</v>
      </c>
      <c r="D55" s="720" t="s">
        <v>288</v>
      </c>
      <c r="E55" s="704"/>
      <c r="F55" s="1721">
        <f>'Expenditures 15-22'!I114</f>
        <v>0</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15080</v>
      </c>
      <c r="G58" s="701"/>
    </row>
    <row r="59" spans="1:7" x14ac:dyDescent="0.2">
      <c r="A59" s="728" t="s">
        <v>457</v>
      </c>
      <c r="B59" s="692" t="s">
        <v>1852</v>
      </c>
      <c r="C59" s="729" t="s">
        <v>975</v>
      </c>
      <c r="D59" s="692" t="s">
        <v>288</v>
      </c>
      <c r="F59" s="1724">
        <f>'Expenditures 15-22'!I151</f>
        <v>0</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710000</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141020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4856</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0</v>
      </c>
      <c r="G71" s="701"/>
    </row>
    <row r="72" spans="1:9" x14ac:dyDescent="0.2">
      <c r="A72" s="705" t="s">
        <v>459</v>
      </c>
      <c r="B72" s="705" t="s">
        <v>1864</v>
      </c>
      <c r="C72" s="721">
        <f>'Expenditures 15-22'!B280</f>
        <v>3000</v>
      </c>
      <c r="D72" s="712" t="s">
        <v>446</v>
      </c>
      <c r="E72" s="704"/>
      <c r="F72" s="172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3273516</v>
      </c>
      <c r="G77" s="701"/>
    </row>
    <row r="78" spans="1:9" s="728" customFormat="1" ht="12" customHeight="1" thickTop="1" thickBot="1" x14ac:dyDescent="0.25">
      <c r="A78" s="1389"/>
      <c r="B78" s="1387"/>
      <c r="C78" s="1384"/>
      <c r="D78" s="1388" t="s">
        <v>2009</v>
      </c>
      <c r="E78" s="1386"/>
      <c r="F78" s="1727">
        <f>(F14-F77)</f>
        <v>16523561</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436.8</v>
      </c>
      <c r="G79" s="733"/>
      <c r="H79" s="705"/>
      <c r="I79" s="705"/>
    </row>
    <row r="80" spans="1:9" s="728" customFormat="1" ht="12" customHeight="1" thickBot="1" x14ac:dyDescent="0.25">
      <c r="A80" s="1391"/>
      <c r="B80" s="1387"/>
      <c r="C80" s="1384"/>
      <c r="D80" s="1388" t="s">
        <v>2010</v>
      </c>
      <c r="E80" s="1386" t="s">
        <v>952</v>
      </c>
      <c r="F80" s="1729">
        <f>IF(F79&gt;0,F78/F79," Complete Line 79")</f>
        <v>37828.665293040292</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101343</v>
      </c>
      <c r="G95" s="745"/>
    </row>
    <row r="96" spans="1:7" x14ac:dyDescent="0.2">
      <c r="A96" s="741" t="s">
        <v>139</v>
      </c>
      <c r="B96" s="741" t="s">
        <v>174</v>
      </c>
      <c r="C96" s="743">
        <v>1700</v>
      </c>
      <c r="D96" s="751" t="str">
        <f>'Revenues 9-14'!A82</f>
        <v>Total District/School Activity Income</v>
      </c>
      <c r="E96" s="739"/>
      <c r="F96" s="1732">
        <f>SUM('Revenues 9-14'!C82,'Revenues 9-14'!D82)</f>
        <v>80381</v>
      </c>
      <c r="G96" s="745"/>
    </row>
    <row r="97" spans="1:7" x14ac:dyDescent="0.2">
      <c r="A97" s="741" t="s">
        <v>456</v>
      </c>
      <c r="B97" s="741" t="s">
        <v>175</v>
      </c>
      <c r="C97" s="743">
        <f>'Revenues 9-14'!B84</f>
        <v>1811</v>
      </c>
      <c r="D97" s="744" t="str">
        <f>'Revenues 9-14'!A84</f>
        <v>Rentals - Regular Textbooks</v>
      </c>
      <c r="E97" s="739"/>
      <c r="F97" s="1732">
        <f>'Revenues 9-14'!C84</f>
        <v>68130</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72168</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56391</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2052</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462163</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1923</v>
      </c>
      <c r="C122" s="761">
        <f>'Revenues 9-14'!B168</f>
        <v>3999</v>
      </c>
      <c r="D122" s="762" t="s">
        <v>540</v>
      </c>
      <c r="E122" s="764"/>
      <c r="F122" s="1732">
        <f>SUM('Revenues 9-14'!C168:G168,'Revenues 9-14'!J168)</f>
        <v>250</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185037</v>
      </c>
      <c r="G126" s="763"/>
    </row>
    <row r="127" spans="1:7" x14ac:dyDescent="0.2">
      <c r="A127" s="760" t="s">
        <v>663</v>
      </c>
      <c r="B127" s="760" t="s">
        <v>1928</v>
      </c>
      <c r="C127" s="765">
        <v>4300</v>
      </c>
      <c r="D127" s="766" t="str">
        <f>'Revenues 9-14'!A204</f>
        <v>Total Title I</v>
      </c>
      <c r="E127" s="739"/>
      <c r="F127" s="1732">
        <f>SUM('Revenues 9-14'!C204,'Revenues 9-14'!D204,'Revenues 9-14'!F204,'Revenues 9-14'!G204)</f>
        <v>199193</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24334</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935070</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38956</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20179</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47821</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16014</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70979</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506657.12</v>
      </c>
      <c r="G172" s="760"/>
    </row>
    <row r="173" spans="1:7" x14ac:dyDescent="0.2">
      <c r="A173" s="1468" t="s">
        <v>659</v>
      </c>
      <c r="B173" s="1469" t="s">
        <v>1882</v>
      </c>
      <c r="C173" s="1470">
        <v>3300</v>
      </c>
      <c r="D173" s="1471" t="s">
        <v>1885</v>
      </c>
      <c r="E173" s="739"/>
      <c r="F173" s="1733">
        <v>77559.03</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3014677.15</v>
      </c>
    </row>
    <row r="176" spans="1:7" ht="12" customHeight="1" x14ac:dyDescent="0.2">
      <c r="A176" s="1382"/>
      <c r="B176" s="1392"/>
      <c r="C176" s="1393"/>
      <c r="D176" s="1394" t="s">
        <v>2011</v>
      </c>
      <c r="E176" s="1395"/>
      <c r="F176" s="1732">
        <f>'PCTC-OEPP 27-28'!F78-F175</f>
        <v>13508883.85</v>
      </c>
    </row>
    <row r="177" spans="1:9" ht="12" customHeight="1" x14ac:dyDescent="0.2">
      <c r="A177" s="1382"/>
      <c r="B177" s="1392"/>
      <c r="C177" s="1393"/>
      <c r="D177" s="1394" t="s">
        <v>1791</v>
      </c>
      <c r="E177" s="1395"/>
      <c r="F177" s="1732">
        <f>'Cap Outlay Deprec 26'!I18</f>
        <v>748461</v>
      </c>
    </row>
    <row r="178" spans="1:9" ht="12" customHeight="1" x14ac:dyDescent="0.2">
      <c r="A178" s="1382"/>
      <c r="B178" s="1392"/>
      <c r="C178" s="1393"/>
      <c r="D178" s="1394" t="s">
        <v>2012</v>
      </c>
      <c r="E178" s="1395"/>
      <c r="F178" s="1732">
        <f>F176+F177</f>
        <v>14257344.85</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436.8</v>
      </c>
      <c r="G179" s="763"/>
      <c r="I179" s="701"/>
    </row>
    <row r="180" spans="1:9" ht="12" customHeight="1" thickBot="1" x14ac:dyDescent="0.25">
      <c r="A180" s="1382"/>
      <c r="B180" s="1396"/>
      <c r="C180" s="1393"/>
      <c r="D180" s="1394" t="s">
        <v>2014</v>
      </c>
      <c r="E180" s="1395" t="s">
        <v>1528</v>
      </c>
      <c r="F180" s="1737">
        <f>F178/F179</f>
        <v>32640.441506410254</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1"/>
  <sheetViews>
    <sheetView showGridLines="0" topLeftCell="A16" zoomScaleNormal="100" workbookViewId="0">
      <selection activeCell="I36" sqref="I36:I37"/>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1804</v>
      </c>
      <c r="B1" s="1791"/>
      <c r="C1" s="1792"/>
      <c r="D1" s="1792"/>
      <c r="E1" s="1792"/>
      <c r="F1" s="1792"/>
    </row>
    <row r="2" spans="1:6" x14ac:dyDescent="0.25">
      <c r="A2" s="1794"/>
      <c r="B2" s="1795"/>
      <c r="C2" s="1844" t="s">
        <v>2000</v>
      </c>
      <c r="D2" s="1794"/>
      <c r="E2" s="1794"/>
      <c r="F2" s="1794"/>
    </row>
    <row r="3" spans="1:6" ht="5.25" customHeight="1" x14ac:dyDescent="0.25">
      <c r="A3" s="1796"/>
      <c r="B3" s="1797"/>
      <c r="C3" s="1796"/>
      <c r="D3" s="1796"/>
      <c r="E3" s="1796"/>
      <c r="F3" s="1796"/>
    </row>
    <row r="4" spans="1:6" ht="18.75" customHeight="1" x14ac:dyDescent="0.25">
      <c r="A4" s="2389" t="s">
        <v>1792</v>
      </c>
      <c r="B4" s="2390"/>
      <c r="C4" s="2390"/>
      <c r="D4" s="2390"/>
      <c r="E4" s="2390"/>
      <c r="F4" s="2391"/>
    </row>
    <row r="5" spans="1:6" x14ac:dyDescent="0.25">
      <c r="A5" s="2392"/>
      <c r="B5" s="2393"/>
      <c r="C5" s="2393"/>
      <c r="D5" s="2393"/>
      <c r="E5" s="2393"/>
      <c r="F5" s="2394"/>
    </row>
    <row r="6" spans="1:6" ht="18.75" x14ac:dyDescent="0.25">
      <c r="A6" s="1798" t="s">
        <v>1793</v>
      </c>
      <c r="B6" s="1799"/>
      <c r="C6" s="1800"/>
      <c r="D6" s="1800"/>
      <c r="E6" s="1800"/>
      <c r="F6" s="1801"/>
    </row>
    <row r="7" spans="1:6" ht="47.25" customHeight="1" x14ac:dyDescent="0.25">
      <c r="A7" s="2395" t="s">
        <v>1982</v>
      </c>
      <c r="B7" s="2396"/>
      <c r="C7" s="2396"/>
      <c r="D7" s="2396"/>
      <c r="E7" s="2396"/>
      <c r="F7" s="2397"/>
    </row>
    <row r="8" spans="1:6" ht="20.25" customHeight="1" x14ac:dyDescent="0.25">
      <c r="A8" s="1833" t="s">
        <v>1984</v>
      </c>
      <c r="B8" s="1834"/>
      <c r="C8" s="1834"/>
      <c r="D8" s="1834"/>
      <c r="E8" s="1802"/>
      <c r="F8" s="1803"/>
    </row>
    <row r="9" spans="1:6" ht="18" customHeight="1" x14ac:dyDescent="0.25">
      <c r="A9" s="1804" t="s">
        <v>1981</v>
      </c>
      <c r="B9" s="1806"/>
      <c r="C9" s="1806"/>
      <c r="D9" s="1806"/>
      <c r="E9" s="1802"/>
      <c r="F9" s="1803"/>
    </row>
    <row r="10" spans="1:6" ht="15.75" customHeight="1" x14ac:dyDescent="0.25">
      <c r="A10" s="2398" t="s">
        <v>1978</v>
      </c>
      <c r="B10" s="2399"/>
      <c r="C10" s="2399"/>
      <c r="D10" s="2399"/>
      <c r="E10" s="2399"/>
      <c r="F10" s="2400"/>
    </row>
    <row r="11" spans="1:6" ht="33" customHeight="1" x14ac:dyDescent="0.25">
      <c r="A11" s="2395" t="s">
        <v>1983</v>
      </c>
      <c r="B11" s="2396"/>
      <c r="C11" s="2396"/>
      <c r="D11" s="2396"/>
      <c r="E11" s="2396"/>
      <c r="F11" s="2397"/>
    </row>
    <row r="12" spans="1:6" ht="15" customHeight="1" x14ac:dyDescent="0.25">
      <c r="A12" s="1804" t="s">
        <v>1979</v>
      </c>
      <c r="B12" s="1805"/>
      <c r="C12" s="1806"/>
      <c r="D12" s="1806"/>
      <c r="E12" s="1806"/>
      <c r="F12" s="1807"/>
    </row>
    <row r="13" spans="1:6" ht="17.25" customHeight="1" x14ac:dyDescent="0.25">
      <c r="A13" s="2395" t="s">
        <v>1980</v>
      </c>
      <c r="B13" s="2396"/>
      <c r="C13" s="2396"/>
      <c r="D13" s="2396"/>
      <c r="E13" s="2396"/>
      <c r="F13" s="2397"/>
    </row>
    <row r="14" spans="1:6" ht="15" customHeight="1" x14ac:dyDescent="0.25">
      <c r="A14" s="1804" t="s">
        <v>1797</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1798</v>
      </c>
      <c r="B16" s="1809" t="s">
        <v>1799</v>
      </c>
      <c r="C16" s="1808" t="s">
        <v>1800</v>
      </c>
      <c r="D16" s="1810" t="s">
        <v>1801</v>
      </c>
      <c r="E16" s="1810" t="s">
        <v>1802</v>
      </c>
      <c r="F16" s="1810" t="s">
        <v>1803</v>
      </c>
    </row>
    <row r="17" spans="1:7" x14ac:dyDescent="0.25">
      <c r="A17" s="1811" t="s">
        <v>1805</v>
      </c>
      <c r="B17" s="1838" t="s">
        <v>1796</v>
      </c>
      <c r="C17" s="1812" t="s">
        <v>1794</v>
      </c>
      <c r="D17" s="1813">
        <v>500000</v>
      </c>
      <c r="E17" s="1813" t="str">
        <f>IF(D17&lt;25000,D17,"25,000")</f>
        <v>25,000</v>
      </c>
      <c r="F17" s="1814">
        <f>IF(D17&gt;=25000,(D17-E17),"0")</f>
        <v>475000</v>
      </c>
    </row>
    <row r="18" spans="1:7" x14ac:dyDescent="0.25">
      <c r="A18" s="1963" t="s">
        <v>2066</v>
      </c>
      <c r="B18" s="1839">
        <v>402550300</v>
      </c>
      <c r="C18" s="1964" t="s">
        <v>2077</v>
      </c>
      <c r="D18" s="1817">
        <v>461037.57</v>
      </c>
      <c r="E18" s="1837" t="str">
        <f t="shared" ref="E18:E80" si="0">IF(D18&lt;25000,D18,"25,000")</f>
        <v>25,000</v>
      </c>
      <c r="F18" s="1837">
        <f t="shared" ref="F18:F80" si="1">IF(D18&gt;=25000,(D18-E18),"0")</f>
        <v>436037.57</v>
      </c>
      <c r="G18" s="1818"/>
    </row>
    <row r="19" spans="1:7" x14ac:dyDescent="0.25">
      <c r="A19" s="1963" t="s">
        <v>2070</v>
      </c>
      <c r="B19" s="1839">
        <v>202540400</v>
      </c>
      <c r="C19" s="1964" t="s">
        <v>2078</v>
      </c>
      <c r="D19" s="1817">
        <v>176889.08</v>
      </c>
      <c r="E19" s="1837" t="str">
        <f t="shared" si="0"/>
        <v>25,000</v>
      </c>
      <c r="F19" s="1837">
        <f t="shared" si="1"/>
        <v>151889.07999999999</v>
      </c>
    </row>
    <row r="20" spans="1:7" x14ac:dyDescent="0.25">
      <c r="A20" s="1963" t="s">
        <v>2067</v>
      </c>
      <c r="B20" s="1839">
        <v>102300300</v>
      </c>
      <c r="C20" s="1964" t="s">
        <v>2079</v>
      </c>
      <c r="D20" s="1817">
        <v>137393</v>
      </c>
      <c r="E20" s="1837" t="str">
        <f t="shared" si="0"/>
        <v>25,000</v>
      </c>
      <c r="F20" s="1837">
        <f t="shared" si="1"/>
        <v>112393</v>
      </c>
    </row>
    <row r="21" spans="1:7" x14ac:dyDescent="0.25">
      <c r="A21" s="1963" t="s">
        <v>2068</v>
      </c>
      <c r="B21" s="1839">
        <v>102560400</v>
      </c>
      <c r="C21" s="1964" t="s">
        <v>2080</v>
      </c>
      <c r="D21" s="1817">
        <v>88677.03</v>
      </c>
      <c r="E21" s="1837" t="str">
        <f t="shared" si="0"/>
        <v>25,000</v>
      </c>
      <c r="F21" s="1837">
        <f t="shared" si="1"/>
        <v>63677.03</v>
      </c>
    </row>
    <row r="22" spans="1:7" x14ac:dyDescent="0.25">
      <c r="A22" s="1963" t="s">
        <v>2069</v>
      </c>
      <c r="B22" s="1839">
        <v>202540300</v>
      </c>
      <c r="C22" s="1964" t="s">
        <v>2081</v>
      </c>
      <c r="D22" s="1817">
        <v>53244.22</v>
      </c>
      <c r="E22" s="1837" t="str">
        <f t="shared" si="0"/>
        <v>25,000</v>
      </c>
      <c r="F22" s="1837">
        <f t="shared" si="1"/>
        <v>28244.22</v>
      </c>
    </row>
    <row r="23" spans="1:7" x14ac:dyDescent="0.25">
      <c r="A23" s="1963" t="s">
        <v>2071</v>
      </c>
      <c r="B23" s="1839">
        <v>101000400</v>
      </c>
      <c r="C23" s="1964" t="s">
        <v>2082</v>
      </c>
      <c r="D23" s="1817">
        <v>42738</v>
      </c>
      <c r="E23" s="1837" t="str">
        <f t="shared" si="0"/>
        <v>25,000</v>
      </c>
      <c r="F23" s="1837">
        <f t="shared" si="1"/>
        <v>17738</v>
      </c>
    </row>
    <row r="24" spans="1:7" x14ac:dyDescent="0.25">
      <c r="A24" s="1963" t="s">
        <v>2072</v>
      </c>
      <c r="B24" s="1839">
        <v>202540300</v>
      </c>
      <c r="C24" s="1964" t="s">
        <v>2083</v>
      </c>
      <c r="D24" s="1817">
        <v>37221</v>
      </c>
      <c r="E24" s="1837" t="str">
        <f t="shared" si="0"/>
        <v>25,000</v>
      </c>
      <c r="F24" s="1837">
        <f t="shared" si="1"/>
        <v>12221</v>
      </c>
    </row>
    <row r="25" spans="1:7" x14ac:dyDescent="0.25">
      <c r="A25" s="1963" t="s">
        <v>2073</v>
      </c>
      <c r="B25" s="1839">
        <v>402550400</v>
      </c>
      <c r="C25" s="1964" t="s">
        <v>2084</v>
      </c>
      <c r="D25" s="1817">
        <v>34079.620000000003</v>
      </c>
      <c r="E25" s="1837" t="str">
        <f t="shared" si="0"/>
        <v>25,000</v>
      </c>
      <c r="F25" s="1837">
        <f t="shared" si="1"/>
        <v>9079.6200000000026</v>
      </c>
    </row>
    <row r="26" spans="1:7" x14ac:dyDescent="0.25">
      <c r="A26" s="1963" t="s">
        <v>2071</v>
      </c>
      <c r="B26" s="1839">
        <v>101000400</v>
      </c>
      <c r="C26" s="1964" t="s">
        <v>2085</v>
      </c>
      <c r="D26" s="1817">
        <v>29230.720000000001</v>
      </c>
      <c r="E26" s="1837" t="str">
        <f t="shared" si="0"/>
        <v>25,000</v>
      </c>
      <c r="F26" s="1837">
        <f t="shared" si="1"/>
        <v>4230.7200000000012</v>
      </c>
    </row>
    <row r="27" spans="1:7" x14ac:dyDescent="0.25">
      <c r="A27" s="1963" t="s">
        <v>2074</v>
      </c>
      <c r="B27" s="1839">
        <v>101000400</v>
      </c>
      <c r="C27" s="1964" t="s">
        <v>2086</v>
      </c>
      <c r="D27" s="1817">
        <v>28506.6</v>
      </c>
      <c r="E27" s="1837" t="str">
        <f t="shared" si="0"/>
        <v>25,000</v>
      </c>
      <c r="F27" s="1837">
        <f t="shared" si="1"/>
        <v>3506.5999999999985</v>
      </c>
    </row>
    <row r="28" spans="1:7" x14ac:dyDescent="0.25">
      <c r="A28" s="1963" t="s">
        <v>2075</v>
      </c>
      <c r="B28" s="1839">
        <v>202540300</v>
      </c>
      <c r="C28" s="1964" t="s">
        <v>2087</v>
      </c>
      <c r="D28" s="1817">
        <v>27703.5</v>
      </c>
      <c r="E28" s="1837" t="str">
        <f t="shared" si="0"/>
        <v>25,000</v>
      </c>
      <c r="F28" s="1837">
        <f t="shared" si="1"/>
        <v>2703.5</v>
      </c>
    </row>
    <row r="29" spans="1:7" x14ac:dyDescent="0.25">
      <c r="A29" s="1963" t="s">
        <v>2068</v>
      </c>
      <c r="B29" s="1839">
        <v>102560400</v>
      </c>
      <c r="C29" s="1964" t="s">
        <v>2088</v>
      </c>
      <c r="D29" s="1817">
        <v>26792.11</v>
      </c>
      <c r="E29" s="1837" t="str">
        <f t="shared" si="0"/>
        <v>25,000</v>
      </c>
      <c r="F29" s="1837">
        <f t="shared" si="1"/>
        <v>1792.1100000000006</v>
      </c>
    </row>
    <row r="30" spans="1:7" x14ac:dyDescent="0.25">
      <c r="A30" s="1963" t="s">
        <v>2076</v>
      </c>
      <c r="B30" s="1839">
        <v>102200300</v>
      </c>
      <c r="C30" s="1964" t="s">
        <v>2089</v>
      </c>
      <c r="D30" s="1817">
        <v>25497.05</v>
      </c>
      <c r="E30" s="1837" t="str">
        <f t="shared" si="0"/>
        <v>25,000</v>
      </c>
      <c r="F30" s="1837">
        <f t="shared" si="1"/>
        <v>497.04999999999927</v>
      </c>
    </row>
    <row r="31" spans="1:7" x14ac:dyDescent="0.25">
      <c r="A31" s="1819"/>
      <c r="B31" s="1839"/>
      <c r="C31" s="1820"/>
      <c r="D31" s="1817"/>
      <c r="E31" s="1837">
        <f t="shared" si="0"/>
        <v>0</v>
      </c>
      <c r="F31" s="1837" t="str">
        <f t="shared" si="1"/>
        <v>0</v>
      </c>
    </row>
    <row r="32" spans="1:7" x14ac:dyDescent="0.25">
      <c r="A32" s="1819"/>
      <c r="B32" s="1839"/>
      <c r="C32" s="1820"/>
      <c r="D32" s="1817"/>
      <c r="E32" s="1837">
        <f t="shared" si="0"/>
        <v>0</v>
      </c>
      <c r="F32" s="1837" t="str">
        <f t="shared" si="1"/>
        <v>0</v>
      </c>
    </row>
    <row r="33" spans="1:6" x14ac:dyDescent="0.25">
      <c r="A33" s="1819"/>
      <c r="B33" s="1839"/>
      <c r="C33" s="1820"/>
      <c r="D33" s="1817"/>
      <c r="E33" s="1837">
        <f t="shared" si="0"/>
        <v>0</v>
      </c>
      <c r="F33" s="1837" t="str">
        <f t="shared" si="1"/>
        <v>0</v>
      </c>
    </row>
    <row r="34" spans="1:6" x14ac:dyDescent="0.25">
      <c r="A34" s="1819"/>
      <c r="B34" s="1839"/>
      <c r="C34" s="1820"/>
      <c r="D34" s="1817"/>
      <c r="E34" s="1837">
        <f t="shared" si="0"/>
        <v>0</v>
      </c>
      <c r="F34" s="1837" t="str">
        <f t="shared" si="1"/>
        <v>0</v>
      </c>
    </row>
    <row r="35" spans="1:6" x14ac:dyDescent="0.25">
      <c r="A35" s="1819"/>
      <c r="B35" s="1839"/>
      <c r="C35" s="1820"/>
      <c r="D35" s="1817"/>
      <c r="E35" s="1837">
        <f t="shared" si="0"/>
        <v>0</v>
      </c>
      <c r="F35" s="1837" t="str">
        <f t="shared" si="1"/>
        <v>0</v>
      </c>
    </row>
    <row r="36" spans="1:6" x14ac:dyDescent="0.25">
      <c r="A36" s="1819"/>
      <c r="B36" s="1839"/>
      <c r="C36" s="1820"/>
      <c r="D36" s="1817"/>
      <c r="E36" s="1837">
        <f t="shared" si="0"/>
        <v>0</v>
      </c>
      <c r="F36" s="1837" t="str">
        <f t="shared" si="1"/>
        <v>0</v>
      </c>
    </row>
    <row r="37" spans="1:6" x14ac:dyDescent="0.25">
      <c r="A37" s="1819"/>
      <c r="B37" s="1839"/>
      <c r="C37" s="1820"/>
      <c r="D37" s="1817"/>
      <c r="E37" s="1837">
        <f t="shared" si="0"/>
        <v>0</v>
      </c>
      <c r="F37" s="1837" t="str">
        <f t="shared" si="1"/>
        <v>0</v>
      </c>
    </row>
    <row r="38" spans="1:6" x14ac:dyDescent="0.25">
      <c r="A38" s="1819"/>
      <c r="B38" s="1840"/>
      <c r="C38" s="1820"/>
      <c r="D38" s="1817"/>
      <c r="E38" s="1837">
        <f t="shared" si="0"/>
        <v>0</v>
      </c>
      <c r="F38" s="1837" t="str">
        <f t="shared" si="1"/>
        <v>0</v>
      </c>
    </row>
    <row r="39" spans="1:6" x14ac:dyDescent="0.25">
      <c r="A39" s="1819"/>
      <c r="B39" s="1840"/>
      <c r="C39" s="1820"/>
      <c r="D39" s="1817"/>
      <c r="E39" s="1837">
        <f t="shared" si="0"/>
        <v>0</v>
      </c>
      <c r="F39" s="1837" t="str">
        <f t="shared" si="1"/>
        <v>0</v>
      </c>
    </row>
    <row r="40" spans="1:6" x14ac:dyDescent="0.25">
      <c r="A40" s="1819"/>
      <c r="B40" s="1840"/>
      <c r="C40" s="1820"/>
      <c r="D40" s="1817"/>
      <c r="E40" s="1837">
        <f t="shared" si="0"/>
        <v>0</v>
      </c>
      <c r="F40" s="1837" t="str">
        <f t="shared" si="1"/>
        <v>0</v>
      </c>
    </row>
    <row r="41" spans="1:6" x14ac:dyDescent="0.25">
      <c r="A41" s="1819"/>
      <c r="B41" s="1840"/>
      <c r="C41" s="1820"/>
      <c r="D41" s="1817"/>
      <c r="E41" s="1837">
        <f t="shared" si="0"/>
        <v>0</v>
      </c>
      <c r="F41" s="1837" t="str">
        <f t="shared" si="1"/>
        <v>0</v>
      </c>
    </row>
    <row r="42" spans="1:6" x14ac:dyDescent="0.25">
      <c r="A42" s="1819"/>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5"/>
      <c r="B64" s="1840"/>
      <c r="C64" s="1816"/>
      <c r="D64" s="1817"/>
      <c r="E64" s="1837">
        <f t="shared" si="0"/>
        <v>0</v>
      </c>
      <c r="F64" s="1837" t="str">
        <f t="shared" si="1"/>
        <v>0</v>
      </c>
    </row>
    <row r="65" spans="1:6" x14ac:dyDescent="0.25">
      <c r="A65" s="1819"/>
      <c r="B65" s="1840"/>
      <c r="C65" s="1820"/>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ref="E81:E140" si="2">IF(D81&lt;25000,D81,"25,000")</f>
        <v>0</v>
      </c>
      <c r="F81" s="1837" t="str">
        <f t="shared" ref="F81:F140" si="3">IF(D81&gt;=25000,(D81-E81),"0")</f>
        <v>0</v>
      </c>
    </row>
    <row r="82" spans="1:6" x14ac:dyDescent="0.25">
      <c r="A82" s="1819"/>
      <c r="B82" s="1840"/>
      <c r="C82" s="1820"/>
      <c r="D82" s="1817"/>
      <c r="E82" s="1837">
        <f t="shared" si="2"/>
        <v>0</v>
      </c>
      <c r="F82" s="1837" t="str">
        <f t="shared" si="3"/>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1"/>
      <c r="C140" s="1820"/>
      <c r="D140" s="1817"/>
      <c r="E140" s="1837">
        <f t="shared" si="2"/>
        <v>0</v>
      </c>
      <c r="F140" s="1837" t="str">
        <f t="shared" si="3"/>
        <v>0</v>
      </c>
    </row>
    <row r="141" spans="1:6" x14ac:dyDescent="0.25">
      <c r="A141" s="1821" t="s">
        <v>155</v>
      </c>
      <c r="B141" s="1842"/>
      <c r="C141" s="1822"/>
      <c r="D141" s="1823">
        <f>SUM(D18:D140)</f>
        <v>1169009.5000000002</v>
      </c>
      <c r="E141" s="1824">
        <f>SUM(E18:E140)</f>
        <v>0</v>
      </c>
      <c r="F141" s="1825">
        <f>SUM(F18:F140)</f>
        <v>844009.5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f>'Revenues 9-14'!C198</f>
        <v>185037</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29432</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10685064</v>
      </c>
      <c r="F19" s="1741"/>
      <c r="G19" s="1743">
        <f>'Expenditures 15-22'!K33-SUM('Expenditures 15-22'!G33,'Expenditures 15-22'!I33)+'Expenditures 15-22'!D229</f>
        <v>10685064</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872126</v>
      </c>
      <c r="F21" s="1744"/>
      <c r="G21" s="1747">
        <f>'Expenditures 15-22'!K42-SUM('Expenditures 15-22'!G42,'Expenditures 15-22'!I42)+'Expenditures 15-22'!K120-SUM('Expenditures 15-22'!G120,'Expenditures 15-22'!I120)+'Expenditures 15-22'!K180-SUM('Expenditures 15-22'!G180,'Expenditures 15-22'!I180)+'Expenditures 15-22'!D238</f>
        <v>872126</v>
      </c>
      <c r="H21" s="817"/>
      <c r="I21" s="157"/>
    </row>
    <row r="22" spans="1:9" s="542" customFormat="1" ht="12" customHeight="1" x14ac:dyDescent="0.2">
      <c r="A22" s="824" t="s">
        <v>560</v>
      </c>
      <c r="B22" s="825"/>
      <c r="C22" s="823">
        <v>2200</v>
      </c>
      <c r="D22" s="1744"/>
      <c r="E22" s="1746">
        <f>'Expenditures 15-22'!K47-SUM('Expenditures 15-22'!G47,'Expenditures 15-22'!I47)+'Expenditures 15-22'!D243</f>
        <v>1003629</v>
      </c>
      <c r="F22" s="1744"/>
      <c r="G22" s="1747">
        <f>'Expenditures 15-22'!K47-SUM('Expenditures 15-22'!G47,'Expenditures 15-22'!I47)+'Expenditures 15-22'!D243</f>
        <v>1003629</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582182</v>
      </c>
      <c r="F23" s="1744"/>
      <c r="G23" s="1746">
        <f>'Expenditures 15-22'!K53-SUM('Expenditures 15-22'!G53,'Expenditures 15-22'!I53)+'Expenditures 15-22'!D257+'Expenditures 15-22'!K330-SUM('Expenditures 15-22'!G330,'Expenditures 15-22'!I330)</f>
        <v>582182</v>
      </c>
      <c r="H23" s="817"/>
      <c r="I23" s="157"/>
    </row>
    <row r="24" spans="1:9" s="542" customFormat="1" ht="12" customHeight="1" x14ac:dyDescent="0.2">
      <c r="A24" s="824" t="s">
        <v>562</v>
      </c>
      <c r="B24" s="825"/>
      <c r="C24" s="823">
        <v>2400</v>
      </c>
      <c r="D24" s="1744"/>
      <c r="E24" s="1746">
        <f>'Expenditures 15-22'!K57-SUM('Expenditures 15-22'!G57,'Expenditures 15-22'!I57)+'Expenditures 15-22'!D261</f>
        <v>968135</v>
      </c>
      <c r="F24" s="1744"/>
      <c r="G24" s="1747">
        <f>'Expenditures 15-22'!K57-SUM('Expenditures 15-22'!G57,'Expenditures 15-22'!I57)+'Expenditures 15-22'!D261</f>
        <v>968135</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0</v>
      </c>
      <c r="E26" s="1746">
        <f>'Expenditures 15-22'!K122-SUM('Expenditures 15-22'!G122,'Expenditures 15-22'!I122)+E7</f>
        <v>0</v>
      </c>
      <c r="F26" s="1746">
        <f>'Expenditures 15-22'!K59-SUM('Expenditures 15-22'!G59,'Expenditures 15-22'!I59)+'Expenditures 15-22'!D263-E7</f>
        <v>0</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323228</v>
      </c>
      <c r="E27" s="1746">
        <f>E8</f>
        <v>0</v>
      </c>
      <c r="F27" s="1746">
        <f>'Expenditures 15-22'!K60-SUM('Expenditures 15-22'!G60,'Expenditures 15-22'!I60)+'Expenditures 15-22'!D264-E8</f>
        <v>323228</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1213980</v>
      </c>
      <c r="F28" s="1748">
        <f>'Expenditures 15-22'!K61-SUM('Expenditures 15-22'!G61,'Expenditures 15-22'!I61)+'Expenditures 15-22'!K124-SUM('Expenditures 15-22'!G124,'Expenditures 15-22'!I124)+'Expenditures 15-22'!D266-E9</f>
        <v>1213980</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731164</v>
      </c>
      <c r="F29" s="1744"/>
      <c r="G29" s="1747">
        <f>'Expenditures 15-22'!K62-SUM('Expenditures 15-22'!G62,'Expenditures 15-22'!I62)+'Expenditures 15-22'!K125-SUM('Expenditures 15-22'!G125,'Expenditures 15-22'!I125)+'Expenditures 15-22'!K182-SUM('Expenditures 15-22'!G182,'Expenditures 15-22'!I182)+'Expenditures 15-22'!D267</f>
        <v>731164</v>
      </c>
      <c r="H29" s="815"/>
    </row>
    <row r="30" spans="1:9" ht="12" customHeight="1" x14ac:dyDescent="0.2">
      <c r="A30" s="824" t="s">
        <v>100</v>
      </c>
      <c r="B30" s="827"/>
      <c r="C30" s="823">
        <v>2560</v>
      </c>
      <c r="D30" s="1744"/>
      <c r="E30" s="1746">
        <f>'Expenditures 15-22'!K63-SUM('Expenditures 15-22'!G63,'Expenditures 15-22'!I63)+'Expenditures 15-22'!D268-E10</f>
        <v>251079</v>
      </c>
      <c r="F30" s="1744"/>
      <c r="G30" s="1746">
        <f>'Expenditures 15-22'!K63-SUM('Expenditures 15-22'!G63,'Expenditures 15-22'!I63)+'Expenditures 15-22'!D268-E10</f>
        <v>251079</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0</v>
      </c>
      <c r="F35" s="1744"/>
      <c r="G35" s="1746">
        <f>'Expenditures 15-22'!K69-SUM('Expenditures 15-22'!G69,'Expenditures 15-22'!I69)+'Expenditures 15-22'!D274</f>
        <v>0</v>
      </c>
    </row>
    <row r="36" spans="1:7" ht="12" customHeight="1" x14ac:dyDescent="0.2">
      <c r="A36" s="824" t="s">
        <v>400</v>
      </c>
      <c r="B36" s="827"/>
      <c r="C36" s="823">
        <v>2640</v>
      </c>
      <c r="D36" s="1746">
        <f>'Expenditures 15-22'!K70-SUM('Expenditures 15-22'!G70,'Expenditures 15-22'!I70)+'Expenditures 15-22'!D275-E13</f>
        <v>0</v>
      </c>
      <c r="E36" s="1746">
        <f>E13</f>
        <v>0</v>
      </c>
      <c r="F36" s="1746">
        <f>'Expenditures 15-22'!K70-SUM('Expenditures 15-22'!G70,'Expenditures 15-22'!I70)+'Expenditures 15-22'!D275-E13</f>
        <v>0</v>
      </c>
      <c r="G36" s="1746">
        <f>E13</f>
        <v>0</v>
      </c>
    </row>
    <row r="37" spans="1:7" ht="12" customHeight="1" x14ac:dyDescent="0.2">
      <c r="A37" s="824" t="s">
        <v>401</v>
      </c>
      <c r="B37" s="827"/>
      <c r="C37" s="823">
        <v>2660</v>
      </c>
      <c r="D37" s="1746">
        <f>'Expenditures 15-22'!K71-SUM('Expenditures 15-22'!G71,'Expenditures 15-22'!I71)+'Expenditures 15-22'!D276-E14</f>
        <v>52012</v>
      </c>
      <c r="E37" s="1746">
        <f>E14</f>
        <v>0</v>
      </c>
      <c r="F37" s="1746">
        <f>'Expenditures 15-22'!K71-SUM('Expenditures 15-22'!G71,'Expenditures 15-22'!I71)+'Expenditures 15-22'!D276-E14</f>
        <v>52012</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0</v>
      </c>
      <c r="F39" s="1744"/>
      <c r="G39" s="174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44"/>
      <c r="E40" s="1748">
        <f>-'Contracts Paid in CY 29'!F141</f>
        <v>-844009.5</v>
      </c>
      <c r="F40" s="1744"/>
      <c r="G40" s="1748">
        <f>-'Contracts Paid in CY 29'!F141</f>
        <v>-844009.5</v>
      </c>
    </row>
    <row r="41" spans="1:7" ht="12" customHeight="1" x14ac:dyDescent="0.2">
      <c r="A41" s="828" t="s">
        <v>155</v>
      </c>
      <c r="B41" s="829"/>
      <c r="C41" s="830"/>
      <c r="D41" s="1748">
        <f>SUM(D19:D39)</f>
        <v>375240</v>
      </c>
      <c r="E41" s="1748">
        <f>SUM(E19:E40)</f>
        <v>15463349.5</v>
      </c>
      <c r="F41" s="1748">
        <f>SUM(F19:F39)</f>
        <v>1589220</v>
      </c>
      <c r="G41" s="1748">
        <f>SUM(G19:G40)</f>
        <v>14249369.5</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375240</v>
      </c>
      <c r="F43" s="1397" t="s">
        <v>470</v>
      </c>
      <c r="G43" s="1749">
        <f>F41</f>
        <v>1589220</v>
      </c>
    </row>
    <row r="44" spans="1:7" ht="12" customHeight="1" x14ac:dyDescent="0.2">
      <c r="A44" s="817"/>
      <c r="B44" s="157"/>
      <c r="C44" s="831"/>
      <c r="D44" s="1397" t="s">
        <v>471</v>
      </c>
      <c r="E44" s="1749">
        <f>E41</f>
        <v>15463349.5</v>
      </c>
      <c r="F44" s="1397" t="s">
        <v>471</v>
      </c>
      <c r="G44" s="1749">
        <f>G41</f>
        <v>14249369.5</v>
      </c>
    </row>
    <row r="45" spans="1:7" ht="12" customHeight="1" x14ac:dyDescent="0.2">
      <c r="A45" s="817"/>
      <c r="B45" s="157"/>
      <c r="C45" s="157"/>
      <c r="D45" s="1398" t="s">
        <v>999</v>
      </c>
      <c r="E45" s="1750">
        <f>(E43/E44)</f>
        <v>2.4266411361910951E-2</v>
      </c>
      <c r="F45" s="1398" t="s">
        <v>999</v>
      </c>
      <c r="G45" s="1750">
        <f>(G43/G44)</f>
        <v>0.11152914520182805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topLeftCell="A13" zoomScale="110" zoomScaleNormal="110" workbookViewId="0">
      <selection activeCell="C27" sqref="C27"/>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23" t="s">
        <v>1363</v>
      </c>
      <c r="B1" s="2423"/>
      <c r="C1" s="2423"/>
      <c r="D1" s="2423"/>
      <c r="E1" s="2423"/>
      <c r="F1" s="2423"/>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24" t="s">
        <v>1529</v>
      </c>
      <c r="B5" s="2425"/>
      <c r="C5" s="2426"/>
      <c r="D5" s="2426"/>
      <c r="E5" s="2426"/>
      <c r="F5" s="2426"/>
      <c r="G5" s="1446"/>
      <c r="L5" s="1446"/>
      <c r="M5" s="1786"/>
      <c r="N5" s="1786"/>
      <c r="O5" s="1786"/>
    </row>
    <row r="6" spans="1:15" ht="12" customHeight="1" x14ac:dyDescent="0.25">
      <c r="A6" s="1419"/>
      <c r="B6" s="1420"/>
      <c r="C6" s="2427" t="str">
        <f>COVER!A17</f>
        <v xml:space="preserve">  Darien SD 61</v>
      </c>
      <c r="D6" s="2427"/>
      <c r="E6" s="2427"/>
      <c r="F6" s="1421"/>
      <c r="G6" s="1446"/>
      <c r="L6" s="1446"/>
      <c r="M6" s="1786"/>
      <c r="N6" s="1786"/>
      <c r="O6" s="1786"/>
    </row>
    <row r="7" spans="1:15" ht="11.25" customHeight="1" thickBot="1" x14ac:dyDescent="0.3">
      <c r="A7" s="1419"/>
      <c r="B7" s="1420"/>
      <c r="C7" s="2428">
        <f>COVER!A13</f>
        <v>19022061002</v>
      </c>
      <c r="D7" s="2428"/>
      <c r="E7" s="2428"/>
      <c r="F7" s="1421"/>
      <c r="G7" s="1446"/>
      <c r="L7" s="1446"/>
      <c r="M7" s="1786"/>
      <c r="N7" s="1786"/>
      <c r="O7" s="1786"/>
    </row>
    <row r="8" spans="1:15" ht="25.5" customHeight="1" thickBot="1" x14ac:dyDescent="0.25">
      <c r="A8" s="1458" t="s">
        <v>1871</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c r="D11" s="1434"/>
      <c r="E11" s="1435"/>
      <c r="F11" s="1436"/>
      <c r="G11" s="1446"/>
      <c r="H11" s="1446">
        <f>IF(C11="X",5,0)</f>
        <v>0</v>
      </c>
      <c r="I11" s="1446">
        <f>IF(D11="X",5,0)</f>
        <v>0</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c r="D14" s="1434"/>
      <c r="E14" s="1437"/>
      <c r="F14" s="1436"/>
      <c r="G14" s="1446"/>
      <c r="H14" s="1446">
        <f t="shared" si="0"/>
        <v>0</v>
      </c>
      <c r="I14" s="1446">
        <f t="shared" si="1"/>
        <v>0</v>
      </c>
      <c r="J14" s="1446">
        <f t="shared" si="2"/>
        <v>0</v>
      </c>
      <c r="L14" s="1446"/>
      <c r="M14" s="1786"/>
      <c r="N14" s="1786"/>
      <c r="O14" s="1786"/>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86"/>
      <c r="N15" s="1786"/>
      <c r="O15" s="1786"/>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86"/>
      <c r="N18" s="1786"/>
      <c r="O18" s="1786"/>
    </row>
    <row r="19" spans="1:15" ht="12" customHeight="1" x14ac:dyDescent="0.2">
      <c r="A19" s="1432" t="s">
        <v>1510</v>
      </c>
      <c r="B19" s="1433"/>
      <c r="C19" s="1434"/>
      <c r="D19" s="1434"/>
      <c r="E19" s="1437"/>
      <c r="F19" s="1436"/>
      <c r="G19" s="1446"/>
      <c r="H19" s="1446">
        <f t="shared" si="0"/>
        <v>0</v>
      </c>
      <c r="I19" s="1446">
        <f t="shared" si="1"/>
        <v>0</v>
      </c>
      <c r="J19" s="1446">
        <f t="shared" si="2"/>
        <v>0</v>
      </c>
      <c r="L19" s="1446"/>
      <c r="M19" s="1786"/>
      <c r="N19" s="1786"/>
      <c r="O19" s="1786"/>
    </row>
    <row r="20" spans="1:15" ht="12" customHeight="1" x14ac:dyDescent="0.2">
      <c r="A20" s="1432" t="s">
        <v>1511</v>
      </c>
      <c r="B20" s="1433"/>
      <c r="C20" s="1434"/>
      <c r="D20" s="1434"/>
      <c r="E20" s="1437"/>
      <c r="F20" s="1436"/>
      <c r="G20" s="1446"/>
      <c r="H20" s="1446">
        <f t="shared" si="0"/>
        <v>0</v>
      </c>
      <c r="I20" s="1446">
        <f t="shared" si="1"/>
        <v>0</v>
      </c>
      <c r="J20" s="1446">
        <f t="shared" si="2"/>
        <v>0</v>
      </c>
      <c r="L20" s="1446"/>
      <c r="M20" s="1786"/>
      <c r="N20" s="1786"/>
      <c r="O20" s="1786"/>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86"/>
      <c r="N21" s="1786"/>
      <c r="O21" s="1786"/>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86"/>
      <c r="N22" s="1786"/>
      <c r="O22" s="1786"/>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2048</v>
      </c>
      <c r="D26" s="1434" t="s">
        <v>2048</v>
      </c>
      <c r="E26" s="1437" t="s">
        <v>2092</v>
      </c>
      <c r="F26" s="1436" t="s">
        <v>2093</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86"/>
      <c r="N28" s="1786"/>
      <c r="O28" s="1786"/>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86"/>
      <c r="N29" s="1786"/>
      <c r="O29" s="1786"/>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86"/>
      <c r="N30" s="1786"/>
      <c r="O30" s="1786"/>
    </row>
    <row r="31" spans="1:15" ht="12" customHeight="1" x14ac:dyDescent="0.2">
      <c r="A31" s="1432" t="s">
        <v>1522</v>
      </c>
      <c r="B31" s="1433"/>
      <c r="C31" s="1434"/>
      <c r="D31" s="1434"/>
      <c r="E31" s="1437"/>
      <c r="F31" s="1436"/>
      <c r="G31" s="1446"/>
      <c r="H31" s="1446">
        <f t="shared" si="0"/>
        <v>0</v>
      </c>
      <c r="I31" s="1446">
        <f t="shared" si="1"/>
        <v>0</v>
      </c>
      <c r="J31" s="1446">
        <f t="shared" si="2"/>
        <v>0</v>
      </c>
      <c r="L31" s="1787"/>
      <c r="M31" s="1786"/>
      <c r="N31" s="1786"/>
      <c r="O31" s="1786"/>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86"/>
      <c r="N32" s="1786"/>
      <c r="O32" s="1786"/>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86"/>
      <c r="N33" s="1786"/>
      <c r="O33" s="1786"/>
    </row>
    <row r="34" spans="1:15" ht="12" customHeight="1" x14ac:dyDescent="0.25">
      <c r="A34" s="1438"/>
      <c r="B34" s="1438"/>
      <c r="C34" s="1438"/>
      <c r="D34" s="1438"/>
      <c r="E34" s="1438"/>
      <c r="F34" s="1438"/>
      <c r="G34" s="1446"/>
      <c r="H34" s="1446">
        <f>SUM(H11:H32)</f>
        <v>5</v>
      </c>
      <c r="I34" s="1446">
        <f>SUM(I11:I32)</f>
        <v>5</v>
      </c>
      <c r="J34" s="1446">
        <f>SUM(J11:J32)</f>
        <v>0</v>
      </c>
      <c r="K34" s="1446">
        <f>SUM(H34:J34)</f>
        <v>10</v>
      </c>
      <c r="L34" s="1446"/>
      <c r="M34" s="1786"/>
      <c r="N34" s="1786"/>
      <c r="O34" s="1786"/>
    </row>
    <row r="35" spans="1:15" ht="12" customHeight="1" x14ac:dyDescent="0.2">
      <c r="A35" s="1439" t="s">
        <v>1376</v>
      </c>
      <c r="B35" s="1440"/>
      <c r="C35" s="2429"/>
      <c r="D35" s="2429"/>
      <c r="E35" s="2429"/>
      <c r="F35" s="2430"/>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15"/>
      <c r="B38" s="2416"/>
      <c r="C38" s="2416"/>
      <c r="D38" s="2416"/>
      <c r="E38" s="2416"/>
      <c r="F38" s="2417"/>
    </row>
    <row r="39" spans="1:15" ht="4.5" hidden="1" customHeight="1" x14ac:dyDescent="0.2">
      <c r="A39" s="1441"/>
      <c r="B39" s="1441"/>
      <c r="C39" s="1441"/>
      <c r="D39" s="1441"/>
      <c r="E39" s="1441"/>
      <c r="F39" s="1441"/>
    </row>
    <row r="40" spans="1:15" s="1438" customFormat="1" ht="12" customHeight="1" x14ac:dyDescent="0.25">
      <c r="A40" s="1442" t="s">
        <v>1375</v>
      </c>
      <c r="B40" s="1443"/>
      <c r="C40" s="2418"/>
      <c r="D40" s="2418"/>
      <c r="E40" s="2418"/>
      <c r="F40" s="2419"/>
      <c r="H40" s="1447"/>
      <c r="I40" s="1447"/>
      <c r="J40" s="1447"/>
      <c r="K40" s="1447"/>
    </row>
    <row r="41" spans="1:15" s="1438" customFormat="1" ht="12" customHeight="1" x14ac:dyDescent="0.25">
      <c r="A41" s="2420"/>
      <c r="B41" s="2421"/>
      <c r="C41" s="2421"/>
      <c r="D41" s="2421"/>
      <c r="E41" s="2421"/>
      <c r="F41" s="2422"/>
      <c r="H41" s="1447"/>
      <c r="I41" s="1447"/>
      <c r="J41" s="1447"/>
      <c r="K41" s="1447"/>
    </row>
    <row r="42" spans="1:15" s="1438" customFormat="1" ht="12" customHeight="1" x14ac:dyDescent="0.25">
      <c r="A42" s="2420"/>
      <c r="B42" s="2421"/>
      <c r="C42" s="2421"/>
      <c r="D42" s="2421"/>
      <c r="E42" s="2421"/>
      <c r="F42" s="2422"/>
      <c r="H42" s="1447"/>
      <c r="I42" s="1447"/>
      <c r="J42" s="1447"/>
      <c r="K42" s="1447"/>
    </row>
    <row r="43" spans="1:15" s="1438" customFormat="1" ht="15" x14ac:dyDescent="0.25">
      <c r="A43" s="2409"/>
      <c r="B43" s="2410"/>
      <c r="C43" s="2410"/>
      <c r="D43" s="2410"/>
      <c r="E43" s="2410"/>
      <c r="F43" s="2411"/>
      <c r="H43" s="1447"/>
      <c r="I43" s="1447"/>
      <c r="J43" s="1447"/>
      <c r="K43" s="1447"/>
    </row>
    <row r="44" spans="1:15" s="1438" customFormat="1" ht="12" hidden="1" customHeight="1" x14ac:dyDescent="0.25">
      <c r="A44" s="2409"/>
      <c r="B44" s="2410"/>
      <c r="C44" s="2410"/>
      <c r="D44" s="2410"/>
      <c r="E44" s="2410"/>
      <c r="F44" s="2411"/>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topLeftCell="A43" zoomScaleNormal="100" workbookViewId="0">
      <selection activeCell="D21" sqref="D21"/>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1999</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49" t="str">
        <f>COVER!A17</f>
        <v xml:space="preserve">  Darien SD 61</v>
      </c>
      <c r="K6" s="2449"/>
      <c r="L6" s="2463"/>
      <c r="M6" s="838"/>
      <c r="N6" s="1926"/>
    </row>
    <row r="7" spans="1:14" x14ac:dyDescent="0.2">
      <c r="A7" s="2464" t="s">
        <v>864</v>
      </c>
      <c r="B7" s="2465"/>
      <c r="C7" s="2465"/>
      <c r="D7" s="2465"/>
      <c r="E7" s="2466"/>
      <c r="F7" s="839"/>
      <c r="G7" s="838"/>
      <c r="H7" s="838"/>
      <c r="I7" s="1852" t="s">
        <v>369</v>
      </c>
      <c r="J7" s="2451">
        <f>COVER!A13</f>
        <v>19022061002</v>
      </c>
      <c r="K7" s="2451"/>
      <c r="L7" s="2451"/>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2015</v>
      </c>
      <c r="F9" s="1788"/>
      <c r="G9" s="1788"/>
      <c r="H9" s="1788"/>
      <c r="I9" s="1857" t="s">
        <v>2016</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67" t="s">
        <v>478</v>
      </c>
      <c r="B11" s="2468"/>
      <c r="C11" s="2469"/>
      <c r="D11" s="1865" t="s">
        <v>866</v>
      </c>
      <c r="E11" s="1865" t="s">
        <v>64</v>
      </c>
      <c r="F11" s="1865" t="s">
        <v>6</v>
      </c>
      <c r="G11" s="1866" t="s">
        <v>2017</v>
      </c>
      <c r="H11" s="1867" t="s">
        <v>155</v>
      </c>
      <c r="I11" s="1865" t="s">
        <v>64</v>
      </c>
      <c r="J11" s="1865" t="s">
        <v>6</v>
      </c>
      <c r="K11" s="1866" t="s">
        <v>1998</v>
      </c>
      <c r="L11" s="1867" t="s">
        <v>155</v>
      </c>
      <c r="M11" s="838"/>
      <c r="N11" s="1926"/>
    </row>
    <row r="12" spans="1:14" x14ac:dyDescent="0.2">
      <c r="A12" s="1931">
        <v>1</v>
      </c>
      <c r="B12" s="1868" t="s">
        <v>813</v>
      </c>
      <c r="C12" s="842"/>
      <c r="D12" s="1869">
        <v>2320</v>
      </c>
      <c r="E12" s="1872">
        <f>'Expenditures 15-22'!K50</f>
        <v>385774</v>
      </c>
      <c r="F12" s="1870"/>
      <c r="G12" s="1896">
        <f>G68</f>
        <v>0</v>
      </c>
      <c r="H12" s="1872">
        <f t="shared" ref="H12:H18" si="0">SUM(E12:G12)</f>
        <v>385774</v>
      </c>
      <c r="I12" s="1871">
        <v>333443</v>
      </c>
      <c r="J12" s="1870"/>
      <c r="K12" s="1871"/>
      <c r="L12" s="1872">
        <f t="shared" ref="L12:L18" si="1">SUM(I12:K12)</f>
        <v>333443</v>
      </c>
      <c r="M12" s="838"/>
      <c r="N12" s="1926"/>
    </row>
    <row r="13" spans="1:14" x14ac:dyDescent="0.2">
      <c r="A13" s="1931">
        <v>2</v>
      </c>
      <c r="B13" s="1868" t="s">
        <v>42</v>
      </c>
      <c r="C13" s="842"/>
      <c r="D13" s="1869">
        <v>2330</v>
      </c>
      <c r="E13" s="1872">
        <f>'Expenditures 15-22'!K51</f>
        <v>0</v>
      </c>
      <c r="F13" s="1870"/>
      <c r="G13" s="1896">
        <f>H68</f>
        <v>0</v>
      </c>
      <c r="H13" s="1872">
        <f t="shared" si="0"/>
        <v>0</v>
      </c>
      <c r="I13" s="1871"/>
      <c r="J13" s="1870"/>
      <c r="K13" s="1871"/>
      <c r="L13" s="1872">
        <f t="shared" si="1"/>
        <v>0</v>
      </c>
      <c r="M13" s="838"/>
      <c r="N13" s="1926"/>
    </row>
    <row r="14" spans="1:14" x14ac:dyDescent="0.2">
      <c r="A14" s="1931">
        <v>3</v>
      </c>
      <c r="B14" s="1868" t="s">
        <v>43</v>
      </c>
      <c r="C14" s="842"/>
      <c r="D14" s="1873">
        <v>2490</v>
      </c>
      <c r="E14" s="1872">
        <f>'Expenditures 15-22'!K56</f>
        <v>0</v>
      </c>
      <c r="F14" s="1870"/>
      <c r="G14" s="1896">
        <f>I68</f>
        <v>0</v>
      </c>
      <c r="H14" s="1872">
        <f t="shared" si="0"/>
        <v>0</v>
      </c>
      <c r="I14" s="1871"/>
      <c r="J14" s="1870"/>
      <c r="K14" s="1871"/>
      <c r="L14" s="1872">
        <f t="shared" si="1"/>
        <v>0</v>
      </c>
      <c r="M14" s="838"/>
      <c r="N14" s="1926"/>
    </row>
    <row r="15" spans="1:14" x14ac:dyDescent="0.2">
      <c r="A15" s="1931">
        <v>4</v>
      </c>
      <c r="B15" s="1868" t="s">
        <v>1059</v>
      </c>
      <c r="C15" s="842"/>
      <c r="D15" s="1869">
        <v>2510</v>
      </c>
      <c r="E15" s="1872">
        <f>'Expenditures 15-22'!K59</f>
        <v>0</v>
      </c>
      <c r="F15" s="1872">
        <f>'Expenditures 15-22'!K122</f>
        <v>0</v>
      </c>
      <c r="G15" s="1896">
        <f>J68</f>
        <v>0</v>
      </c>
      <c r="H15" s="1872">
        <f t="shared" si="0"/>
        <v>0</v>
      </c>
      <c r="I15" s="1871"/>
      <c r="J15" s="1871"/>
      <c r="K15" s="1871"/>
      <c r="L15" s="1872">
        <f t="shared" si="1"/>
        <v>0</v>
      </c>
      <c r="M15" s="838"/>
      <c r="N15" s="1926"/>
    </row>
    <row r="16" spans="1:14" x14ac:dyDescent="0.2">
      <c r="A16" s="1931">
        <v>5</v>
      </c>
      <c r="B16" s="1868" t="s">
        <v>101</v>
      </c>
      <c r="C16" s="842"/>
      <c r="D16" s="1869">
        <v>2570</v>
      </c>
      <c r="E16" s="1872">
        <f>'Expenditures 15-22'!K64</f>
        <v>0</v>
      </c>
      <c r="F16" s="1870"/>
      <c r="G16" s="1896">
        <f>K68</f>
        <v>0</v>
      </c>
      <c r="H16" s="1872">
        <f t="shared" si="0"/>
        <v>0</v>
      </c>
      <c r="I16" s="1871"/>
      <c r="J16" s="1870"/>
      <c r="K16" s="1871"/>
      <c r="L16" s="1872">
        <f t="shared" si="1"/>
        <v>0</v>
      </c>
      <c r="M16" s="838"/>
      <c r="N16" s="1926"/>
    </row>
    <row r="17" spans="1:14" x14ac:dyDescent="0.2">
      <c r="A17" s="1931">
        <v>6</v>
      </c>
      <c r="B17" s="1868" t="s">
        <v>1051</v>
      </c>
      <c r="C17" s="842"/>
      <c r="D17" s="1869">
        <v>2610</v>
      </c>
      <c r="E17" s="1872">
        <f>'Expenditures 15-22'!K67</f>
        <v>0</v>
      </c>
      <c r="F17" s="1870"/>
      <c r="G17" s="1896">
        <f>L68</f>
        <v>0</v>
      </c>
      <c r="H17" s="1872">
        <f t="shared" si="0"/>
        <v>0</v>
      </c>
      <c r="I17" s="1871"/>
      <c r="J17" s="1870"/>
      <c r="K17" s="1871"/>
      <c r="L17" s="1872">
        <f t="shared" si="1"/>
        <v>0</v>
      </c>
      <c r="M17" s="838"/>
      <c r="N17" s="1926"/>
    </row>
    <row r="18" spans="1:14" ht="26.25" customHeight="1" x14ac:dyDescent="0.2">
      <c r="A18" s="1932">
        <v>7</v>
      </c>
      <c r="B18" s="2470" t="s">
        <v>7</v>
      </c>
      <c r="C18" s="2471"/>
      <c r="D18" s="2472"/>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385774</v>
      </c>
      <c r="F19" s="1878">
        <f t="shared" si="2"/>
        <v>0</v>
      </c>
      <c r="G19" s="1878">
        <f t="shared" ref="G19" si="3">SUM(G12:G17)-G18</f>
        <v>0</v>
      </c>
      <c r="H19" s="1878">
        <f t="shared" si="2"/>
        <v>385774</v>
      </c>
      <c r="I19" s="1878">
        <f t="shared" si="2"/>
        <v>333443</v>
      </c>
      <c r="J19" s="1878">
        <f t="shared" si="2"/>
        <v>0</v>
      </c>
      <c r="K19" s="1878">
        <f t="shared" si="2"/>
        <v>0</v>
      </c>
      <c r="L19" s="1878">
        <f t="shared" si="2"/>
        <v>333443</v>
      </c>
      <c r="M19" s="838"/>
      <c r="N19" s="1926"/>
    </row>
    <row r="20" spans="1:14" ht="13.5" thickTop="1" x14ac:dyDescent="0.2">
      <c r="A20" s="1931">
        <v>9</v>
      </c>
      <c r="B20" s="2473" t="s">
        <v>2018</v>
      </c>
      <c r="C20" s="2473"/>
      <c r="D20" s="2474"/>
      <c r="E20" s="1879"/>
      <c r="F20" s="1879"/>
      <c r="G20" s="1879"/>
      <c r="H20" s="1879"/>
      <c r="I20" s="1879"/>
      <c r="J20" s="1879"/>
      <c r="K20" s="1879"/>
      <c r="L20" s="1880">
        <f>IF(AND(H19&gt;0,L19&gt;0),(((L19-H19)/H19)),"Enter Budget Data")</f>
        <v>-0.13565196202958207</v>
      </c>
      <c r="M20" s="838"/>
      <c r="N20" s="1926"/>
    </row>
    <row r="21" spans="1:14" x14ac:dyDescent="0.2">
      <c r="A21" s="1933" t="s">
        <v>194</v>
      </c>
      <c r="B21" s="1934" t="s">
        <v>2043</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2019</v>
      </c>
      <c r="B24" s="1938"/>
      <c r="C24" s="1939"/>
      <c r="D24" s="1939"/>
      <c r="E24" s="1939"/>
      <c r="F24" s="1939"/>
      <c r="G24" s="1939"/>
      <c r="H24" s="1939"/>
      <c r="I24" s="1939"/>
      <c r="J24" s="1939"/>
      <c r="K24" s="1939"/>
      <c r="L24" s="838"/>
      <c r="M24" s="838"/>
      <c r="N24" s="1926"/>
    </row>
    <row r="25" spans="1:14" x14ac:dyDescent="0.2">
      <c r="A25" s="1937" t="s">
        <v>2020</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75"/>
      <c r="D27" s="2475"/>
      <c r="E27" s="843"/>
      <c r="F27" s="2476"/>
      <c r="G27" s="2476"/>
      <c r="H27" s="2476"/>
      <c r="I27" s="838"/>
      <c r="J27" s="838"/>
      <c r="K27" s="838"/>
      <c r="L27" s="838"/>
      <c r="M27" s="838"/>
      <c r="N27" s="1926"/>
    </row>
    <row r="28" spans="1:14" x14ac:dyDescent="0.2">
      <c r="A28" s="1925"/>
      <c r="B28" s="1935"/>
      <c r="C28" s="1885" t="s">
        <v>1026</v>
      </c>
      <c r="D28" s="844"/>
      <c r="E28" s="1886"/>
      <c r="F28" s="2477" t="s">
        <v>1492</v>
      </c>
      <c r="G28" s="2477"/>
      <c r="H28" s="2477"/>
      <c r="I28" s="838"/>
      <c r="J28" s="838"/>
      <c r="K28" s="838"/>
      <c r="L28" s="838"/>
      <c r="M28" s="838"/>
      <c r="N28" s="1926"/>
    </row>
    <row r="29" spans="1:14" x14ac:dyDescent="0.2">
      <c r="A29" s="1925"/>
      <c r="B29" s="1935"/>
      <c r="C29" s="2478"/>
      <c r="D29" s="2478"/>
      <c r="E29" s="845"/>
      <c r="F29" s="2478"/>
      <c r="G29" s="2478"/>
      <c r="H29" s="2478"/>
      <c r="I29" s="838"/>
      <c r="J29" s="838"/>
      <c r="K29" s="838"/>
      <c r="L29" s="838"/>
      <c r="M29" s="838"/>
      <c r="N29" s="1926"/>
    </row>
    <row r="30" spans="1:14" x14ac:dyDescent="0.2">
      <c r="A30" s="1925"/>
      <c r="B30" s="1935"/>
      <c r="C30" s="1888" t="s">
        <v>1544</v>
      </c>
      <c r="D30" s="838"/>
      <c r="E30" s="1887"/>
      <c r="F30" s="2462" t="s">
        <v>1493</v>
      </c>
      <c r="G30" s="2462"/>
      <c r="H30" s="2462"/>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39" t="s">
        <v>2021</v>
      </c>
      <c r="D34" s="2440"/>
      <c r="E34" s="2440"/>
      <c r="F34" s="2440"/>
      <c r="G34" s="2440"/>
      <c r="H34" s="2440"/>
      <c r="I34" s="2440"/>
      <c r="J34" s="2440"/>
      <c r="K34" s="1944"/>
      <c r="L34" s="838"/>
      <c r="M34" s="838"/>
      <c r="N34" s="1926"/>
    </row>
    <row r="35" spans="1:14" x14ac:dyDescent="0.2">
      <c r="A35" s="1925"/>
      <c r="B35" s="838"/>
      <c r="C35" s="2440"/>
      <c r="D35" s="2440"/>
      <c r="E35" s="2440"/>
      <c r="F35" s="2440"/>
      <c r="G35" s="2440"/>
      <c r="H35" s="2440"/>
      <c r="I35" s="2440"/>
      <c r="J35" s="2440"/>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39" t="s">
        <v>2022</v>
      </c>
      <c r="D37" s="2440"/>
      <c r="E37" s="2440"/>
      <c r="F37" s="2440"/>
      <c r="G37" s="2440"/>
      <c r="H37" s="2440"/>
      <c r="I37" s="2440"/>
      <c r="J37" s="2440"/>
      <c r="K37" s="1944"/>
      <c r="L37" s="1946"/>
      <c r="M37" s="838"/>
      <c r="N37" s="1926"/>
    </row>
    <row r="38" spans="1:14" x14ac:dyDescent="0.2">
      <c r="A38" s="1925"/>
      <c r="B38" s="838"/>
      <c r="C38" s="2440"/>
      <c r="D38" s="2440"/>
      <c r="E38" s="2440"/>
      <c r="F38" s="2440"/>
      <c r="G38" s="2440"/>
      <c r="H38" s="2440"/>
      <c r="I38" s="2440"/>
      <c r="J38" s="2440"/>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41" t="s">
        <v>2023</v>
      </c>
      <c r="D40" s="2442"/>
      <c r="E40" s="2442"/>
      <c r="F40" s="2442"/>
      <c r="G40" s="2442"/>
      <c r="H40" s="2442"/>
      <c r="I40" s="2442"/>
      <c r="J40" s="2442"/>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43" t="s">
        <v>2024</v>
      </c>
      <c r="B43" s="2444"/>
      <c r="C43" s="2444"/>
      <c r="D43" s="2444"/>
      <c r="E43" s="2444"/>
      <c r="F43" s="2444"/>
      <c r="G43" s="2444"/>
      <c r="H43" s="2444"/>
      <c r="I43" s="2444"/>
      <c r="J43" s="2444"/>
      <c r="K43" s="2444"/>
      <c r="L43" s="2444"/>
      <c r="M43" s="2444"/>
      <c r="N43" s="2445"/>
    </row>
    <row r="44" spans="1:14" x14ac:dyDescent="0.2">
      <c r="A44" s="1910"/>
      <c r="B44" s="1911"/>
      <c r="C44" s="1911"/>
      <c r="D44" s="1911"/>
      <c r="E44" s="1911"/>
      <c r="F44" s="1911"/>
      <c r="G44" s="1911"/>
      <c r="H44" s="1911"/>
      <c r="I44" s="1911"/>
      <c r="J44" s="1911"/>
      <c r="K44" s="1911"/>
      <c r="L44" s="1911"/>
      <c r="M44" s="1911"/>
      <c r="N44" s="1912"/>
    </row>
    <row r="45" spans="1:14" x14ac:dyDescent="0.2">
      <c r="A45" s="1910" t="s">
        <v>2025</v>
      </c>
      <c r="B45" s="1911"/>
      <c r="C45" s="1911"/>
      <c r="D45" s="1911"/>
      <c r="E45" s="1911"/>
      <c r="F45" s="1911"/>
      <c r="G45" s="1911"/>
      <c r="H45" s="1911"/>
      <c r="I45" s="1911"/>
      <c r="J45" s="1911"/>
      <c r="K45" s="1911"/>
      <c r="L45" s="1911"/>
      <c r="M45" s="1911"/>
      <c r="N45" s="1912"/>
    </row>
    <row r="46" spans="1:14" x14ac:dyDescent="0.2">
      <c r="A46" s="2446" t="s">
        <v>2026</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2042</v>
      </c>
      <c r="B49" s="1952"/>
      <c r="C49" s="1952"/>
      <c r="D49" s="1953"/>
      <c r="E49" s="1953"/>
      <c r="F49" s="1953"/>
      <c r="G49" s="1953"/>
      <c r="H49" s="1953"/>
      <c r="I49" s="1953"/>
      <c r="J49" s="1953"/>
      <c r="K49" s="1953"/>
      <c r="L49" s="1953"/>
      <c r="M49" s="1953"/>
      <c r="N49" s="1954"/>
    </row>
    <row r="50" spans="1:14" ht="15" x14ac:dyDescent="0.25">
      <c r="A50" s="1956" t="s">
        <v>2041</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49" t="str">
        <f>J6</f>
        <v xml:space="preserve">  Darien SD 61</v>
      </c>
      <c r="M52" s="2449"/>
      <c r="N52" s="2450"/>
    </row>
    <row r="53" spans="1:14" x14ac:dyDescent="0.2">
      <c r="A53" s="1910"/>
      <c r="B53" s="1911"/>
      <c r="C53" s="1911"/>
      <c r="D53" s="1911"/>
      <c r="E53" s="1911"/>
      <c r="F53" s="1911"/>
      <c r="G53" s="1911"/>
      <c r="H53" s="1911"/>
      <c r="I53" s="1911"/>
      <c r="J53" s="1911"/>
      <c r="K53" s="1852" t="s">
        <v>369</v>
      </c>
      <c r="L53" s="2451">
        <f>J7</f>
        <v>19022061002</v>
      </c>
      <c r="M53" s="2451"/>
      <c r="N53" s="2452"/>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53"/>
      <c r="B55" s="2454"/>
      <c r="C55" s="2454"/>
      <c r="D55" s="1898"/>
      <c r="E55" s="1898"/>
      <c r="F55" s="1898"/>
      <c r="G55" s="2455" t="s">
        <v>2027</v>
      </c>
      <c r="H55" s="2455"/>
      <c r="I55" s="2455"/>
      <c r="J55" s="2455"/>
      <c r="K55" s="2455"/>
      <c r="L55" s="2455"/>
      <c r="M55" s="2455"/>
      <c r="N55" s="2456"/>
    </row>
    <row r="56" spans="1:14" ht="63.75" x14ac:dyDescent="0.2">
      <c r="A56" s="2457" t="s">
        <v>2028</v>
      </c>
      <c r="B56" s="2458"/>
      <c r="C56" s="2459"/>
      <c r="D56" s="1892" t="s">
        <v>2029</v>
      </c>
      <c r="E56" s="1892" t="s">
        <v>2030</v>
      </c>
      <c r="F56" s="1899"/>
      <c r="G56" s="1892" t="s">
        <v>2031</v>
      </c>
      <c r="H56" s="1892" t="s">
        <v>2032</v>
      </c>
      <c r="I56" s="1892" t="s">
        <v>2033</v>
      </c>
      <c r="J56" s="1892" t="s">
        <v>2034</v>
      </c>
      <c r="K56" s="1892" t="s">
        <v>2035</v>
      </c>
      <c r="L56" s="1892" t="s">
        <v>2036</v>
      </c>
      <c r="M56" s="1892" t="s">
        <v>2037</v>
      </c>
      <c r="N56" s="1893" t="s">
        <v>2044</v>
      </c>
    </row>
    <row r="57" spans="1:14" ht="24.75" customHeight="1" x14ac:dyDescent="0.2">
      <c r="A57" s="2460" t="s">
        <v>296</v>
      </c>
      <c r="B57" s="2461"/>
      <c r="C57" s="2461"/>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37" t="s">
        <v>2038</v>
      </c>
      <c r="B58" s="2438"/>
      <c r="C58" s="2438"/>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31" t="s">
        <v>297</v>
      </c>
      <c r="B59" s="2432"/>
      <c r="C59" s="2432"/>
      <c r="D59" s="1895">
        <v>2363</v>
      </c>
      <c r="E59" s="1905">
        <f>'Expenditures 15-22'!K321</f>
        <v>0</v>
      </c>
      <c r="F59" s="1900"/>
      <c r="G59" s="1959"/>
      <c r="H59" s="1960"/>
      <c r="I59" s="1960"/>
      <c r="J59" s="1960"/>
      <c r="K59" s="1960"/>
      <c r="L59" s="1960"/>
      <c r="M59" s="1960"/>
      <c r="N59" s="1903">
        <f>IF((SUM(G59:M59))=E59,SUM(G59:M59),"Column N does not agree with Column E")</f>
        <v>0</v>
      </c>
    </row>
    <row r="60" spans="1:14" ht="24" customHeight="1" x14ac:dyDescent="0.2">
      <c r="A60" s="2431" t="s">
        <v>236</v>
      </c>
      <c r="B60" s="2432"/>
      <c r="C60" s="2432"/>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31" t="s">
        <v>697</v>
      </c>
      <c r="B61" s="2432"/>
      <c r="C61" s="2432"/>
      <c r="D61" s="1895">
        <v>2365</v>
      </c>
      <c r="E61" s="1905">
        <f>'Expenditures 15-22'!K323</f>
        <v>0</v>
      </c>
      <c r="F61" s="1900"/>
      <c r="G61" s="1959"/>
      <c r="H61" s="1960"/>
      <c r="I61" s="1960"/>
      <c r="J61" s="1960"/>
      <c r="K61" s="1960"/>
      <c r="L61" s="1960"/>
      <c r="M61" s="1960"/>
      <c r="N61" s="1903">
        <f t="shared" si="4"/>
        <v>0</v>
      </c>
    </row>
    <row r="62" spans="1:14" ht="24" customHeight="1" x14ac:dyDescent="0.2">
      <c r="A62" s="2431" t="s">
        <v>237</v>
      </c>
      <c r="B62" s="2432"/>
      <c r="C62" s="2432"/>
      <c r="D62" s="1895">
        <v>2366</v>
      </c>
      <c r="E62" s="1905">
        <f>'Expenditures 15-22'!K324</f>
        <v>0</v>
      </c>
      <c r="F62" s="1900"/>
      <c r="G62" s="1959"/>
      <c r="H62" s="1960"/>
      <c r="I62" s="1960"/>
      <c r="J62" s="1960"/>
      <c r="K62" s="1960"/>
      <c r="L62" s="1960"/>
      <c r="M62" s="1960"/>
      <c r="N62" s="1903">
        <f t="shared" si="4"/>
        <v>0</v>
      </c>
    </row>
    <row r="63" spans="1:14" ht="24" customHeight="1" x14ac:dyDescent="0.2">
      <c r="A63" s="2437" t="s">
        <v>1022</v>
      </c>
      <c r="B63" s="2438"/>
      <c r="C63" s="2438"/>
      <c r="D63" s="1895">
        <v>2367</v>
      </c>
      <c r="E63" s="1905">
        <f>'Expenditures 15-22'!K325</f>
        <v>0</v>
      </c>
      <c r="F63" s="1900"/>
      <c r="G63" s="1959"/>
      <c r="H63" s="1960"/>
      <c r="I63" s="1960"/>
      <c r="J63" s="1960"/>
      <c r="K63" s="1960"/>
      <c r="L63" s="1960"/>
      <c r="M63" s="1960"/>
      <c r="N63" s="1903">
        <f t="shared" si="4"/>
        <v>0</v>
      </c>
    </row>
    <row r="64" spans="1:14" ht="24" customHeight="1" x14ac:dyDescent="0.2">
      <c r="A64" s="2431" t="s">
        <v>1023</v>
      </c>
      <c r="B64" s="2432"/>
      <c r="C64" s="2432"/>
      <c r="D64" s="1895">
        <v>2368</v>
      </c>
      <c r="E64" s="1905">
        <f>'Expenditures 15-22'!K326</f>
        <v>0</v>
      </c>
      <c r="F64" s="1900"/>
      <c r="G64" s="1959"/>
      <c r="H64" s="1960"/>
      <c r="I64" s="1960"/>
      <c r="J64" s="1960"/>
      <c r="K64" s="1960"/>
      <c r="L64" s="1960"/>
      <c r="M64" s="1960"/>
      <c r="N64" s="1903">
        <f t="shared" si="4"/>
        <v>0</v>
      </c>
    </row>
    <row r="65" spans="1:14" ht="24" customHeight="1" x14ac:dyDescent="0.2">
      <c r="A65" s="2431" t="s">
        <v>965</v>
      </c>
      <c r="B65" s="2432"/>
      <c r="C65" s="2432"/>
      <c r="D65" s="1895">
        <v>2369</v>
      </c>
      <c r="E65" s="1905">
        <f>'Expenditures 15-22'!K327</f>
        <v>0</v>
      </c>
      <c r="F65" s="1900"/>
      <c r="G65" s="1959"/>
      <c r="H65" s="1960"/>
      <c r="I65" s="1960"/>
      <c r="J65" s="1960"/>
      <c r="K65" s="1960"/>
      <c r="L65" s="1960"/>
      <c r="M65" s="1960"/>
      <c r="N65" s="1903">
        <f t="shared" si="4"/>
        <v>0</v>
      </c>
    </row>
    <row r="66" spans="1:14" ht="24" customHeight="1" x14ac:dyDescent="0.2">
      <c r="A66" s="2431" t="s">
        <v>469</v>
      </c>
      <c r="B66" s="2432"/>
      <c r="C66" s="2432"/>
      <c r="D66" s="1895">
        <v>2371</v>
      </c>
      <c r="E66" s="1905">
        <f>'Expenditures 15-22'!K328</f>
        <v>0</v>
      </c>
      <c r="F66" s="1900"/>
      <c r="G66" s="1959"/>
      <c r="H66" s="1960"/>
      <c r="I66" s="1960"/>
      <c r="J66" s="1960"/>
      <c r="K66" s="1960"/>
      <c r="L66" s="1960"/>
      <c r="M66" s="1960"/>
      <c r="N66" s="1903">
        <f t="shared" si="4"/>
        <v>0</v>
      </c>
    </row>
    <row r="67" spans="1:14" ht="24.75" customHeight="1" x14ac:dyDescent="0.2">
      <c r="A67" s="2433" t="s">
        <v>2039</v>
      </c>
      <c r="B67" s="2434"/>
      <c r="C67" s="2434"/>
      <c r="D67" s="1897">
        <v>2372</v>
      </c>
      <c r="E67" s="1906">
        <f>'Expenditures 15-22'!K329</f>
        <v>0</v>
      </c>
      <c r="F67" s="1900"/>
      <c r="G67" s="1961"/>
      <c r="H67" s="1962"/>
      <c r="I67" s="1962"/>
      <c r="J67" s="1962"/>
      <c r="K67" s="1962"/>
      <c r="L67" s="1962"/>
      <c r="M67" s="1962"/>
      <c r="N67" s="1903">
        <f t="shared" si="4"/>
        <v>0</v>
      </c>
    </row>
    <row r="68" spans="1:14" x14ac:dyDescent="0.2">
      <c r="A68" s="2435" t="s">
        <v>1151</v>
      </c>
      <c r="B68" s="2436"/>
      <c r="C68" s="2436"/>
      <c r="D68" s="1898"/>
      <c r="E68" s="1902">
        <f>SUM(E57:E67)</f>
        <v>0</v>
      </c>
      <c r="F68" s="1901"/>
      <c r="G68" s="1902">
        <f t="shared" ref="G68:N68" si="5">SUM(G57:G67)</f>
        <v>0</v>
      </c>
      <c r="H68" s="1902">
        <f t="shared" si="5"/>
        <v>0</v>
      </c>
      <c r="I68" s="1902">
        <f t="shared" si="5"/>
        <v>0</v>
      </c>
      <c r="J68" s="1902">
        <f t="shared" si="5"/>
        <v>0</v>
      </c>
      <c r="K68" s="1902">
        <f t="shared" si="5"/>
        <v>0</v>
      </c>
      <c r="L68" s="1902">
        <f t="shared" si="5"/>
        <v>0</v>
      </c>
      <c r="M68" s="1902">
        <f t="shared" si="5"/>
        <v>0</v>
      </c>
      <c r="N68" s="1916">
        <f t="shared" si="5"/>
        <v>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2040</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sqref="A1:F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Darien SD 61</v>
      </c>
    </row>
    <row r="65" spans="2:2" x14ac:dyDescent="0.2">
      <c r="B65" s="849">
        <f>COVER!A13</f>
        <v>19022061002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1969</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16920377</v>
      </c>
      <c r="C8" s="1752">
        <f>'Acct Summary 7-8'!D8</f>
        <v>1108001</v>
      </c>
      <c r="D8" s="1752">
        <f>'Acct Summary 7-8'!F8</f>
        <v>1057697</v>
      </c>
      <c r="E8" s="1752">
        <f>'Acct Summary 7-8'!I8</f>
        <v>0</v>
      </c>
      <c r="F8" s="1752">
        <f>SUM(B8:E8)</f>
        <v>19086075</v>
      </c>
    </row>
    <row r="9" spans="1:8" s="858" customFormat="1" ht="14.25" customHeight="1" thickBot="1" x14ac:dyDescent="0.25">
      <c r="A9" s="857" t="s">
        <v>1353</v>
      </c>
      <c r="B9" s="1753">
        <f>'Acct Summary 7-8'!C17</f>
        <v>16690452</v>
      </c>
      <c r="C9" s="1753">
        <f>'Acct Summary 7-8'!D17</f>
        <v>1137743</v>
      </c>
      <c r="D9" s="1753">
        <f>'Acct Summary 7-8'!F17</f>
        <v>844112</v>
      </c>
      <c r="E9" s="1752"/>
      <c r="F9" s="1752">
        <f>SUM(B9:E9)</f>
        <v>18672307</v>
      </c>
    </row>
    <row r="10" spans="1:8" s="858" customFormat="1" ht="14.25" thickTop="1" thickBot="1" x14ac:dyDescent="0.25">
      <c r="A10" s="859" t="s">
        <v>1354</v>
      </c>
      <c r="B10" s="1754">
        <f>(B8-B9)</f>
        <v>229925</v>
      </c>
      <c r="C10" s="1754">
        <f>(C8-C9)</f>
        <v>-29742</v>
      </c>
      <c r="D10" s="1754">
        <f>(D8-D9)</f>
        <v>213585</v>
      </c>
      <c r="E10" s="1753">
        <f>(E8-E9)</f>
        <v>0</v>
      </c>
      <c r="F10" s="1755">
        <f>SUM(F8-F9)</f>
        <v>413768</v>
      </c>
    </row>
    <row r="11" spans="1:8" s="858" customFormat="1" ht="14.25" thickTop="1" thickBot="1" x14ac:dyDescent="0.25">
      <c r="A11" s="860" t="s">
        <v>1900</v>
      </c>
      <c r="B11" s="1756">
        <f>'Acct Summary 7-8'!C81</f>
        <v>6895028</v>
      </c>
      <c r="C11" s="1756">
        <f>'Acct Summary 7-8'!D81</f>
        <v>1654154</v>
      </c>
      <c r="D11" s="1756">
        <f>'Acct Summary 7-8'!F81</f>
        <v>1142359</v>
      </c>
      <c r="E11" s="1756">
        <f>'Acct Summary 7-8'!I81</f>
        <v>1313224</v>
      </c>
      <c r="F11" s="1757">
        <f>SUM(B11:E11)</f>
        <v>11004765</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55" sqref="D5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2"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1" t="s">
        <v>1975</v>
      </c>
    </row>
    <row r="2" spans="1:7" ht="15.75" x14ac:dyDescent="0.25">
      <c r="A2" t="s">
        <v>260</v>
      </c>
      <c r="B2" s="135">
        <f>COVER!A13</f>
        <v>19022061002</v>
      </c>
      <c r="E2" s="1481">
        <v>2020</v>
      </c>
      <c r="F2" s="1481">
        <v>1</v>
      </c>
      <c r="G2" s="1830">
        <v>101000300</v>
      </c>
    </row>
    <row r="3" spans="1:7" ht="15" x14ac:dyDescent="0.25">
      <c r="A3" t="s">
        <v>950</v>
      </c>
      <c r="B3" s="135" t="str">
        <f>COVER!A15</f>
        <v>DuPage County</v>
      </c>
      <c r="E3" s="1761" t="s">
        <v>1968</v>
      </c>
      <c r="F3" s="1761" t="s">
        <v>1967</v>
      </c>
      <c r="G3" s="1830">
        <v>101000400</v>
      </c>
    </row>
    <row r="4" spans="1:7" ht="15" x14ac:dyDescent="0.25">
      <c r="A4" t="s">
        <v>1000</v>
      </c>
      <c r="B4" s="135" t="str">
        <f>COVER!A17</f>
        <v xml:space="preserve">  Darien SD 61</v>
      </c>
      <c r="E4" s="1759">
        <v>44119</v>
      </c>
      <c r="F4" s="1760">
        <v>44151</v>
      </c>
      <c r="G4" s="1830">
        <v>101000600</v>
      </c>
    </row>
    <row r="5" spans="1:7" ht="15" x14ac:dyDescent="0.25">
      <c r="A5" t="s">
        <v>699</v>
      </c>
      <c r="B5" s="135" t="str">
        <f>COVER!A38</f>
        <v>Dr. Robert M. Carlo</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 xml:space="preserve">ACCRUAL </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t="str">
        <f>COVER!T23</f>
        <v>065-037815</v>
      </c>
      <c r="G15" s="1830">
        <v>402100400</v>
      </c>
    </row>
    <row r="16" spans="1:7" ht="15" x14ac:dyDescent="0.25">
      <c r="A16" t="s">
        <v>419</v>
      </c>
      <c r="B16" s="135" t="str">
        <f>COVER!T13</f>
        <v>Lauterbach &amp; Amen, LLP</v>
      </c>
      <c r="G16" s="1830">
        <v>402100600</v>
      </c>
    </row>
    <row r="17" spans="1:7" ht="15" x14ac:dyDescent="0.25">
      <c r="A17" t="s">
        <v>878</v>
      </c>
      <c r="B17" s="135" t="str">
        <f>COVER!T15</f>
        <v>Don Shaw</v>
      </c>
      <c r="G17" s="1830">
        <v>402100800</v>
      </c>
    </row>
    <row r="18" spans="1:7" ht="15" x14ac:dyDescent="0.25">
      <c r="A18" t="s">
        <v>1140</v>
      </c>
      <c r="B18" s="135" t="str">
        <f>COVER!T17</f>
        <v>668 N. River Road</v>
      </c>
      <c r="G18" s="1830">
        <v>102200300</v>
      </c>
    </row>
    <row r="19" spans="1:7" ht="15" x14ac:dyDescent="0.25">
      <c r="A19" t="s">
        <v>880</v>
      </c>
      <c r="B19" s="135" t="str">
        <f>COVER!T25</f>
        <v>dshaw@lauterbachamen.com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t="str">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6364014</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0</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14321180</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0</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6399941</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7426152</v>
      </c>
      <c r="C91" s="2" t="s">
        <v>569</v>
      </c>
      <c r="D91" s="2" t="str">
        <f t="shared" si="0"/>
        <v>Error?</v>
      </c>
      <c r="G91" s="1830">
        <v>102640400</v>
      </c>
    </row>
    <row r="92" spans="1:7" ht="15" x14ac:dyDescent="0.25">
      <c r="A92" s="5">
        <v>31</v>
      </c>
      <c r="B92" s="1763">
        <f>'Assets-Liab 5-6'!C39</f>
        <v>6895028</v>
      </c>
      <c r="D92" s="2" t="str">
        <f t="shared" si="0"/>
        <v>Error?</v>
      </c>
      <c r="G92" s="1830">
        <v>102640600</v>
      </c>
    </row>
    <row r="93" spans="1:7" ht="15" x14ac:dyDescent="0.25">
      <c r="A93" s="5">
        <v>32</v>
      </c>
      <c r="B93" s="1763">
        <f>'Assets-Liab 5-6'!C41</f>
        <v>14321180</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445383</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2088154</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-11383</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445383</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434000</v>
      </c>
      <c r="C122" s="2" t="s">
        <v>569</v>
      </c>
      <c r="D122" s="2" t="str">
        <f t="shared" si="0"/>
        <v>Error?</v>
      </c>
      <c r="G122" s="1830">
        <v>203000300</v>
      </c>
    </row>
    <row r="123" spans="1:7" ht="15" x14ac:dyDescent="0.25">
      <c r="A123" s="5">
        <v>62</v>
      </c>
      <c r="B123" s="1763">
        <f>'Assets-Liab 5-6'!D39</f>
        <v>0</v>
      </c>
      <c r="D123" s="2" t="str">
        <f t="shared" si="0"/>
        <v>Error?</v>
      </c>
      <c r="G123" s="1830">
        <v>203000400</v>
      </c>
    </row>
    <row r="124" spans="1:7" ht="15" x14ac:dyDescent="0.25">
      <c r="A124" s="5">
        <v>63</v>
      </c>
      <c r="B124" s="1763">
        <f>'Assets-Liab 5-6'!D41</f>
        <v>2088154</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391906</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912057</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391906</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391906</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912057</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285727</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1431949</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3863</v>
      </c>
      <c r="D164" s="2" t="str">
        <f t="shared" si="1"/>
        <v>Error?</v>
      </c>
    </row>
    <row r="165" spans="1:4" x14ac:dyDescent="0.2">
      <c r="A165" s="10">
        <v>104</v>
      </c>
      <c r="B165" s="1763"/>
      <c r="D165" s="2" t="str">
        <f t="shared" si="1"/>
        <v>OK</v>
      </c>
    </row>
    <row r="166" spans="1:4" x14ac:dyDescent="0.2">
      <c r="A166" s="5">
        <v>105</v>
      </c>
      <c r="B166" s="1763">
        <f>'Assets-Liab 5-6'!F32</f>
        <v>285727</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289590</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1431949</v>
      </c>
      <c r="C171" s="2" t="s">
        <v>569</v>
      </c>
      <c r="D171" s="2" t="str">
        <f t="shared" si="1"/>
        <v>Error?</v>
      </c>
    </row>
    <row r="172" spans="1:4" x14ac:dyDescent="0.2">
      <c r="A172" s="10">
        <v>111</v>
      </c>
      <c r="B172" s="1763"/>
      <c r="D172" s="2" t="str">
        <f t="shared" si="1"/>
        <v>OK</v>
      </c>
    </row>
    <row r="173" spans="1:4" x14ac:dyDescent="0.2">
      <c r="A173" s="5">
        <v>112</v>
      </c>
      <c r="B173" s="1763">
        <f>'Assets-Liab 5-6'!G6</f>
        <v>250592</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1056623</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250592</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250592</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1056623</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291298</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0</v>
      </c>
      <c r="C211" s="2" t="s">
        <v>569</v>
      </c>
      <c r="D211" s="2" t="str">
        <f t="shared" si="2"/>
        <v>Error?</v>
      </c>
    </row>
    <row r="212" spans="1:4" x14ac:dyDescent="0.2">
      <c r="A212" s="5">
        <v>151</v>
      </c>
      <c r="B212" s="1763">
        <f>'Assets-Liab 5-6'!H39</f>
        <v>0</v>
      </c>
      <c r="D212" s="2" t="str">
        <f t="shared" si="2"/>
        <v>Error?</v>
      </c>
    </row>
    <row r="213" spans="1:4" x14ac:dyDescent="0.2">
      <c r="A213" s="12">
        <v>152</v>
      </c>
      <c r="B213" s="1763">
        <f>'Assets-Liab 5-6'!H41</f>
        <v>291298</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1658656</v>
      </c>
      <c r="D273" s="2" t="str">
        <f t="shared" si="3"/>
        <v>Error?</v>
      </c>
    </row>
    <row r="274" spans="1:4" x14ac:dyDescent="0.2">
      <c r="A274" s="5">
        <v>213</v>
      </c>
      <c r="B274" s="1763">
        <f>'Assets-Liab 5-6'!M17</f>
        <v>12156463</v>
      </c>
      <c r="D274" s="2" t="str">
        <f t="shared" si="3"/>
        <v>Error?</v>
      </c>
    </row>
    <row r="275" spans="1:4" x14ac:dyDescent="0.2">
      <c r="A275" s="5">
        <v>214</v>
      </c>
      <c r="B275" s="1763">
        <f>'Assets-Liab 5-6'!M18</f>
        <v>86281</v>
      </c>
      <c r="D275" s="2" t="str">
        <f t="shared" si="3"/>
        <v>Error?</v>
      </c>
    </row>
    <row r="276" spans="1:4" x14ac:dyDescent="0.2">
      <c r="A276" s="5">
        <v>215</v>
      </c>
      <c r="B276" s="1763">
        <f>'Assets-Liab 5-6'!M19</f>
        <v>575210</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14476610</v>
      </c>
      <c r="C279" s="2" t="s">
        <v>569</v>
      </c>
      <c r="D279" s="2" t="str">
        <f t="shared" si="3"/>
        <v>Error?</v>
      </c>
    </row>
    <row r="280" spans="1:4" x14ac:dyDescent="0.2">
      <c r="A280" s="5">
        <v>219</v>
      </c>
      <c r="B280" s="1763">
        <f>'Assets-Liab 5-6'!M40</f>
        <v>14476610</v>
      </c>
      <c r="D280" s="2" t="str">
        <f t="shared" si="3"/>
        <v>Error?</v>
      </c>
    </row>
    <row r="281" spans="1:4" x14ac:dyDescent="0.2">
      <c r="A281" s="5">
        <v>220</v>
      </c>
      <c r="B281" s="1763">
        <f>'Assets-Liab 5-6'!M41</f>
        <v>14476610</v>
      </c>
      <c r="C281" s="2" t="s">
        <v>569</v>
      </c>
      <c r="D281" s="2" t="str">
        <f t="shared" si="3"/>
        <v>Error?</v>
      </c>
    </row>
    <row r="282" spans="1:4" x14ac:dyDescent="0.2">
      <c r="A282" s="5">
        <v>221</v>
      </c>
      <c r="B282" s="1763">
        <f>'Assets-Liab 5-6'!N21</f>
        <v>0</v>
      </c>
      <c r="D282" s="2" t="str">
        <f t="shared" si="3"/>
        <v>Error?</v>
      </c>
    </row>
    <row r="283" spans="1:4" x14ac:dyDescent="0.2">
      <c r="A283" s="5">
        <v>222</v>
      </c>
      <c r="B283" s="1763">
        <f>'Assets-Liab 5-6'!N22</f>
        <v>2835000</v>
      </c>
      <c r="D283" s="2" t="str">
        <f t="shared" si="3"/>
        <v>Error?</v>
      </c>
    </row>
    <row r="284" spans="1:4" x14ac:dyDescent="0.2">
      <c r="A284" s="5">
        <v>223</v>
      </c>
      <c r="B284" s="1763">
        <f>'Assets-Liab 5-6'!N23</f>
        <v>2835000</v>
      </c>
      <c r="C284" s="2" t="s">
        <v>569</v>
      </c>
      <c r="D284" s="2" t="str">
        <f t="shared" si="3"/>
        <v>Error?</v>
      </c>
    </row>
    <row r="285" spans="1:4" x14ac:dyDescent="0.2">
      <c r="A285" s="5">
        <v>224</v>
      </c>
      <c r="B285" s="1763">
        <f>'Assets-Liab 5-6'!N36</f>
        <v>2835000</v>
      </c>
      <c r="D285" s="2" t="str">
        <f t="shared" si="3"/>
        <v>Error?</v>
      </c>
    </row>
    <row r="286" spans="1:4" x14ac:dyDescent="0.2">
      <c r="A286" s="10">
        <v>225</v>
      </c>
      <c r="B286" s="1763"/>
      <c r="D286" s="2" t="str">
        <f t="shared" si="3"/>
        <v>OK</v>
      </c>
    </row>
    <row r="287" spans="1:4" x14ac:dyDescent="0.2">
      <c r="A287" s="5">
        <v>226</v>
      </c>
      <c r="B287" s="1763">
        <f>'Assets-Liab 5-6'!N37</f>
        <v>2835000</v>
      </c>
      <c r="C287" s="2" t="s">
        <v>569</v>
      </c>
      <c r="D287" s="2" t="str">
        <f t="shared" si="3"/>
        <v>Error?</v>
      </c>
    </row>
    <row r="288" spans="1:4" x14ac:dyDescent="0.2">
      <c r="A288" s="5">
        <v>227</v>
      </c>
      <c r="B288" s="1763">
        <f>'Assets-Liab 5-6'!N41</f>
        <v>2835000</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5445733</v>
      </c>
      <c r="D705" s="2" t="str">
        <f t="shared" si="10"/>
        <v>Error?</v>
      </c>
    </row>
    <row r="706" spans="1:4" x14ac:dyDescent="0.2">
      <c r="A706" s="5">
        <v>645</v>
      </c>
      <c r="B706" s="1763">
        <f>'Expenditures 15-22'!C16</f>
        <v>166202</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669564</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196540</v>
      </c>
      <c r="D718" s="2" t="str">
        <f t="shared" si="10"/>
        <v>Error?</v>
      </c>
    </row>
    <row r="719" spans="1:4" x14ac:dyDescent="0.2">
      <c r="A719" s="5">
        <v>658</v>
      </c>
      <c r="B719" s="1763">
        <f>'Expenditures 15-22'!C15</f>
        <v>0</v>
      </c>
      <c r="D719" s="2" t="str">
        <f t="shared" si="10"/>
        <v>Error?</v>
      </c>
    </row>
    <row r="720" spans="1:4" x14ac:dyDescent="0.2">
      <c r="A720" s="5">
        <v>659</v>
      </c>
      <c r="B720" s="1763">
        <f>'Expenditures 15-22'!C33</f>
        <v>8541164</v>
      </c>
      <c r="C720" s="2" t="s">
        <v>569</v>
      </c>
      <c r="D720" s="2" t="str">
        <f t="shared" si="10"/>
        <v>Error?</v>
      </c>
    </row>
    <row r="721" spans="1:4" x14ac:dyDescent="0.2">
      <c r="A721" s="5">
        <v>660</v>
      </c>
      <c r="B721" s="1763">
        <f>'Expenditures 15-22'!C36</f>
        <v>332847</v>
      </c>
      <c r="D721" s="2" t="str">
        <f t="shared" si="10"/>
        <v>Error?</v>
      </c>
    </row>
    <row r="722" spans="1:4" x14ac:dyDescent="0.2">
      <c r="A722" s="5">
        <v>661</v>
      </c>
      <c r="B722" s="1763">
        <f>'Expenditures 15-22'!C37</f>
        <v>53391</v>
      </c>
      <c r="D722" s="2" t="str">
        <f t="shared" si="10"/>
        <v>Error?</v>
      </c>
    </row>
    <row r="723" spans="1:4" x14ac:dyDescent="0.2">
      <c r="A723" s="5">
        <v>662</v>
      </c>
      <c r="B723" s="1763">
        <f>'Expenditures 15-22'!C38</f>
        <v>204271</v>
      </c>
      <c r="D723" s="2" t="str">
        <f t="shared" si="10"/>
        <v>Error?</v>
      </c>
    </row>
    <row r="724" spans="1:4" x14ac:dyDescent="0.2">
      <c r="A724" s="5">
        <v>663</v>
      </c>
      <c r="B724" s="1763">
        <f>'Expenditures 15-22'!C39</f>
        <v>102361</v>
      </c>
      <c r="D724" s="2" t="str">
        <f t="shared" si="10"/>
        <v>Error?</v>
      </c>
    </row>
    <row r="725" spans="1:4" x14ac:dyDescent="0.2">
      <c r="A725" s="5">
        <v>664</v>
      </c>
      <c r="B725" s="1763">
        <f>'Expenditures 15-22'!C40</f>
        <v>0</v>
      </c>
      <c r="D725" s="2" t="str">
        <f t="shared" si="10"/>
        <v>Error?</v>
      </c>
    </row>
    <row r="726" spans="1:4" x14ac:dyDescent="0.2">
      <c r="A726" s="5">
        <v>665</v>
      </c>
      <c r="B726" s="1763">
        <f>'Expenditures 15-22'!C41</f>
        <v>0</v>
      </c>
      <c r="D726" s="2" t="str">
        <f t="shared" si="10"/>
        <v>Error?</v>
      </c>
    </row>
    <row r="727" spans="1:4" x14ac:dyDescent="0.2">
      <c r="A727" s="5">
        <v>666</v>
      </c>
      <c r="B727" s="1763">
        <f>'Expenditures 15-22'!C42</f>
        <v>692870</v>
      </c>
      <c r="C727" s="2" t="s">
        <v>569</v>
      </c>
      <c r="D727" s="2" t="str">
        <f t="shared" si="10"/>
        <v>Error?</v>
      </c>
    </row>
    <row r="728" spans="1:4" x14ac:dyDescent="0.2">
      <c r="A728" s="5">
        <v>667</v>
      </c>
      <c r="B728" s="1763">
        <f>'Expenditures 15-22'!C44</f>
        <v>5297</v>
      </c>
      <c r="D728" s="2" t="str">
        <f t="shared" si="10"/>
        <v>Error?</v>
      </c>
    </row>
    <row r="729" spans="1:4" x14ac:dyDescent="0.2">
      <c r="A729" s="5">
        <v>668</v>
      </c>
      <c r="B729" s="1763">
        <f>'Expenditures 15-22'!C45</f>
        <v>341461</v>
      </c>
      <c r="D729" s="2" t="str">
        <f t="shared" si="10"/>
        <v>Error?</v>
      </c>
    </row>
    <row r="730" spans="1:4" x14ac:dyDescent="0.2">
      <c r="A730" s="5">
        <v>669</v>
      </c>
      <c r="B730" s="1763">
        <f>'Expenditures 15-22'!C46</f>
        <v>0</v>
      </c>
      <c r="D730" s="2" t="str">
        <f t="shared" si="10"/>
        <v>Error?</v>
      </c>
    </row>
    <row r="731" spans="1:4" x14ac:dyDescent="0.2">
      <c r="A731" s="5">
        <v>670</v>
      </c>
      <c r="B731" s="1763">
        <f>'Expenditures 15-22'!C47</f>
        <v>346758</v>
      </c>
      <c r="C731" s="2" t="s">
        <v>569</v>
      </c>
      <c r="D731" s="2" t="str">
        <f t="shared" si="10"/>
        <v>Error?</v>
      </c>
    </row>
    <row r="732" spans="1:4" x14ac:dyDescent="0.2">
      <c r="A732" s="5">
        <v>671</v>
      </c>
      <c r="B732" s="1763">
        <f>'Expenditures 15-22'!C49</f>
        <v>0</v>
      </c>
      <c r="D732" s="2" t="str">
        <f t="shared" si="10"/>
        <v>Error?</v>
      </c>
    </row>
    <row r="733" spans="1:4" x14ac:dyDescent="0.2">
      <c r="A733" s="5">
        <v>672</v>
      </c>
      <c r="B733" s="1763">
        <f>'Expenditures 15-22'!C50</f>
        <v>282740</v>
      </c>
      <c r="D733" s="2" t="str">
        <f t="shared" si="10"/>
        <v>Error?</v>
      </c>
    </row>
    <row r="734" spans="1:4" x14ac:dyDescent="0.2">
      <c r="A734" s="5">
        <v>673</v>
      </c>
      <c r="B734" s="1763">
        <f>'Expenditures 15-22'!C53</f>
        <v>282740</v>
      </c>
      <c r="C734" s="2" t="s">
        <v>569</v>
      </c>
      <c r="D734" s="2" t="str">
        <f t="shared" si="10"/>
        <v>Error?</v>
      </c>
    </row>
    <row r="735" spans="1:4" x14ac:dyDescent="0.2">
      <c r="A735" s="5">
        <v>674</v>
      </c>
      <c r="B735" s="1763">
        <f>'Expenditures 15-22'!C55</f>
        <v>630558</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630558</v>
      </c>
      <c r="C737" s="2" t="s">
        <v>569</v>
      </c>
      <c r="D737" s="2" t="str">
        <f t="shared" si="10"/>
        <v>Error?</v>
      </c>
    </row>
    <row r="738" spans="1:4" x14ac:dyDescent="0.2">
      <c r="A738" s="5">
        <v>677</v>
      </c>
      <c r="B738" s="1763">
        <f>'Expenditures 15-22'!C59</f>
        <v>0</v>
      </c>
      <c r="D738" s="2" t="str">
        <f t="shared" si="10"/>
        <v>Error?</v>
      </c>
    </row>
    <row r="739" spans="1:4" x14ac:dyDescent="0.2">
      <c r="A739" s="5">
        <v>678</v>
      </c>
      <c r="B739" s="1763">
        <f>'Expenditures 15-22'!C60</f>
        <v>229331</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234633</v>
      </c>
      <c r="D742" s="2" t="str">
        <f t="shared" si="10"/>
        <v>Error?</v>
      </c>
    </row>
    <row r="743" spans="1:4" x14ac:dyDescent="0.2">
      <c r="A743" s="5">
        <v>682</v>
      </c>
      <c r="B743" s="1763">
        <f>'Expenditures 15-22'!C64</f>
        <v>0</v>
      </c>
      <c r="D743" s="2" t="str">
        <f t="shared" si="10"/>
        <v>Error?</v>
      </c>
    </row>
    <row r="744" spans="1:4" x14ac:dyDescent="0.2">
      <c r="A744" s="10">
        <v>683</v>
      </c>
      <c r="B744" s="1763"/>
      <c r="D744" s="2" t="str">
        <f t="shared" si="10"/>
        <v>OK</v>
      </c>
    </row>
    <row r="745" spans="1:4" x14ac:dyDescent="0.2">
      <c r="A745" s="5">
        <v>684</v>
      </c>
      <c r="B745" s="1763">
        <f>'Expenditures 15-22'!C65</f>
        <v>463964</v>
      </c>
      <c r="C745" s="2" t="s">
        <v>569</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0</v>
      </c>
      <c r="D747" s="2" t="str">
        <f t="shared" si="10"/>
        <v>Error?</v>
      </c>
    </row>
    <row r="748" spans="1:4" x14ac:dyDescent="0.2">
      <c r="A748" s="5">
        <v>687</v>
      </c>
      <c r="B748" s="1763">
        <f>'Expenditures 15-22'!C69</f>
        <v>0</v>
      </c>
      <c r="D748" s="2" t="str">
        <f t="shared" si="10"/>
        <v>Error?</v>
      </c>
    </row>
    <row r="749" spans="1:4" x14ac:dyDescent="0.2">
      <c r="A749" s="5">
        <v>688</v>
      </c>
      <c r="B749" s="1763">
        <f>'Expenditures 15-22'!C70</f>
        <v>0</v>
      </c>
      <c r="D749" s="2" t="str">
        <f t="shared" si="10"/>
        <v>Error?</v>
      </c>
    </row>
    <row r="750" spans="1:4" x14ac:dyDescent="0.2">
      <c r="A750" s="10">
        <v>689</v>
      </c>
      <c r="B750" s="1763"/>
      <c r="D750" s="2" t="str">
        <f t="shared" si="10"/>
        <v>OK</v>
      </c>
    </row>
    <row r="751" spans="1:4" x14ac:dyDescent="0.2">
      <c r="A751" s="5">
        <v>690</v>
      </c>
      <c r="B751" s="1763">
        <f>'Expenditures 15-22'!C71</f>
        <v>0</v>
      </c>
      <c r="D751" s="2" t="str">
        <f t="shared" si="10"/>
        <v>Error?</v>
      </c>
    </row>
    <row r="752" spans="1:4" x14ac:dyDescent="0.2">
      <c r="A752" s="10">
        <v>691</v>
      </c>
      <c r="B752" s="1763"/>
      <c r="D752" s="2" t="str">
        <f t="shared" si="10"/>
        <v>OK</v>
      </c>
    </row>
    <row r="753" spans="1:4" x14ac:dyDescent="0.2">
      <c r="A753" s="5">
        <v>692</v>
      </c>
      <c r="B753" s="1763">
        <f>'Expenditures 15-22'!C72</f>
        <v>0</v>
      </c>
      <c r="C753" s="2" t="s">
        <v>569</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2416890</v>
      </c>
      <c r="C755" s="2" t="s">
        <v>569</v>
      </c>
      <c r="D755" s="2" t="str">
        <f t="shared" si="10"/>
        <v>Error?</v>
      </c>
    </row>
    <row r="756" spans="1:4" x14ac:dyDescent="0.2">
      <c r="A756" s="5">
        <v>695</v>
      </c>
      <c r="B756" s="1763">
        <f>'Expenditures 15-22'!C75</f>
        <v>0</v>
      </c>
      <c r="D756" s="2" t="str">
        <f t="shared" si="10"/>
        <v>Error?</v>
      </c>
    </row>
    <row r="757" spans="1:4" x14ac:dyDescent="0.2">
      <c r="A757" s="5">
        <v>696</v>
      </c>
      <c r="B757" s="1763">
        <f>'Expenditures 15-22'!C114</f>
        <v>10958054</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914600</v>
      </c>
      <c r="D763" s="2" t="str">
        <f t="shared" si="10"/>
        <v>Error?</v>
      </c>
    </row>
    <row r="764" spans="1:4" x14ac:dyDescent="0.2">
      <c r="A764" s="5">
        <v>703</v>
      </c>
      <c r="B764" s="1763">
        <f>'Expenditures 15-22'!D16</f>
        <v>28725</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96564</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126</v>
      </c>
      <c r="D775" s="2" t="str">
        <f t="shared" si="11"/>
        <v>Error?</v>
      </c>
    </row>
    <row r="776" spans="1:4" x14ac:dyDescent="0.2">
      <c r="A776" s="5">
        <v>715</v>
      </c>
      <c r="B776" s="1763">
        <f>'Expenditures 15-22'!D14</f>
        <v>27444</v>
      </c>
      <c r="D776" s="2" t="str">
        <f t="shared" si="11"/>
        <v>Error?</v>
      </c>
    </row>
    <row r="777" spans="1:4" x14ac:dyDescent="0.2">
      <c r="A777" s="5">
        <v>716</v>
      </c>
      <c r="B777" s="1763">
        <f>'Expenditures 15-22'!D15</f>
        <v>0</v>
      </c>
      <c r="D777" s="2" t="str">
        <f t="shared" si="11"/>
        <v>Error?</v>
      </c>
    </row>
    <row r="778" spans="1:4" x14ac:dyDescent="0.2">
      <c r="A778" s="5">
        <v>717</v>
      </c>
      <c r="B778" s="1763">
        <f>'Expenditures 15-22'!D33</f>
        <v>1361880</v>
      </c>
      <c r="C778" s="2" t="s">
        <v>569</v>
      </c>
      <c r="D778" s="2" t="str">
        <f t="shared" si="11"/>
        <v>Error?</v>
      </c>
    </row>
    <row r="779" spans="1:4" x14ac:dyDescent="0.2">
      <c r="A779" s="5">
        <v>718</v>
      </c>
      <c r="B779" s="1763">
        <f>'Expenditures 15-22'!D36</f>
        <v>57455</v>
      </c>
      <c r="D779" s="2" t="str">
        <f t="shared" si="11"/>
        <v>Error?</v>
      </c>
    </row>
    <row r="780" spans="1:4" x14ac:dyDescent="0.2">
      <c r="A780" s="5">
        <v>719</v>
      </c>
      <c r="B780" s="1763">
        <f>'Expenditures 15-22'!D37</f>
        <v>5241</v>
      </c>
      <c r="D780" s="2" t="str">
        <f t="shared" si="11"/>
        <v>Error?</v>
      </c>
    </row>
    <row r="781" spans="1:4" x14ac:dyDescent="0.2">
      <c r="A781" s="5">
        <v>720</v>
      </c>
      <c r="B781" s="1763">
        <f>'Expenditures 15-22'!D38</f>
        <v>31389</v>
      </c>
      <c r="D781" s="2" t="str">
        <f t="shared" si="11"/>
        <v>Error?</v>
      </c>
    </row>
    <row r="782" spans="1:4" x14ac:dyDescent="0.2">
      <c r="A782" s="5">
        <v>721</v>
      </c>
      <c r="B782" s="1763">
        <f>'Expenditures 15-22'!D39</f>
        <v>48933</v>
      </c>
      <c r="D782" s="2" t="str">
        <f t="shared" si="11"/>
        <v>Error?</v>
      </c>
    </row>
    <row r="783" spans="1:4" x14ac:dyDescent="0.2">
      <c r="A783" s="5">
        <v>722</v>
      </c>
      <c r="B783" s="1763">
        <f>'Expenditures 15-22'!D40</f>
        <v>0</v>
      </c>
      <c r="D783" s="2" t="str">
        <f t="shared" si="11"/>
        <v>Error?</v>
      </c>
    </row>
    <row r="784" spans="1:4" x14ac:dyDescent="0.2">
      <c r="A784" s="5">
        <v>723</v>
      </c>
      <c r="B784" s="1763">
        <f>'Expenditures 15-22'!D41</f>
        <v>0</v>
      </c>
      <c r="D784" s="2" t="str">
        <f t="shared" si="11"/>
        <v>Error?</v>
      </c>
    </row>
    <row r="785" spans="1:4" x14ac:dyDescent="0.2">
      <c r="A785" s="5">
        <v>724</v>
      </c>
      <c r="B785" s="1763">
        <f>'Expenditures 15-22'!D42</f>
        <v>143018</v>
      </c>
      <c r="C785" s="2" t="s">
        <v>569</v>
      </c>
      <c r="D785" s="2" t="str">
        <f t="shared" si="11"/>
        <v>Error?</v>
      </c>
    </row>
    <row r="786" spans="1:4" x14ac:dyDescent="0.2">
      <c r="A786" s="5">
        <v>725</v>
      </c>
      <c r="B786" s="1763">
        <f>'Expenditures 15-22'!D44</f>
        <v>2416</v>
      </c>
      <c r="D786" s="2" t="str">
        <f t="shared" si="11"/>
        <v>Error?</v>
      </c>
    </row>
    <row r="787" spans="1:4" x14ac:dyDescent="0.2">
      <c r="A787" s="5">
        <v>726</v>
      </c>
      <c r="B787" s="1763">
        <f>'Expenditures 15-22'!D45</f>
        <v>62000</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64416</v>
      </c>
      <c r="C789" s="2" t="s">
        <v>569</v>
      </c>
      <c r="D789" s="2" t="str">
        <f t="shared" si="11"/>
        <v>Error?</v>
      </c>
    </row>
    <row r="790" spans="1:4" x14ac:dyDescent="0.2">
      <c r="A790" s="5">
        <v>729</v>
      </c>
      <c r="B790" s="1763">
        <f>'Expenditures 15-22'!D49</f>
        <v>0</v>
      </c>
      <c r="D790" s="2" t="str">
        <f t="shared" si="11"/>
        <v>Error?</v>
      </c>
    </row>
    <row r="791" spans="1:4" x14ac:dyDescent="0.2">
      <c r="A791" s="5">
        <v>730</v>
      </c>
      <c r="B791" s="1763">
        <f>'Expenditures 15-22'!D50</f>
        <v>91489</v>
      </c>
      <c r="D791" s="2" t="str">
        <f t="shared" si="11"/>
        <v>Error?</v>
      </c>
    </row>
    <row r="792" spans="1:4" x14ac:dyDescent="0.2">
      <c r="A792" s="5">
        <v>731</v>
      </c>
      <c r="B792" s="1763">
        <f>'Expenditures 15-22'!D53</f>
        <v>91489</v>
      </c>
      <c r="C792" s="2" t="s">
        <v>569</v>
      </c>
      <c r="D792" s="2" t="str">
        <f t="shared" si="11"/>
        <v>Error?</v>
      </c>
    </row>
    <row r="793" spans="1:4" x14ac:dyDescent="0.2">
      <c r="A793" s="5">
        <v>732</v>
      </c>
      <c r="B793" s="1763">
        <f>'Expenditures 15-22'!D55</f>
        <v>311110</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311110</v>
      </c>
      <c r="C795" s="2" t="s">
        <v>569</v>
      </c>
      <c r="D795" s="2" t="str">
        <f t="shared" si="11"/>
        <v>Error?</v>
      </c>
    </row>
    <row r="796" spans="1:4" x14ac:dyDescent="0.2">
      <c r="A796" s="5">
        <v>735</v>
      </c>
      <c r="B796" s="1763">
        <f>'Expenditures 15-22'!D59</f>
        <v>0</v>
      </c>
      <c r="D796" s="2" t="str">
        <f t="shared" si="11"/>
        <v>Error?</v>
      </c>
    </row>
    <row r="797" spans="1:4" x14ac:dyDescent="0.2">
      <c r="A797" s="5">
        <v>736</v>
      </c>
      <c r="B797" s="1763">
        <f>'Expenditures 15-22'!D60</f>
        <v>68544</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29254</v>
      </c>
      <c r="D800" s="2" t="str">
        <f t="shared" si="11"/>
        <v>Error?</v>
      </c>
    </row>
    <row r="801" spans="1:4" x14ac:dyDescent="0.2">
      <c r="A801" s="5">
        <v>740</v>
      </c>
      <c r="B801" s="1763">
        <f>'Expenditures 15-22'!D64</f>
        <v>0</v>
      </c>
      <c r="D801" s="2" t="str">
        <f t="shared" si="11"/>
        <v>Error?</v>
      </c>
    </row>
    <row r="802" spans="1:4" x14ac:dyDescent="0.2">
      <c r="A802" s="10">
        <v>741</v>
      </c>
      <c r="B802" s="1763"/>
      <c r="D802" s="2" t="str">
        <f t="shared" si="11"/>
        <v>OK</v>
      </c>
    </row>
    <row r="803" spans="1:4" x14ac:dyDescent="0.2">
      <c r="A803" s="5">
        <v>742</v>
      </c>
      <c r="B803" s="1763">
        <f>'Expenditures 15-22'!D65</f>
        <v>97798</v>
      </c>
      <c r="C803" s="2" t="s">
        <v>569</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0</v>
      </c>
      <c r="D806" s="2" t="str">
        <f t="shared" si="11"/>
        <v>Error?</v>
      </c>
    </row>
    <row r="807" spans="1:4" x14ac:dyDescent="0.2">
      <c r="A807" s="5">
        <v>746</v>
      </c>
      <c r="B807" s="1763">
        <f>'Expenditures 15-22'!D70</f>
        <v>0</v>
      </c>
      <c r="D807" s="2" t="str">
        <f t="shared" si="11"/>
        <v>Error?</v>
      </c>
    </row>
    <row r="808" spans="1:4" x14ac:dyDescent="0.2">
      <c r="A808" s="10">
        <v>747</v>
      </c>
      <c r="B808" s="1763"/>
      <c r="D808" s="2" t="str">
        <f t="shared" si="11"/>
        <v>OK</v>
      </c>
    </row>
    <row r="809" spans="1:4" x14ac:dyDescent="0.2">
      <c r="A809" s="5">
        <v>748</v>
      </c>
      <c r="B809" s="1763">
        <f>'Expenditures 15-22'!D71</f>
        <v>0</v>
      </c>
      <c r="D809" s="2" t="str">
        <f t="shared" si="11"/>
        <v>Error?</v>
      </c>
    </row>
    <row r="810" spans="1:4" x14ac:dyDescent="0.2">
      <c r="A810" s="10">
        <v>749</v>
      </c>
      <c r="B810" s="1763"/>
      <c r="D810" s="2" t="str">
        <f t="shared" si="11"/>
        <v>OK</v>
      </c>
    </row>
    <row r="811" spans="1:4" x14ac:dyDescent="0.2">
      <c r="A811" s="5">
        <v>750</v>
      </c>
      <c r="B811" s="1763">
        <f>'Expenditures 15-22'!D72</f>
        <v>0</v>
      </c>
      <c r="C811" s="2" t="s">
        <v>569</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707831</v>
      </c>
      <c r="C813" s="2" t="s">
        <v>569</v>
      </c>
      <c r="D813" s="2" t="str">
        <f t="shared" si="11"/>
        <v>Error?</v>
      </c>
    </row>
    <row r="814" spans="1:4" x14ac:dyDescent="0.2">
      <c r="A814" s="5">
        <v>753</v>
      </c>
      <c r="B814" s="1763">
        <f>'Expenditures 15-22'!D75</f>
        <v>0</v>
      </c>
      <c r="D814" s="2" t="str">
        <f t="shared" si="11"/>
        <v>Error?</v>
      </c>
    </row>
    <row r="815" spans="1:4" x14ac:dyDescent="0.2">
      <c r="A815" s="5">
        <v>754</v>
      </c>
      <c r="B815" s="1763">
        <f>'Expenditures 15-22'!D114</f>
        <v>2069711</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131623</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909</v>
      </c>
      <c r="D833" s="2" t="str">
        <f t="shared" si="12"/>
        <v>Error?</v>
      </c>
    </row>
    <row r="834" spans="1:4" x14ac:dyDescent="0.2">
      <c r="A834" s="5">
        <v>773</v>
      </c>
      <c r="B834" s="1763">
        <f>'Expenditures 15-22'!E14</f>
        <v>2123</v>
      </c>
      <c r="D834" s="2" t="str">
        <f t="shared" si="12"/>
        <v>Error?</v>
      </c>
    </row>
    <row r="835" spans="1:4" x14ac:dyDescent="0.2">
      <c r="A835" s="5">
        <v>774</v>
      </c>
      <c r="B835" s="1763">
        <f>'Expenditures 15-22'!E15</f>
        <v>0</v>
      </c>
      <c r="D835" s="2" t="str">
        <f t="shared" si="12"/>
        <v>Error?</v>
      </c>
    </row>
    <row r="836" spans="1:4" x14ac:dyDescent="0.2">
      <c r="A836" s="5">
        <v>775</v>
      </c>
      <c r="B836" s="1763">
        <f>'Expenditures 15-22'!E33</f>
        <v>163075</v>
      </c>
      <c r="C836" s="2" t="s">
        <v>569</v>
      </c>
      <c r="D836" s="2" t="str">
        <f t="shared" si="12"/>
        <v>Error?</v>
      </c>
    </row>
    <row r="837" spans="1:4" x14ac:dyDescent="0.2">
      <c r="A837" s="5">
        <v>776</v>
      </c>
      <c r="B837" s="1763">
        <f>'Expenditures 15-22'!E36</f>
        <v>425</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0</v>
      </c>
      <c r="D839" s="2" t="str">
        <f t="shared" si="12"/>
        <v>Error?</v>
      </c>
    </row>
    <row r="840" spans="1:4" x14ac:dyDescent="0.2">
      <c r="A840" s="5">
        <v>779</v>
      </c>
      <c r="B840" s="1763">
        <f>'Expenditures 15-22'!E39</f>
        <v>817</v>
      </c>
      <c r="D840" s="2" t="str">
        <f t="shared" si="12"/>
        <v>Error?</v>
      </c>
    </row>
    <row r="841" spans="1:4" x14ac:dyDescent="0.2">
      <c r="A841" s="5">
        <v>780</v>
      </c>
      <c r="B841" s="1763">
        <f>'Expenditures 15-22'!E40</f>
        <v>0</v>
      </c>
      <c r="D841" s="2" t="str">
        <f t="shared" si="12"/>
        <v>Error?</v>
      </c>
    </row>
    <row r="842" spans="1:4" x14ac:dyDescent="0.2">
      <c r="A842" s="5">
        <v>781</v>
      </c>
      <c r="B842" s="1763">
        <f>'Expenditures 15-22'!E41</f>
        <v>0</v>
      </c>
      <c r="D842" s="2" t="str">
        <f t="shared" si="12"/>
        <v>Error?</v>
      </c>
    </row>
    <row r="843" spans="1:4" x14ac:dyDescent="0.2">
      <c r="A843" s="5">
        <v>782</v>
      </c>
      <c r="B843" s="1763">
        <f>'Expenditures 15-22'!E42</f>
        <v>1242</v>
      </c>
      <c r="C843" s="2" t="s">
        <v>569</v>
      </c>
      <c r="D843" s="2" t="str">
        <f t="shared" si="12"/>
        <v>Error?</v>
      </c>
    </row>
    <row r="844" spans="1:4" x14ac:dyDescent="0.2">
      <c r="A844" s="5">
        <v>783</v>
      </c>
      <c r="B844" s="1763">
        <f>'Expenditures 15-22'!E44</f>
        <v>2037</v>
      </c>
      <c r="D844" s="2" t="str">
        <f t="shared" si="12"/>
        <v>Error?</v>
      </c>
    </row>
    <row r="845" spans="1:4" x14ac:dyDescent="0.2">
      <c r="A845" s="5">
        <v>784</v>
      </c>
      <c r="B845" s="1763">
        <f>'Expenditures 15-22'!E45</f>
        <v>84592</v>
      </c>
      <c r="D845" s="2" t="str">
        <f t="shared" si="12"/>
        <v>Error?</v>
      </c>
    </row>
    <row r="846" spans="1:4" x14ac:dyDescent="0.2">
      <c r="A846" s="5">
        <v>785</v>
      </c>
      <c r="B846" s="1763">
        <f>'Expenditures 15-22'!E46</f>
        <v>19563</v>
      </c>
      <c r="D846" s="2" t="str">
        <f t="shared" si="12"/>
        <v>Error?</v>
      </c>
    </row>
    <row r="847" spans="1:4" x14ac:dyDescent="0.2">
      <c r="A847" s="5">
        <v>786</v>
      </c>
      <c r="B847" s="1763">
        <f>'Expenditures 15-22'!E47</f>
        <v>106192</v>
      </c>
      <c r="C847" s="2" t="s">
        <v>569</v>
      </c>
      <c r="D847" s="2" t="str">
        <f t="shared" si="12"/>
        <v>Error?</v>
      </c>
    </row>
    <row r="848" spans="1:4" x14ac:dyDescent="0.2">
      <c r="A848" s="5">
        <v>787</v>
      </c>
      <c r="B848" s="1763">
        <f>'Expenditures 15-22'!E49</f>
        <v>173837</v>
      </c>
      <c r="D848" s="2" t="str">
        <f t="shared" si="12"/>
        <v>Error?</v>
      </c>
    </row>
    <row r="849" spans="1:4" x14ac:dyDescent="0.2">
      <c r="A849" s="5">
        <v>788</v>
      </c>
      <c r="B849" s="1763">
        <f>'Expenditures 15-22'!E50</f>
        <v>7633</v>
      </c>
      <c r="D849" s="2" t="str">
        <f t="shared" si="12"/>
        <v>Error?</v>
      </c>
    </row>
    <row r="850" spans="1:4" x14ac:dyDescent="0.2">
      <c r="A850" s="5">
        <v>789</v>
      </c>
      <c r="B850" s="1763">
        <f>'Expenditures 15-22'!E53</f>
        <v>181470</v>
      </c>
      <c r="C850" s="2" t="s">
        <v>569</v>
      </c>
      <c r="D850" s="2" t="str">
        <f t="shared" si="12"/>
        <v>Error?</v>
      </c>
    </row>
    <row r="851" spans="1:4" x14ac:dyDescent="0.2">
      <c r="A851" s="5">
        <v>790</v>
      </c>
      <c r="B851" s="1763">
        <f>'Expenditures 15-22'!E55</f>
        <v>998</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998</v>
      </c>
      <c r="C853" s="2" t="s">
        <v>569</v>
      </c>
      <c r="D853" s="2" t="str">
        <f t="shared" si="12"/>
        <v>Error?</v>
      </c>
    </row>
    <row r="854" spans="1:4" x14ac:dyDescent="0.2">
      <c r="A854" s="5">
        <v>793</v>
      </c>
      <c r="B854" s="1763">
        <f>'Expenditures 15-22'!E59</f>
        <v>0</v>
      </c>
      <c r="D854" s="2" t="str">
        <f t="shared" si="12"/>
        <v>Error?</v>
      </c>
    </row>
    <row r="855" spans="1:4" x14ac:dyDescent="0.2">
      <c r="A855" s="5">
        <v>794</v>
      </c>
      <c r="B855" s="1763">
        <f>'Expenditures 15-22'!E60</f>
        <v>2050</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0</v>
      </c>
      <c r="D857" s="2" t="str">
        <f t="shared" si="12"/>
        <v>Error?</v>
      </c>
    </row>
    <row r="858" spans="1:4" x14ac:dyDescent="0.2">
      <c r="A858" s="5">
        <v>797</v>
      </c>
      <c r="B858" s="1763">
        <f>'Expenditures 15-22'!E63</f>
        <v>7642</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9692</v>
      </c>
      <c r="C861" s="2" t="s">
        <v>569</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0</v>
      </c>
      <c r="D864" s="2" t="str">
        <f t="shared" si="12"/>
        <v>Error?</v>
      </c>
    </row>
    <row r="865" spans="1:4" x14ac:dyDescent="0.2">
      <c r="A865" s="5">
        <v>804</v>
      </c>
      <c r="B865" s="1763">
        <f>'Expenditures 15-22'!E70</f>
        <v>0</v>
      </c>
      <c r="D865" s="2" t="str">
        <f t="shared" si="12"/>
        <v>Error?</v>
      </c>
    </row>
    <row r="866" spans="1:4" x14ac:dyDescent="0.2">
      <c r="A866" s="10">
        <v>805</v>
      </c>
      <c r="B866" s="1763"/>
      <c r="D866" s="2" t="str">
        <f t="shared" si="12"/>
        <v>OK</v>
      </c>
    </row>
    <row r="867" spans="1:4" x14ac:dyDescent="0.2">
      <c r="A867" s="5">
        <v>806</v>
      </c>
      <c r="B867" s="1763">
        <f>'Expenditures 15-22'!E71</f>
        <v>52012</v>
      </c>
      <c r="D867" s="2" t="str">
        <f t="shared" si="12"/>
        <v>Error?</v>
      </c>
    </row>
    <row r="868" spans="1:4" x14ac:dyDescent="0.2">
      <c r="A868" s="10">
        <v>807</v>
      </c>
      <c r="B868" s="1763"/>
      <c r="D868" s="2" t="str">
        <f t="shared" si="12"/>
        <v>OK</v>
      </c>
    </row>
    <row r="869" spans="1:4" x14ac:dyDescent="0.2">
      <c r="A869" s="5">
        <v>808</v>
      </c>
      <c r="B869" s="1763">
        <f>'Expenditures 15-22'!E72</f>
        <v>52012</v>
      </c>
      <c r="C869" s="2" t="s">
        <v>569</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351606</v>
      </c>
      <c r="C871" s="2" t="s">
        <v>569</v>
      </c>
      <c r="D871" s="2" t="str">
        <f t="shared" si="12"/>
        <v>Error?</v>
      </c>
    </row>
    <row r="872" spans="1:4" x14ac:dyDescent="0.2">
      <c r="A872" s="5">
        <v>811</v>
      </c>
      <c r="B872" s="1763">
        <f>'Expenditures 15-22'!E75</f>
        <v>0</v>
      </c>
      <c r="D872" s="2" t="str">
        <f t="shared" si="12"/>
        <v>Error?</v>
      </c>
    </row>
    <row r="873" spans="1:4" x14ac:dyDescent="0.2">
      <c r="A873" s="5">
        <v>812</v>
      </c>
      <c r="B873" s="1763">
        <f>'Expenditures 15-22'!E114</f>
        <v>2488341</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202816</v>
      </c>
      <c r="D879" s="2" t="str">
        <f t="shared" si="12"/>
        <v>Error?</v>
      </c>
    </row>
    <row r="880" spans="1:4" x14ac:dyDescent="0.2">
      <c r="A880" s="5">
        <v>819</v>
      </c>
      <c r="B880" s="1763">
        <f>'Expenditures 15-22'!F16</f>
        <v>1276</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13440</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2911</v>
      </c>
      <c r="D891" s="2" t="str">
        <f t="shared" si="12"/>
        <v>Error?</v>
      </c>
    </row>
    <row r="892" spans="1:4" x14ac:dyDescent="0.2">
      <c r="A892" s="5">
        <v>831</v>
      </c>
      <c r="B892" s="1763">
        <f>'Expenditures 15-22'!F14</f>
        <v>12721</v>
      </c>
      <c r="D892" s="2" t="str">
        <f t="shared" si="12"/>
        <v>Error?</v>
      </c>
    </row>
    <row r="893" spans="1:4" x14ac:dyDescent="0.2">
      <c r="A893" s="5">
        <v>832</v>
      </c>
      <c r="B893" s="1763">
        <f>'Expenditures 15-22'!F15</f>
        <v>139</v>
      </c>
      <c r="D893" s="2" t="str">
        <f t="shared" si="12"/>
        <v>Error?</v>
      </c>
    </row>
    <row r="894" spans="1:4" x14ac:dyDescent="0.2">
      <c r="A894" s="5">
        <v>833</v>
      </c>
      <c r="B894" s="1763">
        <f>'Expenditures 15-22'!F33</f>
        <v>294444</v>
      </c>
      <c r="C894" s="2" t="s">
        <v>569</v>
      </c>
      <c r="D894" s="2" t="str">
        <f t="shared" si="12"/>
        <v>Error?</v>
      </c>
    </row>
    <row r="895" spans="1:4" x14ac:dyDescent="0.2">
      <c r="A895" s="5">
        <v>834</v>
      </c>
      <c r="B895" s="1763">
        <f>'Expenditures 15-22'!F36</f>
        <v>2368</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4856</v>
      </c>
      <c r="D897" s="2" t="str">
        <f t="shared" si="13"/>
        <v>Error?</v>
      </c>
    </row>
    <row r="898" spans="1:4" x14ac:dyDescent="0.2">
      <c r="A898" s="5">
        <v>837</v>
      </c>
      <c r="B898" s="1763">
        <f>'Expenditures 15-22'!F39</f>
        <v>2490</v>
      </c>
      <c r="D898" s="2" t="str">
        <f t="shared" si="13"/>
        <v>Error?</v>
      </c>
    </row>
    <row r="899" spans="1:4" x14ac:dyDescent="0.2">
      <c r="A899" s="5">
        <v>838</v>
      </c>
      <c r="B899" s="1763">
        <f>'Expenditures 15-22'!F40</f>
        <v>0</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9714</v>
      </c>
      <c r="C901" s="2" t="s">
        <v>569</v>
      </c>
      <c r="D901" s="2" t="str">
        <f t="shared" si="13"/>
        <v>Error?</v>
      </c>
    </row>
    <row r="902" spans="1:4" x14ac:dyDescent="0.2">
      <c r="A902" s="5">
        <v>841</v>
      </c>
      <c r="B902" s="1763">
        <f>'Expenditures 15-22'!F44</f>
        <v>258</v>
      </c>
      <c r="D902" s="2" t="str">
        <f t="shared" si="13"/>
        <v>Error?</v>
      </c>
    </row>
    <row r="903" spans="1:4" x14ac:dyDescent="0.2">
      <c r="A903" s="5">
        <v>842</v>
      </c>
      <c r="B903" s="1763">
        <f>'Expenditures 15-22'!F45</f>
        <v>17347</v>
      </c>
      <c r="D903" s="2" t="str">
        <f t="shared" si="13"/>
        <v>Error?</v>
      </c>
    </row>
    <row r="904" spans="1:4" x14ac:dyDescent="0.2">
      <c r="A904" s="5">
        <v>843</v>
      </c>
      <c r="B904" s="1763">
        <f>'Expenditures 15-22'!F46</f>
        <v>0</v>
      </c>
      <c r="D904" s="2" t="str">
        <f t="shared" si="13"/>
        <v>Error?</v>
      </c>
    </row>
    <row r="905" spans="1:4" x14ac:dyDescent="0.2">
      <c r="A905" s="5">
        <v>844</v>
      </c>
      <c r="B905" s="1763">
        <f>'Expenditures 15-22'!F47</f>
        <v>17605</v>
      </c>
      <c r="C905" s="2" t="s">
        <v>569</v>
      </c>
      <c r="D905" s="2" t="str">
        <f t="shared" si="13"/>
        <v>Error?</v>
      </c>
    </row>
    <row r="906" spans="1:4" x14ac:dyDescent="0.2">
      <c r="A906" s="5">
        <v>845</v>
      </c>
      <c r="B906" s="1763">
        <f>'Expenditures 15-22'!F49</f>
        <v>0</v>
      </c>
      <c r="D906" s="2" t="str">
        <f t="shared" si="13"/>
        <v>Error?</v>
      </c>
    </row>
    <row r="907" spans="1:4" x14ac:dyDescent="0.2">
      <c r="A907" s="5">
        <v>846</v>
      </c>
      <c r="B907" s="1763">
        <f>'Expenditures 15-22'!F50</f>
        <v>-370</v>
      </c>
      <c r="D907" s="2" t="str">
        <f t="shared" si="13"/>
        <v>Error?</v>
      </c>
    </row>
    <row r="908" spans="1:4" x14ac:dyDescent="0.2">
      <c r="A908" s="5">
        <v>847</v>
      </c>
      <c r="B908" s="1763">
        <f>'Expenditures 15-22'!F53</f>
        <v>-370</v>
      </c>
      <c r="C908" s="2" t="s">
        <v>569</v>
      </c>
      <c r="D908" s="2" t="str">
        <f t="shared" si="13"/>
        <v>Error?</v>
      </c>
    </row>
    <row r="909" spans="1:4" x14ac:dyDescent="0.2">
      <c r="A909" s="5">
        <v>848</v>
      </c>
      <c r="B909" s="1763">
        <f>'Expenditures 15-22'!F55</f>
        <v>738</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738</v>
      </c>
      <c r="C911" s="2" t="s">
        <v>569</v>
      </c>
      <c r="D911" s="2" t="str">
        <f t="shared" si="13"/>
        <v>Error?</v>
      </c>
    </row>
    <row r="912" spans="1:4" x14ac:dyDescent="0.2">
      <c r="A912" s="5">
        <v>851</v>
      </c>
      <c r="B912" s="1763">
        <f>'Expenditures 15-22'!F59</f>
        <v>0</v>
      </c>
      <c r="D912" s="2" t="str">
        <f t="shared" si="13"/>
        <v>Error?</v>
      </c>
    </row>
    <row r="913" spans="1:4" x14ac:dyDescent="0.2">
      <c r="A913" s="5">
        <v>852</v>
      </c>
      <c r="B913" s="1763">
        <f>'Expenditures 15-22'!F60</f>
        <v>1315</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123919</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125234</v>
      </c>
      <c r="C919" s="2" t="s">
        <v>569</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0</v>
      </c>
      <c r="D922" s="2" t="str">
        <f t="shared" si="13"/>
        <v>Error?</v>
      </c>
    </row>
    <row r="923" spans="1:4" x14ac:dyDescent="0.2">
      <c r="A923" s="5">
        <v>862</v>
      </c>
      <c r="B923" s="1763">
        <f>'Expenditures 15-22'!F70</f>
        <v>0</v>
      </c>
      <c r="D923" s="2" t="str">
        <f t="shared" si="13"/>
        <v>Error?</v>
      </c>
    </row>
    <row r="924" spans="1:4" x14ac:dyDescent="0.2">
      <c r="A924" s="10">
        <v>863</v>
      </c>
      <c r="B924" s="1763"/>
      <c r="D924" s="2" t="str">
        <f t="shared" si="13"/>
        <v>OK</v>
      </c>
    </row>
    <row r="925" spans="1:4" x14ac:dyDescent="0.2">
      <c r="A925" s="5">
        <v>864</v>
      </c>
      <c r="B925" s="1763">
        <f>'Expenditures 15-22'!F71</f>
        <v>0</v>
      </c>
      <c r="D925" s="2" t="str">
        <f t="shared" si="13"/>
        <v>Error?</v>
      </c>
    </row>
    <row r="926" spans="1:4" x14ac:dyDescent="0.2">
      <c r="A926" s="10">
        <v>865</v>
      </c>
      <c r="B926" s="1763"/>
      <c r="D926" s="2" t="str">
        <f t="shared" si="13"/>
        <v>OK</v>
      </c>
    </row>
    <row r="927" spans="1:4" x14ac:dyDescent="0.2">
      <c r="A927" s="5">
        <v>866</v>
      </c>
      <c r="B927" s="1763">
        <f>'Expenditures 15-22'!F72</f>
        <v>0</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152921</v>
      </c>
      <c r="C929" s="2" t="s">
        <v>569</v>
      </c>
      <c r="D929" s="2" t="str">
        <f t="shared" si="13"/>
        <v>Error?</v>
      </c>
    </row>
    <row r="930" spans="1:4" x14ac:dyDescent="0.2">
      <c r="A930" s="5">
        <v>869</v>
      </c>
      <c r="B930" s="1763">
        <f>'Expenditures 15-22'!F75</f>
        <v>0</v>
      </c>
      <c r="D930" s="2" t="str">
        <f t="shared" si="13"/>
        <v>Error?</v>
      </c>
    </row>
    <row r="931" spans="1:4" x14ac:dyDescent="0.2">
      <c r="A931" s="5">
        <v>870</v>
      </c>
      <c r="B931" s="1763">
        <f>'Expenditures 15-22'!F114</f>
        <v>447365</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2688</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2688</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-1</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-1</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10895</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10895</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-1</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-1</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0</v>
      </c>
      <c r="D983" s="2" t="str">
        <f t="shared" si="14"/>
        <v>Error?</v>
      </c>
    </row>
    <row r="984" spans="1:4" x14ac:dyDescent="0.2">
      <c r="A984" s="10">
        <v>923</v>
      </c>
      <c r="B984" s="1763"/>
      <c r="D984" s="2" t="str">
        <f t="shared" si="14"/>
        <v>OK</v>
      </c>
    </row>
    <row r="985" spans="1:4" x14ac:dyDescent="0.2">
      <c r="A985" s="5">
        <v>924</v>
      </c>
      <c r="B985" s="1763">
        <f>'Expenditures 15-22'!G72</f>
        <v>0</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10893</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13581</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1081</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3500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9759</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250823</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662</v>
      </c>
      <c r="D1013" s="2" t="str">
        <f t="shared" si="14"/>
        <v>Error?</v>
      </c>
    </row>
    <row r="1014" spans="1:4" x14ac:dyDescent="0.2">
      <c r="A1014" s="5">
        <v>953</v>
      </c>
      <c r="B1014" s="1763">
        <f>'Expenditures 15-22'!H39</f>
        <v>675</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1337</v>
      </c>
      <c r="C1017" s="2" t="s">
        <v>569</v>
      </c>
      <c r="D1017" s="2" t="str">
        <f t="shared" si="14"/>
        <v>Error?</v>
      </c>
    </row>
    <row r="1018" spans="1:4" x14ac:dyDescent="0.2">
      <c r="A1018" s="5">
        <v>957</v>
      </c>
      <c r="B1018" s="1763">
        <f>'Expenditures 15-22'!H44</f>
        <v>15975</v>
      </c>
      <c r="D1018" s="2" t="str">
        <f t="shared" si="14"/>
        <v>Error?</v>
      </c>
    </row>
    <row r="1019" spans="1:4" x14ac:dyDescent="0.2">
      <c r="A1019" s="5">
        <v>958</v>
      </c>
      <c r="B1019" s="1763">
        <f>'Expenditures 15-22'!H45</f>
        <v>425118</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441093</v>
      </c>
      <c r="C1021" s="2" t="s">
        <v>569</v>
      </c>
      <c r="D1021" s="2" t="str">
        <f t="shared" si="14"/>
        <v>Error?</v>
      </c>
    </row>
    <row r="1022" spans="1:4" x14ac:dyDescent="0.2">
      <c r="A1022" s="5">
        <v>961</v>
      </c>
      <c r="B1022" s="1763">
        <f>'Expenditures 15-22'!H49</f>
        <v>12312</v>
      </c>
      <c r="D1022" s="2" t="str">
        <f t="shared" si="14"/>
        <v>Error?</v>
      </c>
    </row>
    <row r="1023" spans="1:4" x14ac:dyDescent="0.2">
      <c r="A1023" s="5">
        <v>962</v>
      </c>
      <c r="B1023" s="1763">
        <f>'Expenditures 15-22'!H50</f>
        <v>4282</v>
      </c>
      <c r="D1023" s="2" t="str">
        <f t="shared" ref="D1023:D1086" si="15">IF(ISBLANK(B1023),"OK",IF(A1023-B1023=0,"OK","Error?"))</f>
        <v>Error?</v>
      </c>
    </row>
    <row r="1024" spans="1:4" x14ac:dyDescent="0.2">
      <c r="A1024" s="5">
        <v>963</v>
      </c>
      <c r="B1024" s="1763">
        <f>'Expenditures 15-22'!H53</f>
        <v>16594</v>
      </c>
      <c r="C1024" s="2" t="s">
        <v>569</v>
      </c>
      <c r="D1024" s="2" t="str">
        <f t="shared" si="15"/>
        <v>Error?</v>
      </c>
    </row>
    <row r="1025" spans="1:4" x14ac:dyDescent="0.2">
      <c r="A1025" s="5">
        <v>964</v>
      </c>
      <c r="B1025" s="1763">
        <f>'Expenditures 15-22'!H55</f>
        <v>2123</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2123</v>
      </c>
      <c r="C1027" s="2" t="s">
        <v>569</v>
      </c>
      <c r="D1027" s="2" t="str">
        <f t="shared" si="15"/>
        <v>Error?</v>
      </c>
    </row>
    <row r="1028" spans="1:4" x14ac:dyDescent="0.2">
      <c r="A1028" s="5">
        <v>967</v>
      </c>
      <c r="B1028" s="1763">
        <f>'Expenditures 15-22'!H59</f>
        <v>0</v>
      </c>
      <c r="D1028" s="2" t="str">
        <f t="shared" si="15"/>
        <v>Error?</v>
      </c>
    </row>
    <row r="1029" spans="1:4" x14ac:dyDescent="0.2">
      <c r="A1029" s="5">
        <v>968</v>
      </c>
      <c r="B1029" s="1763">
        <f>'Expenditures 15-22'!H60</f>
        <v>1430</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0</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1430</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0</v>
      </c>
      <c r="D1038" s="2" t="str">
        <f t="shared" si="15"/>
        <v>Error?</v>
      </c>
    </row>
    <row r="1039" spans="1:4" x14ac:dyDescent="0.2">
      <c r="A1039" s="5">
        <v>978</v>
      </c>
      <c r="B1039" s="1763">
        <f>'Expenditures 15-22'!H70</f>
        <v>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0</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462577</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0</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713400</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1994</v>
      </c>
      <c r="E1056" s="4" t="s">
        <v>1993</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6695853</v>
      </c>
      <c r="C1093" s="2" t="s">
        <v>569</v>
      </c>
      <c r="D1093" s="2" t="str">
        <f t="shared" si="16"/>
        <v>Error?</v>
      </c>
    </row>
    <row r="1094" spans="1:4" x14ac:dyDescent="0.2">
      <c r="A1094" s="5">
        <v>1033</v>
      </c>
      <c r="B1094" s="1763">
        <f>'Expenditures 15-22'!K16</f>
        <v>196203</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783068</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3946</v>
      </c>
      <c r="C1105" s="2" t="s">
        <v>569</v>
      </c>
      <c r="D1105" s="2" t="str">
        <f t="shared" si="16"/>
        <v>Error?</v>
      </c>
    </row>
    <row r="1106" spans="1:4" x14ac:dyDescent="0.2">
      <c r="A1106" s="5">
        <v>1045</v>
      </c>
      <c r="B1106" s="1763">
        <f>'Expenditures 15-22'!K14</f>
        <v>251275</v>
      </c>
      <c r="C1106" s="2" t="s">
        <v>569</v>
      </c>
      <c r="D1106" s="2" t="str">
        <f t="shared" si="16"/>
        <v>Error?</v>
      </c>
    </row>
    <row r="1107" spans="1:4" x14ac:dyDescent="0.2">
      <c r="A1107" s="5">
        <v>1046</v>
      </c>
      <c r="B1107" s="1763">
        <f>'Expenditures 15-22'!K15</f>
        <v>139</v>
      </c>
      <c r="C1107" s="2" t="s">
        <v>569</v>
      </c>
      <c r="D1107" s="2" t="str">
        <f t="shared" si="16"/>
        <v>Error?</v>
      </c>
    </row>
    <row r="1108" spans="1:4" x14ac:dyDescent="0.2">
      <c r="A1108" s="5">
        <v>1047</v>
      </c>
      <c r="B1108" s="1763">
        <f>'Expenditures 15-22'!K33</f>
        <v>10614074</v>
      </c>
      <c r="C1108" s="2" t="s">
        <v>569</v>
      </c>
      <c r="D1108" s="2" t="str">
        <f t="shared" si="16"/>
        <v>Error?</v>
      </c>
    </row>
    <row r="1109" spans="1:4" x14ac:dyDescent="0.2">
      <c r="A1109" s="5">
        <v>1048</v>
      </c>
      <c r="B1109" s="1763">
        <f>'Expenditures 15-22'!K36</f>
        <v>393095</v>
      </c>
      <c r="C1109" s="2" t="s">
        <v>569</v>
      </c>
      <c r="D1109" s="2" t="str">
        <f t="shared" si="16"/>
        <v>Error?</v>
      </c>
    </row>
    <row r="1110" spans="1:4" x14ac:dyDescent="0.2">
      <c r="A1110" s="5">
        <v>1049</v>
      </c>
      <c r="B1110" s="1763">
        <f>'Expenditures 15-22'!K37</f>
        <v>58632</v>
      </c>
      <c r="C1110" s="2" t="s">
        <v>569</v>
      </c>
      <c r="D1110" s="2" t="str">
        <f t="shared" si="16"/>
        <v>Error?</v>
      </c>
    </row>
    <row r="1111" spans="1:4" x14ac:dyDescent="0.2">
      <c r="A1111" s="5">
        <v>1050</v>
      </c>
      <c r="B1111" s="1763">
        <f>'Expenditures 15-22'!K38</f>
        <v>241177</v>
      </c>
      <c r="C1111" s="2" t="s">
        <v>569</v>
      </c>
      <c r="D1111" s="2" t="str">
        <f t="shared" si="16"/>
        <v>Error?</v>
      </c>
    </row>
    <row r="1112" spans="1:4" x14ac:dyDescent="0.2">
      <c r="A1112" s="5">
        <v>1051</v>
      </c>
      <c r="B1112" s="1763">
        <f>'Expenditures 15-22'!K39</f>
        <v>155276</v>
      </c>
      <c r="C1112" s="2" t="s">
        <v>569</v>
      </c>
      <c r="D1112" s="2" t="str">
        <f t="shared" si="16"/>
        <v>Error?</v>
      </c>
    </row>
    <row r="1113" spans="1:4" x14ac:dyDescent="0.2">
      <c r="A1113" s="5">
        <v>1052</v>
      </c>
      <c r="B1113" s="1763">
        <f>'Expenditures 15-22'!K40</f>
        <v>0</v>
      </c>
      <c r="C1113" s="2" t="s">
        <v>569</v>
      </c>
      <c r="D1113" s="2" t="str">
        <f t="shared" si="16"/>
        <v>Error?</v>
      </c>
    </row>
    <row r="1114" spans="1:4" x14ac:dyDescent="0.2">
      <c r="A1114" s="5">
        <v>1053</v>
      </c>
      <c r="B1114" s="1763">
        <f>'Expenditures 15-22'!K41</f>
        <v>0</v>
      </c>
      <c r="C1114" s="2" t="s">
        <v>569</v>
      </c>
      <c r="D1114" s="2" t="str">
        <f t="shared" si="16"/>
        <v>Error?</v>
      </c>
    </row>
    <row r="1115" spans="1:4" x14ac:dyDescent="0.2">
      <c r="A1115" s="5">
        <v>1054</v>
      </c>
      <c r="B1115" s="1763">
        <f>'Expenditures 15-22'!K42</f>
        <v>848180</v>
      </c>
      <c r="C1115" s="2" t="s">
        <v>569</v>
      </c>
      <c r="D1115" s="2" t="str">
        <f t="shared" si="16"/>
        <v>Error?</v>
      </c>
    </row>
    <row r="1116" spans="1:4" x14ac:dyDescent="0.2">
      <c r="A1116" s="5">
        <v>1055</v>
      </c>
      <c r="B1116" s="1763">
        <f>'Expenditures 15-22'!K44</f>
        <v>25983</v>
      </c>
      <c r="C1116" s="2" t="s">
        <v>569</v>
      </c>
      <c r="D1116" s="2" t="str">
        <f t="shared" si="16"/>
        <v>Error?</v>
      </c>
    </row>
    <row r="1117" spans="1:4" x14ac:dyDescent="0.2">
      <c r="A1117" s="5">
        <v>1056</v>
      </c>
      <c r="B1117" s="1763">
        <f>'Expenditures 15-22'!K45</f>
        <v>941413</v>
      </c>
      <c r="C1117" s="2" t="s">
        <v>569</v>
      </c>
      <c r="D1117" s="2" t="str">
        <f t="shared" si="16"/>
        <v>Error?</v>
      </c>
    </row>
    <row r="1118" spans="1:4" x14ac:dyDescent="0.2">
      <c r="A1118" s="5">
        <v>1057</v>
      </c>
      <c r="B1118" s="1763">
        <f>'Expenditures 15-22'!K46</f>
        <v>19563</v>
      </c>
      <c r="C1118" s="2" t="s">
        <v>569</v>
      </c>
      <c r="D1118" s="2" t="str">
        <f t="shared" si="16"/>
        <v>Error?</v>
      </c>
    </row>
    <row r="1119" spans="1:4" x14ac:dyDescent="0.2">
      <c r="A1119" s="5">
        <v>1058</v>
      </c>
      <c r="B1119" s="1763">
        <f>'Expenditures 15-22'!K47</f>
        <v>986959</v>
      </c>
      <c r="C1119" s="2" t="s">
        <v>569</v>
      </c>
      <c r="D1119" s="2" t="str">
        <f t="shared" si="16"/>
        <v>Error?</v>
      </c>
    </row>
    <row r="1120" spans="1:4" x14ac:dyDescent="0.2">
      <c r="A1120" s="5">
        <v>1059</v>
      </c>
      <c r="B1120" s="1763">
        <f>'Expenditures 15-22'!K49</f>
        <v>186149</v>
      </c>
      <c r="C1120" s="2" t="s">
        <v>569</v>
      </c>
      <c r="D1120" s="2" t="str">
        <f t="shared" si="16"/>
        <v>Error?</v>
      </c>
    </row>
    <row r="1121" spans="1:4" x14ac:dyDescent="0.2">
      <c r="A1121" s="5">
        <v>1060</v>
      </c>
      <c r="B1121" s="1763">
        <f>'Expenditures 15-22'!K50</f>
        <v>385774</v>
      </c>
      <c r="C1121" s="2" t="s">
        <v>569</v>
      </c>
      <c r="D1121" s="2" t="str">
        <f t="shared" si="16"/>
        <v>Error?</v>
      </c>
    </row>
    <row r="1122" spans="1:4" x14ac:dyDescent="0.2">
      <c r="A1122" s="5">
        <v>1061</v>
      </c>
      <c r="B1122" s="1763">
        <f>'Expenditures 15-22'!K53</f>
        <v>571923</v>
      </c>
      <c r="C1122" s="2" t="s">
        <v>569</v>
      </c>
      <c r="D1122" s="2" t="str">
        <f t="shared" si="16"/>
        <v>Error?</v>
      </c>
    </row>
    <row r="1123" spans="1:4" x14ac:dyDescent="0.2">
      <c r="A1123" s="5">
        <v>1062</v>
      </c>
      <c r="B1123" s="1763">
        <f>'Expenditures 15-22'!K55</f>
        <v>945526</v>
      </c>
      <c r="C1123" s="2" t="s">
        <v>569</v>
      </c>
      <c r="D1123" s="2" t="str">
        <f t="shared" si="16"/>
        <v>Error?</v>
      </c>
    </row>
    <row r="1124" spans="1:4" x14ac:dyDescent="0.2">
      <c r="A1124" s="5">
        <v>1063</v>
      </c>
      <c r="B1124" s="1763">
        <f>'Expenditures 15-22'!K56</f>
        <v>0</v>
      </c>
      <c r="C1124" s="2" t="s">
        <v>569</v>
      </c>
      <c r="D1124" s="2" t="str">
        <f t="shared" si="16"/>
        <v>Error?</v>
      </c>
    </row>
    <row r="1125" spans="1:4" x14ac:dyDescent="0.2">
      <c r="A1125" s="5">
        <v>1064</v>
      </c>
      <c r="B1125" s="1763">
        <f>'Expenditures 15-22'!K57</f>
        <v>945526</v>
      </c>
      <c r="C1125" s="2" t="s">
        <v>569</v>
      </c>
      <c r="D1125" s="2" t="str">
        <f t="shared" si="16"/>
        <v>Error?</v>
      </c>
    </row>
    <row r="1126" spans="1:4" x14ac:dyDescent="0.2">
      <c r="A1126" s="5">
        <v>1065</v>
      </c>
      <c r="B1126" s="1763">
        <f>'Expenditures 15-22'!K59</f>
        <v>0</v>
      </c>
      <c r="C1126" s="2" t="s">
        <v>569</v>
      </c>
      <c r="D1126" s="2" t="str">
        <f t="shared" si="16"/>
        <v>Error?</v>
      </c>
    </row>
    <row r="1127" spans="1:4" x14ac:dyDescent="0.2">
      <c r="A1127" s="5">
        <v>1066</v>
      </c>
      <c r="B1127" s="1763">
        <f>'Expenditures 15-22'!K60</f>
        <v>302670</v>
      </c>
      <c r="C1127" s="2" t="s">
        <v>569</v>
      </c>
      <c r="D1127" s="2" t="str">
        <f t="shared" si="16"/>
        <v>Error?</v>
      </c>
    </row>
    <row r="1128" spans="1:4" x14ac:dyDescent="0.2">
      <c r="A1128" s="5">
        <v>1067</v>
      </c>
      <c r="B1128" s="1763">
        <f>'Expenditures 15-22'!K61</f>
        <v>0</v>
      </c>
      <c r="C1128" s="2" t="s">
        <v>569</v>
      </c>
      <c r="D1128" s="2" t="str">
        <f t="shared" si="16"/>
        <v>Error?</v>
      </c>
    </row>
    <row r="1129" spans="1:4" x14ac:dyDescent="0.2">
      <c r="A1129" s="5">
        <v>1068</v>
      </c>
      <c r="B1129" s="1763">
        <f>'Expenditures 15-22'!K62</f>
        <v>0</v>
      </c>
      <c r="C1129" s="2" t="s">
        <v>569</v>
      </c>
      <c r="D1129" s="2" t="str">
        <f t="shared" si="16"/>
        <v>Error?</v>
      </c>
    </row>
    <row r="1130" spans="1:4" x14ac:dyDescent="0.2">
      <c r="A1130" s="5">
        <v>1069</v>
      </c>
      <c r="B1130" s="1763">
        <f>'Expenditures 15-22'!K63</f>
        <v>395448</v>
      </c>
      <c r="C1130" s="2" t="s">
        <v>569</v>
      </c>
      <c r="D1130" s="2" t="str">
        <f t="shared" si="16"/>
        <v>Error?</v>
      </c>
    </row>
    <row r="1131" spans="1:4" x14ac:dyDescent="0.2">
      <c r="A1131" s="5">
        <v>1070</v>
      </c>
      <c r="B1131" s="1763">
        <f>'Expenditures 15-22'!K64</f>
        <v>0</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698118</v>
      </c>
      <c r="C1133" s="2" t="s">
        <v>569</v>
      </c>
      <c r="D1133" s="2" t="str">
        <f t="shared" si="16"/>
        <v>Error?</v>
      </c>
    </row>
    <row r="1134" spans="1:4" x14ac:dyDescent="0.2">
      <c r="A1134" s="5">
        <v>1073</v>
      </c>
      <c r="B1134" s="1763">
        <f>'Expenditures 15-22'!K67</f>
        <v>0</v>
      </c>
      <c r="C1134" s="2" t="s">
        <v>569</v>
      </c>
      <c r="D1134" s="2" t="str">
        <f t="shared" si="16"/>
        <v>Error?</v>
      </c>
    </row>
    <row r="1135" spans="1:4" x14ac:dyDescent="0.2">
      <c r="A1135" s="5">
        <v>1074</v>
      </c>
      <c r="B1135" s="1763">
        <f>'Expenditures 15-22'!K68</f>
        <v>0</v>
      </c>
      <c r="C1135" s="2" t="s">
        <v>569</v>
      </c>
      <c r="D1135" s="2" t="str">
        <f t="shared" si="16"/>
        <v>Error?</v>
      </c>
    </row>
    <row r="1136" spans="1:4" x14ac:dyDescent="0.2">
      <c r="A1136" s="5">
        <v>1075</v>
      </c>
      <c r="B1136" s="1763">
        <f>'Expenditures 15-22'!K69</f>
        <v>0</v>
      </c>
      <c r="C1136" s="2" t="s">
        <v>569</v>
      </c>
      <c r="D1136" s="2" t="str">
        <f t="shared" si="16"/>
        <v>Error?</v>
      </c>
    </row>
    <row r="1137" spans="1:4" x14ac:dyDescent="0.2">
      <c r="A1137" s="5">
        <v>1076</v>
      </c>
      <c r="B1137" s="1763">
        <f>'Expenditures 15-22'!K70</f>
        <v>0</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52012</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52012</v>
      </c>
      <c r="C1141" s="2" t="s">
        <v>569</v>
      </c>
      <c r="D1141" s="2" t="str">
        <f t="shared" si="16"/>
        <v>Error?</v>
      </c>
    </row>
    <row r="1142" spans="1:4" x14ac:dyDescent="0.2">
      <c r="A1142" s="5">
        <v>1081</v>
      </c>
      <c r="B1142" s="1763">
        <f>'Expenditures 15-22'!K73</f>
        <v>0</v>
      </c>
      <c r="C1142" s="2" t="s">
        <v>569</v>
      </c>
      <c r="D1142" s="2" t="str">
        <f t="shared" si="16"/>
        <v>Error?</v>
      </c>
    </row>
    <row r="1143" spans="1:4" x14ac:dyDescent="0.2">
      <c r="A1143" s="5">
        <v>1082</v>
      </c>
      <c r="B1143" s="1763">
        <f>'Expenditures 15-22'!K74</f>
        <v>4102718</v>
      </c>
      <c r="C1143" s="2" t="s">
        <v>569</v>
      </c>
      <c r="D1143" s="2" t="str">
        <f t="shared" si="16"/>
        <v>Error?</v>
      </c>
    </row>
    <row r="1144" spans="1:4" x14ac:dyDescent="0.2">
      <c r="A1144" s="5">
        <v>1083</v>
      </c>
      <c r="B1144" s="1763">
        <f>'Expenditures 15-22'!K75</f>
        <v>0</v>
      </c>
      <c r="C1144" s="2" t="s">
        <v>569</v>
      </c>
      <c r="D1144" s="2" t="str">
        <f t="shared" si="16"/>
        <v>Error?</v>
      </c>
    </row>
    <row r="1145" spans="1:4" x14ac:dyDescent="0.2">
      <c r="A1145" s="5">
        <v>1084</v>
      </c>
      <c r="B1145" s="1763">
        <f>'Expenditures 15-22'!K102</f>
        <v>1973660</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16690452</v>
      </c>
      <c r="C1152" s="2" t="s">
        <v>569</v>
      </c>
      <c r="D1152" s="2" t="str">
        <f t="shared" si="17"/>
        <v>Error?</v>
      </c>
    </row>
    <row r="1153" spans="1:4" x14ac:dyDescent="0.2">
      <c r="A1153" s="5">
        <v>1092</v>
      </c>
      <c r="B1153" s="1763">
        <f>'Expenditures 15-22'!K115</f>
        <v>229925</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500247</v>
      </c>
      <c r="D1221" s="2" t="str">
        <f t="shared" si="18"/>
        <v>Error?</v>
      </c>
    </row>
    <row r="1222" spans="1:4" x14ac:dyDescent="0.2">
      <c r="A1222" s="10">
        <v>1161</v>
      </c>
      <c r="B1222" s="1763"/>
      <c r="D1222" s="2" t="str">
        <f t="shared" si="18"/>
        <v>OK</v>
      </c>
    </row>
    <row r="1223" spans="1:4" x14ac:dyDescent="0.2">
      <c r="A1223" s="5">
        <v>1162</v>
      </c>
      <c r="B1223" s="1763">
        <f>'Expenditures 15-22'!C127</f>
        <v>500247</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500247</v>
      </c>
      <c r="C1225" s="2" t="s">
        <v>569</v>
      </c>
      <c r="D1225" s="2" t="str">
        <f t="shared" si="18"/>
        <v>Error?</v>
      </c>
    </row>
    <row r="1226" spans="1:4" x14ac:dyDescent="0.2">
      <c r="A1226" s="5">
        <v>1165</v>
      </c>
      <c r="B1226" s="1763">
        <f>'Expenditures 15-22'!C151</f>
        <v>500247</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102395</v>
      </c>
      <c r="D1229" s="2" t="str">
        <f t="shared" si="18"/>
        <v>Error?</v>
      </c>
    </row>
    <row r="1230" spans="1:4" x14ac:dyDescent="0.2">
      <c r="A1230" s="10">
        <v>1169</v>
      </c>
      <c r="B1230" s="1763"/>
      <c r="D1230" s="2" t="str">
        <f t="shared" si="18"/>
        <v>OK</v>
      </c>
    </row>
    <row r="1231" spans="1:4" x14ac:dyDescent="0.2">
      <c r="A1231" s="5">
        <v>1170</v>
      </c>
      <c r="B1231" s="1763">
        <f>'Expenditures 15-22'!D127</f>
        <v>102395</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102395</v>
      </c>
      <c r="C1233" s="2" t="s">
        <v>569</v>
      </c>
      <c r="D1233" s="2" t="str">
        <f t="shared" si="18"/>
        <v>Error?</v>
      </c>
    </row>
    <row r="1234" spans="1:4" x14ac:dyDescent="0.2">
      <c r="A1234" s="5">
        <v>1173</v>
      </c>
      <c r="B1234" s="1763">
        <f>'Expenditures 15-22'!D151</f>
        <v>102395</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269219</v>
      </c>
      <c r="D1237" s="2" t="str">
        <f t="shared" si="18"/>
        <v>Error?</v>
      </c>
    </row>
    <row r="1238" spans="1:4" x14ac:dyDescent="0.2">
      <c r="A1238" s="10">
        <v>1177</v>
      </c>
      <c r="B1238" s="1763"/>
      <c r="D1238" s="2" t="str">
        <f t="shared" si="18"/>
        <v>OK</v>
      </c>
    </row>
    <row r="1239" spans="1:4" x14ac:dyDescent="0.2">
      <c r="A1239" s="5">
        <v>1178</v>
      </c>
      <c r="B1239" s="1763">
        <f>'Expenditures 15-22'!E127</f>
        <v>269219</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269219</v>
      </c>
      <c r="C1241" s="2" t="s">
        <v>569</v>
      </c>
      <c r="D1241" s="2" t="str">
        <f t="shared" si="18"/>
        <v>Error?</v>
      </c>
    </row>
    <row r="1242" spans="1:4" x14ac:dyDescent="0.2">
      <c r="A1242" s="5">
        <v>1181</v>
      </c>
      <c r="B1242" s="1763">
        <f>'Expenditures 15-22'!E151</f>
        <v>269219</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250802</v>
      </c>
      <c r="D1245" s="2" t="str">
        <f t="shared" si="18"/>
        <v>Error?</v>
      </c>
    </row>
    <row r="1246" spans="1:4" x14ac:dyDescent="0.2">
      <c r="A1246" s="10">
        <v>1185</v>
      </c>
      <c r="B1246" s="1763"/>
      <c r="D1246" s="2" t="str">
        <f t="shared" si="18"/>
        <v>OK</v>
      </c>
    </row>
    <row r="1247" spans="1:4" x14ac:dyDescent="0.2">
      <c r="A1247" s="5">
        <v>1186</v>
      </c>
      <c r="B1247" s="1763">
        <f>'Expenditures 15-22'!F127</f>
        <v>250802</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250802</v>
      </c>
      <c r="C1249" s="2" t="s">
        <v>569</v>
      </c>
      <c r="D1249" s="2" t="str">
        <f t="shared" si="18"/>
        <v>Error?</v>
      </c>
    </row>
    <row r="1250" spans="1:4" x14ac:dyDescent="0.2">
      <c r="A1250" s="5">
        <v>1189</v>
      </c>
      <c r="B1250" s="1763">
        <f>'Expenditures 15-22'!F151</f>
        <v>250802</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0</v>
      </c>
      <c r="D1252" s="2" t="str">
        <f t="shared" si="18"/>
        <v>Error?</v>
      </c>
    </row>
    <row r="1253" spans="1:4" x14ac:dyDescent="0.2">
      <c r="A1253" s="5">
        <v>1192</v>
      </c>
      <c r="B1253" s="1763">
        <f>'Expenditures 15-22'!G124</f>
        <v>15080</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15080</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15080</v>
      </c>
      <c r="C1258" s="2" t="s">
        <v>569</v>
      </c>
      <c r="D1258" s="2" t="str">
        <f t="shared" si="18"/>
        <v>Error?</v>
      </c>
    </row>
    <row r="1259" spans="1:4" x14ac:dyDescent="0.2">
      <c r="A1259" s="5">
        <v>1198</v>
      </c>
      <c r="B1259" s="1763">
        <f>'Expenditures 15-22'!G151</f>
        <v>15080</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0</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0</v>
      </c>
      <c r="C1275" s="2" t="s">
        <v>569</v>
      </c>
      <c r="D1275" s="2" t="str">
        <f t="shared" si="18"/>
        <v>Error?</v>
      </c>
    </row>
    <row r="1276" spans="1:4" x14ac:dyDescent="0.2">
      <c r="A1276" s="5">
        <v>1215</v>
      </c>
      <c r="B1276" s="1763">
        <f>'Expenditures 15-22'!K124</f>
        <v>1137743</v>
      </c>
      <c r="C1276" s="2" t="s">
        <v>569</v>
      </c>
      <c r="D1276" s="2" t="str">
        <f t="shared" si="18"/>
        <v>Error?</v>
      </c>
    </row>
    <row r="1277" spans="1:4" x14ac:dyDescent="0.2">
      <c r="A1277" s="5">
        <v>1216</v>
      </c>
      <c r="B1277" s="1763">
        <f>'Expenditures 15-22'!K126</f>
        <v>0</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1137743</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1137743</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1137743</v>
      </c>
      <c r="C1288" s="2" t="s">
        <v>569</v>
      </c>
      <c r="D1288" s="2" t="str">
        <f t="shared" si="19"/>
        <v>Error?</v>
      </c>
    </row>
    <row r="1289" spans="1:4" x14ac:dyDescent="0.2">
      <c r="A1289" s="5">
        <v>1228</v>
      </c>
      <c r="B1289" s="1763">
        <f>'Expenditures 15-22'!K152</f>
        <v>-29742</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75625</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710000</v>
      </c>
      <c r="D1315" s="2" t="str">
        <f t="shared" si="19"/>
        <v>Error?</v>
      </c>
    </row>
    <row r="1316" spans="1:4" x14ac:dyDescent="0.2">
      <c r="A1316" s="5">
        <v>1255</v>
      </c>
      <c r="B1316" s="1763">
        <f>'Expenditures 15-22'!H171</f>
        <v>475</v>
      </c>
      <c r="D1316" s="2" t="str">
        <f t="shared" si="19"/>
        <v>Error?</v>
      </c>
    </row>
    <row r="1317" spans="1:4" x14ac:dyDescent="0.2">
      <c r="A1317" s="5">
        <v>1256</v>
      </c>
      <c r="B1317" s="1763">
        <f>'Expenditures 15-22'!H172</f>
        <v>786100</v>
      </c>
      <c r="C1317" s="2" t="s">
        <v>569</v>
      </c>
      <c r="D1317" s="2" t="str">
        <f t="shared" si="19"/>
        <v>Error?</v>
      </c>
    </row>
    <row r="1318" spans="1:4" x14ac:dyDescent="0.2">
      <c r="A1318" s="5">
        <v>1257</v>
      </c>
      <c r="B1318" s="1763">
        <f>'Expenditures 15-22'!H174</f>
        <v>786100</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75625</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710000</v>
      </c>
      <c r="C1329" s="2" t="s">
        <v>569</v>
      </c>
      <c r="D1329" s="2" t="str">
        <f t="shared" si="19"/>
        <v>Error?</v>
      </c>
    </row>
    <row r="1330" spans="1:4" x14ac:dyDescent="0.2">
      <c r="A1330" s="5">
        <v>1269</v>
      </c>
      <c r="B1330" s="1763">
        <f>'Expenditures 15-22'!K171</f>
        <v>475</v>
      </c>
      <c r="C1330" s="2" t="s">
        <v>569</v>
      </c>
      <c r="D1330" s="2" t="str">
        <f t="shared" si="19"/>
        <v>Error?</v>
      </c>
    </row>
    <row r="1331" spans="1:4" x14ac:dyDescent="0.2">
      <c r="A1331" s="5">
        <v>1270</v>
      </c>
      <c r="B1331" s="1763">
        <f>'Expenditures 15-22'!K172</f>
        <v>786100</v>
      </c>
      <c r="C1331" s="2" t="s">
        <v>569</v>
      </c>
      <c r="D1331" s="2" t="str">
        <f t="shared" si="19"/>
        <v>Error?</v>
      </c>
    </row>
    <row r="1332" spans="1:4" x14ac:dyDescent="0.2">
      <c r="A1332" s="5">
        <v>1271</v>
      </c>
      <c r="B1332" s="1763">
        <f>'Expenditures 15-22'!K174</f>
        <v>786100</v>
      </c>
      <c r="C1332" s="2" t="s">
        <v>569</v>
      </c>
      <c r="D1332" s="2" t="str">
        <f t="shared" si="19"/>
        <v>Error?</v>
      </c>
    </row>
    <row r="1333" spans="1:4" x14ac:dyDescent="0.2">
      <c r="A1333" s="5">
        <v>1272</v>
      </c>
      <c r="B1333" s="1763">
        <f>'Expenditures 15-22'!K175</f>
        <v>20975</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167123</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167123</v>
      </c>
      <c r="C1339" s="2" t="s">
        <v>569</v>
      </c>
      <c r="D1339" s="2" t="str">
        <f t="shared" si="19"/>
        <v>Error?</v>
      </c>
    </row>
    <row r="1340" spans="1:4" x14ac:dyDescent="0.2">
      <c r="A1340" s="5">
        <v>1279</v>
      </c>
      <c r="B1340" s="1763">
        <f>'Expenditures 15-22'!C210</f>
        <v>167123</v>
      </c>
      <c r="C1340" s="2" t="s">
        <v>569</v>
      </c>
      <c r="D1340" s="2" t="str">
        <f t="shared" si="19"/>
        <v>Error?</v>
      </c>
    </row>
    <row r="1341" spans="1:4" x14ac:dyDescent="0.2">
      <c r="A1341" s="5">
        <v>1280</v>
      </c>
      <c r="B1341" s="1763">
        <f>'Expenditures 15-22'!D182</f>
        <v>12439</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12439</v>
      </c>
      <c r="C1345" s="2" t="s">
        <v>569</v>
      </c>
      <c r="D1345" s="2" t="str">
        <f t="shared" si="20"/>
        <v>Error?</v>
      </c>
    </row>
    <row r="1346" spans="1:4" x14ac:dyDescent="0.2">
      <c r="A1346" s="5">
        <v>1285</v>
      </c>
      <c r="B1346" s="1763">
        <f>'Expenditures 15-22'!D210</f>
        <v>12439</v>
      </c>
      <c r="C1346" s="2" t="s">
        <v>569</v>
      </c>
      <c r="D1346" s="2" t="str">
        <f t="shared" si="20"/>
        <v>Error?</v>
      </c>
    </row>
    <row r="1347" spans="1:4" x14ac:dyDescent="0.2">
      <c r="A1347" s="5">
        <v>1286</v>
      </c>
      <c r="B1347" s="1763">
        <f>'Expenditures 15-22'!E182</f>
        <v>491961</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491961</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491961</v>
      </c>
      <c r="C1353" s="2" t="s">
        <v>569</v>
      </c>
      <c r="D1353" s="2" t="str">
        <f t="shared" si="20"/>
        <v>Error?</v>
      </c>
    </row>
    <row r="1354" spans="1:4" x14ac:dyDescent="0.2">
      <c r="A1354" s="5">
        <v>1293</v>
      </c>
      <c r="B1354" s="1763">
        <f>'Expenditures 15-22'!F182</f>
        <v>31569</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31569</v>
      </c>
      <c r="C1358" s="2" t="s">
        <v>569</v>
      </c>
      <c r="D1358" s="2" t="str">
        <f t="shared" si="20"/>
        <v>Error?</v>
      </c>
    </row>
    <row r="1359" spans="1:4" x14ac:dyDescent="0.2">
      <c r="A1359" s="5">
        <v>1298</v>
      </c>
      <c r="B1359" s="1763">
        <f>'Expenditures 15-22'!F210</f>
        <v>31569</v>
      </c>
      <c r="C1359" s="2" t="s">
        <v>569</v>
      </c>
      <c r="D1359" s="2" t="str">
        <f t="shared" si="20"/>
        <v>Error?</v>
      </c>
    </row>
    <row r="1360" spans="1:4" x14ac:dyDescent="0.2">
      <c r="A1360" s="5">
        <v>1299</v>
      </c>
      <c r="B1360" s="1763">
        <f>'Expenditures 15-22'!G182</f>
        <v>141020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141020</v>
      </c>
      <c r="C1364" s="2" t="s">
        <v>569</v>
      </c>
      <c r="D1364" s="2" t="str">
        <f t="shared" si="20"/>
        <v>Error?</v>
      </c>
    </row>
    <row r="1365" spans="1:4" x14ac:dyDescent="0.2">
      <c r="A1365" s="5">
        <v>1304</v>
      </c>
      <c r="B1365" s="1763">
        <f>'Expenditures 15-22'!G210</f>
        <v>141020</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844112</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844112</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844112</v>
      </c>
      <c r="C1388" s="2" t="s">
        <v>569</v>
      </c>
      <c r="D1388" s="2" t="str">
        <f t="shared" si="20"/>
        <v>Error?</v>
      </c>
    </row>
    <row r="1389" spans="1:4" x14ac:dyDescent="0.2">
      <c r="A1389" s="5">
        <v>1328</v>
      </c>
      <c r="B1389" s="1763">
        <f>'Expenditures 15-22'!K211</f>
        <v>213585</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0</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5022</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677</v>
      </c>
      <c r="D1408" s="2" t="str">
        <f t="shared" si="21"/>
        <v>Error?</v>
      </c>
    </row>
    <row r="1409" spans="1:4" x14ac:dyDescent="0.2">
      <c r="A1409" s="5">
        <v>1348</v>
      </c>
      <c r="B1409" s="1763">
        <f>'Expenditures 15-22'!D224</f>
        <v>0</v>
      </c>
      <c r="D1409" s="2" t="str">
        <f t="shared" si="21"/>
        <v>Error?</v>
      </c>
    </row>
    <row r="1410" spans="1:4" x14ac:dyDescent="0.2">
      <c r="A1410" s="5">
        <v>1349</v>
      </c>
      <c r="B1410" s="1763">
        <f>'Expenditures 15-22'!D229</f>
        <v>73678</v>
      </c>
      <c r="C1410" s="2" t="s">
        <v>569</v>
      </c>
      <c r="D1410" s="2" t="str">
        <f t="shared" si="21"/>
        <v>Error?</v>
      </c>
    </row>
    <row r="1411" spans="1:4" x14ac:dyDescent="0.2">
      <c r="A1411" s="5">
        <v>1350</v>
      </c>
      <c r="B1411" s="1763">
        <f>'Expenditures 15-22'!D232</f>
        <v>966</v>
      </c>
      <c r="D1411" s="2" t="str">
        <f t="shared" si="21"/>
        <v>Error?</v>
      </c>
    </row>
    <row r="1412" spans="1:4" x14ac:dyDescent="0.2">
      <c r="A1412" s="5">
        <v>1351</v>
      </c>
      <c r="B1412" s="1763">
        <f>'Expenditures 15-22'!D233</f>
        <v>0</v>
      </c>
      <c r="D1412" s="2" t="str">
        <f t="shared" si="21"/>
        <v>Error?</v>
      </c>
    </row>
    <row r="1413" spans="1:4" x14ac:dyDescent="0.2">
      <c r="A1413" s="5">
        <v>1352</v>
      </c>
      <c r="B1413" s="1763">
        <f>'Expenditures 15-22'!D234</f>
        <v>22979</v>
      </c>
      <c r="D1413" s="2" t="str">
        <f t="shared" si="21"/>
        <v>Error?</v>
      </c>
    </row>
    <row r="1414" spans="1:4" x14ac:dyDescent="0.2">
      <c r="A1414" s="5">
        <v>1353</v>
      </c>
      <c r="B1414" s="1763">
        <f>'Expenditures 15-22'!D235</f>
        <v>0</v>
      </c>
      <c r="D1414" s="2" t="str">
        <f t="shared" si="21"/>
        <v>Error?</v>
      </c>
    </row>
    <row r="1415" spans="1:4" x14ac:dyDescent="0.2">
      <c r="A1415" s="5">
        <v>1354</v>
      </c>
      <c r="B1415" s="1763">
        <f>'Expenditures 15-22'!D236</f>
        <v>0</v>
      </c>
      <c r="D1415" s="2" t="str">
        <f t="shared" si="21"/>
        <v>Error?</v>
      </c>
    </row>
    <row r="1416" spans="1:4" x14ac:dyDescent="0.2">
      <c r="A1416" s="5">
        <v>1355</v>
      </c>
      <c r="B1416" s="1763">
        <f>'Expenditures 15-22'!D237</f>
        <v>0</v>
      </c>
      <c r="D1416" s="2" t="str">
        <f t="shared" si="21"/>
        <v>Error?</v>
      </c>
    </row>
    <row r="1417" spans="1:4" x14ac:dyDescent="0.2">
      <c r="A1417" s="5">
        <v>1356</v>
      </c>
      <c r="B1417" s="1763">
        <f>'Expenditures 15-22'!D238</f>
        <v>23945</v>
      </c>
      <c r="C1417" s="2" t="s">
        <v>569</v>
      </c>
      <c r="D1417" s="2" t="str">
        <f t="shared" si="21"/>
        <v>Error?</v>
      </c>
    </row>
    <row r="1418" spans="1:4" x14ac:dyDescent="0.2">
      <c r="A1418" s="5">
        <v>1357</v>
      </c>
      <c r="B1418" s="1763">
        <f>'Expenditures 15-22'!D240</f>
        <v>0</v>
      </c>
      <c r="D1418" s="2" t="str">
        <f t="shared" si="21"/>
        <v>Error?</v>
      </c>
    </row>
    <row r="1419" spans="1:4" x14ac:dyDescent="0.2">
      <c r="A1419" s="5">
        <v>1358</v>
      </c>
      <c r="B1419" s="1763">
        <f>'Expenditures 15-22'!D241</f>
        <v>27565</v>
      </c>
      <c r="D1419" s="2" t="str">
        <f t="shared" si="21"/>
        <v>Error?</v>
      </c>
    </row>
    <row r="1420" spans="1:4" x14ac:dyDescent="0.2">
      <c r="A1420" s="5">
        <v>1359</v>
      </c>
      <c r="B1420" s="1763">
        <f>'Expenditures 15-22'!D242</f>
        <v>0</v>
      </c>
      <c r="D1420" s="2" t="str">
        <f t="shared" si="21"/>
        <v>Error?</v>
      </c>
    </row>
    <row r="1421" spans="1:4" x14ac:dyDescent="0.2">
      <c r="A1421" s="5">
        <v>1360</v>
      </c>
      <c r="B1421" s="1763">
        <f>'Expenditures 15-22'!D243</f>
        <v>27565</v>
      </c>
      <c r="C1421" s="2" t="s">
        <v>569</v>
      </c>
      <c r="D1421" s="2" t="str">
        <f t="shared" si="21"/>
        <v>Error?</v>
      </c>
    </row>
    <row r="1422" spans="1:4" x14ac:dyDescent="0.2">
      <c r="A1422" s="5">
        <v>1361</v>
      </c>
      <c r="B1422" s="1763">
        <f>'Expenditures 15-22'!D245</f>
        <v>0</v>
      </c>
      <c r="D1422" s="2" t="str">
        <f t="shared" si="21"/>
        <v>Error?</v>
      </c>
    </row>
    <row r="1423" spans="1:4" x14ac:dyDescent="0.2">
      <c r="A1423" s="5">
        <v>1362</v>
      </c>
      <c r="B1423" s="1763">
        <f>'Expenditures 15-22'!D246</f>
        <v>10259</v>
      </c>
      <c r="D1423" s="2" t="str">
        <f t="shared" si="21"/>
        <v>Error?</v>
      </c>
    </row>
    <row r="1424" spans="1:4" x14ac:dyDescent="0.2">
      <c r="A1424" s="5">
        <v>1363</v>
      </c>
      <c r="B1424" s="1763">
        <f>'Expenditures 15-22'!D257</f>
        <v>10259</v>
      </c>
      <c r="C1424" s="2" t="s">
        <v>569</v>
      </c>
      <c r="D1424" s="2" t="str">
        <f t="shared" si="21"/>
        <v>Error?</v>
      </c>
    </row>
    <row r="1425" spans="1:4" x14ac:dyDescent="0.2">
      <c r="A1425" s="5">
        <v>1364</v>
      </c>
      <c r="B1425" s="1763">
        <f>'Expenditures 15-22'!D259</f>
        <v>22608</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22608</v>
      </c>
      <c r="C1427" s="2" t="s">
        <v>569</v>
      </c>
      <c r="D1427" s="2" t="str">
        <f t="shared" si="21"/>
        <v>Error?</v>
      </c>
    </row>
    <row r="1428" spans="1:4" x14ac:dyDescent="0.2">
      <c r="A1428" s="5">
        <v>1367</v>
      </c>
      <c r="B1428" s="1763">
        <f>'Expenditures 15-22'!D263</f>
        <v>0</v>
      </c>
      <c r="D1428" s="2" t="str">
        <f t="shared" si="21"/>
        <v>Error?</v>
      </c>
    </row>
    <row r="1429" spans="1:4" x14ac:dyDescent="0.2">
      <c r="A1429" s="5">
        <v>1368</v>
      </c>
      <c r="B1429" s="1763">
        <f>'Expenditures 15-22'!D264</f>
        <v>20558</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91317</v>
      </c>
      <c r="D1431" s="2" t="str">
        <f t="shared" si="21"/>
        <v>Error?</v>
      </c>
    </row>
    <row r="1432" spans="1:4" x14ac:dyDescent="0.2">
      <c r="A1432" s="5">
        <v>1371</v>
      </c>
      <c r="B1432" s="1763">
        <f>'Expenditures 15-22'!D267</f>
        <v>28072</v>
      </c>
      <c r="D1432" s="2" t="str">
        <f t="shared" si="21"/>
        <v>Error?</v>
      </c>
    </row>
    <row r="1433" spans="1:4" x14ac:dyDescent="0.2">
      <c r="A1433" s="5">
        <v>1372</v>
      </c>
      <c r="B1433" s="1763">
        <f>'Expenditures 15-22'!D268</f>
        <v>40668</v>
      </c>
      <c r="D1433" s="2" t="str">
        <f t="shared" si="21"/>
        <v>Error?</v>
      </c>
    </row>
    <row r="1434" spans="1:4" x14ac:dyDescent="0.2">
      <c r="A1434" s="5">
        <v>1373</v>
      </c>
      <c r="B1434" s="1763">
        <f>'Expenditures 15-22'!D269</f>
        <v>0</v>
      </c>
      <c r="D1434" s="2" t="str">
        <f t="shared" si="21"/>
        <v>Error?</v>
      </c>
    </row>
    <row r="1435" spans="1:4" x14ac:dyDescent="0.2">
      <c r="A1435" s="10">
        <v>1374</v>
      </c>
      <c r="B1435" s="1763"/>
      <c r="D1435" s="2" t="str">
        <f t="shared" si="21"/>
        <v>OK</v>
      </c>
    </row>
    <row r="1436" spans="1:4" x14ac:dyDescent="0.2">
      <c r="A1436" s="5">
        <v>1375</v>
      </c>
      <c r="B1436" s="1763">
        <f>'Expenditures 15-22'!D270</f>
        <v>180615</v>
      </c>
      <c r="C1436" s="2" t="s">
        <v>569</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0</v>
      </c>
      <c r="D1439" s="2" t="str">
        <f t="shared" si="21"/>
        <v>Error?</v>
      </c>
    </row>
    <row r="1440" spans="1:4" x14ac:dyDescent="0.2">
      <c r="A1440" s="5">
        <v>1379</v>
      </c>
      <c r="B1440" s="1763">
        <f>'Expenditures 15-22'!D275</f>
        <v>0</v>
      </c>
      <c r="D1440" s="2" t="str">
        <f t="shared" si="21"/>
        <v>Error?</v>
      </c>
    </row>
    <row r="1441" spans="1:4" x14ac:dyDescent="0.2">
      <c r="A1441" s="10">
        <v>1380</v>
      </c>
      <c r="B1441" s="1763"/>
      <c r="D1441" s="2" t="str">
        <f t="shared" si="21"/>
        <v>OK</v>
      </c>
    </row>
    <row r="1442" spans="1:4" x14ac:dyDescent="0.2">
      <c r="A1442" s="5">
        <v>1381</v>
      </c>
      <c r="B1442" s="1763">
        <f>'Expenditures 15-22'!D276</f>
        <v>0</v>
      </c>
      <c r="D1442" s="2" t="str">
        <f t="shared" si="21"/>
        <v>Error?</v>
      </c>
    </row>
    <row r="1443" spans="1:4" x14ac:dyDescent="0.2">
      <c r="A1443" s="10">
        <v>1382</v>
      </c>
      <c r="B1443" s="1763"/>
      <c r="D1443" s="2" t="str">
        <f t="shared" si="21"/>
        <v>OK</v>
      </c>
    </row>
    <row r="1444" spans="1:4" x14ac:dyDescent="0.2">
      <c r="A1444" s="5">
        <v>1383</v>
      </c>
      <c r="B1444" s="1763">
        <f>'Expenditures 15-22'!D277</f>
        <v>0</v>
      </c>
      <c r="C1444" s="2" t="s">
        <v>569</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264992</v>
      </c>
      <c r="C1446" s="2" t="s">
        <v>569</v>
      </c>
      <c r="D1446" s="2" t="str">
        <f t="shared" si="21"/>
        <v>Error?</v>
      </c>
    </row>
    <row r="1447" spans="1:4" x14ac:dyDescent="0.2">
      <c r="A1447" s="5">
        <v>1386</v>
      </c>
      <c r="B1447" s="1763">
        <f>'Expenditures 15-22'!D280</f>
        <v>0</v>
      </c>
      <c r="D1447" s="2" t="str">
        <f t="shared" si="21"/>
        <v>Error?</v>
      </c>
    </row>
    <row r="1448" spans="1:4" x14ac:dyDescent="0.2">
      <c r="A1448" s="5">
        <v>1387</v>
      </c>
      <c r="B1448" s="1763">
        <f>'Expenditures 15-22'!D295</f>
        <v>338670</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0</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5022</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0</v>
      </c>
      <c r="C1471" s="2" t="s">
        <v>569</v>
      </c>
      <c r="D1471" s="2" t="str">
        <f t="shared" ref="D1471:D1534" si="22">IF(ISBLANK(B1471),"OK",IF(A1471-B1471=0,"OK","Error?"))</f>
        <v>Error?</v>
      </c>
    </row>
    <row r="1472" spans="1:4" x14ac:dyDescent="0.2">
      <c r="A1472" s="5">
        <v>1411</v>
      </c>
      <c r="B1472" s="1763">
        <f>'Expenditures 15-22'!K223</f>
        <v>677</v>
      </c>
      <c r="C1472" s="2" t="s">
        <v>569</v>
      </c>
      <c r="D1472" s="2" t="str">
        <f t="shared" si="22"/>
        <v>Error?</v>
      </c>
    </row>
    <row r="1473" spans="1:4" x14ac:dyDescent="0.2">
      <c r="A1473" s="5">
        <v>1412</v>
      </c>
      <c r="B1473" s="1763">
        <f>'Expenditures 15-22'!K224</f>
        <v>0</v>
      </c>
      <c r="C1473" s="2" t="s">
        <v>569</v>
      </c>
      <c r="D1473" s="2" t="str">
        <f t="shared" si="22"/>
        <v>Error?</v>
      </c>
    </row>
    <row r="1474" spans="1:4" x14ac:dyDescent="0.2">
      <c r="A1474" s="5">
        <v>1413</v>
      </c>
      <c r="B1474" s="1763">
        <f>'Expenditures 15-22'!K229</f>
        <v>73678</v>
      </c>
      <c r="C1474" s="2" t="s">
        <v>569</v>
      </c>
      <c r="D1474" s="2" t="str">
        <f t="shared" si="22"/>
        <v>Error?</v>
      </c>
    </row>
    <row r="1475" spans="1:4" x14ac:dyDescent="0.2">
      <c r="A1475" s="5">
        <v>1414</v>
      </c>
      <c r="B1475" s="1763">
        <f>'Expenditures 15-22'!K232</f>
        <v>966</v>
      </c>
      <c r="C1475" s="2" t="s">
        <v>569</v>
      </c>
      <c r="D1475" s="2" t="str">
        <f t="shared" si="22"/>
        <v>Error?</v>
      </c>
    </row>
    <row r="1476" spans="1:4" x14ac:dyDescent="0.2">
      <c r="A1476" s="5">
        <v>1415</v>
      </c>
      <c r="B1476" s="1763">
        <f>'Expenditures 15-22'!K233</f>
        <v>0</v>
      </c>
      <c r="C1476" s="2" t="s">
        <v>569</v>
      </c>
      <c r="D1476" s="2" t="str">
        <f t="shared" si="22"/>
        <v>Error?</v>
      </c>
    </row>
    <row r="1477" spans="1:4" x14ac:dyDescent="0.2">
      <c r="A1477" s="5">
        <v>1416</v>
      </c>
      <c r="B1477" s="1763">
        <f>'Expenditures 15-22'!K234</f>
        <v>22979</v>
      </c>
      <c r="C1477" s="2" t="s">
        <v>569</v>
      </c>
      <c r="D1477" s="2" t="str">
        <f t="shared" si="22"/>
        <v>Error?</v>
      </c>
    </row>
    <row r="1478" spans="1:4" x14ac:dyDescent="0.2">
      <c r="A1478" s="5">
        <v>1417</v>
      </c>
      <c r="B1478" s="1763">
        <f>'Expenditures 15-22'!K235</f>
        <v>0</v>
      </c>
      <c r="C1478" s="2" t="s">
        <v>569</v>
      </c>
      <c r="D1478" s="2" t="str">
        <f t="shared" si="22"/>
        <v>Error?</v>
      </c>
    </row>
    <row r="1479" spans="1:4" x14ac:dyDescent="0.2">
      <c r="A1479" s="5">
        <v>1418</v>
      </c>
      <c r="B1479" s="1763">
        <f>'Expenditures 15-22'!K236</f>
        <v>0</v>
      </c>
      <c r="C1479" s="2" t="s">
        <v>569</v>
      </c>
      <c r="D1479" s="2" t="str">
        <f t="shared" si="22"/>
        <v>Error?</v>
      </c>
    </row>
    <row r="1480" spans="1:4" x14ac:dyDescent="0.2">
      <c r="A1480" s="5">
        <v>1419</v>
      </c>
      <c r="B1480" s="1763">
        <f>'Expenditures 15-22'!K237</f>
        <v>0</v>
      </c>
      <c r="C1480" s="2" t="s">
        <v>569</v>
      </c>
      <c r="D1480" s="2" t="str">
        <f t="shared" si="22"/>
        <v>Error?</v>
      </c>
    </row>
    <row r="1481" spans="1:4" x14ac:dyDescent="0.2">
      <c r="A1481" s="5">
        <v>1420</v>
      </c>
      <c r="B1481" s="1763">
        <f>'Expenditures 15-22'!K238</f>
        <v>23945</v>
      </c>
      <c r="C1481" s="2" t="s">
        <v>569</v>
      </c>
      <c r="D1481" s="2" t="str">
        <f t="shared" si="22"/>
        <v>Error?</v>
      </c>
    </row>
    <row r="1482" spans="1:4" x14ac:dyDescent="0.2">
      <c r="A1482" s="5">
        <v>1421</v>
      </c>
      <c r="B1482" s="1763">
        <f>'Expenditures 15-22'!K240</f>
        <v>0</v>
      </c>
      <c r="C1482" s="2" t="s">
        <v>569</v>
      </c>
      <c r="D1482" s="2" t="str">
        <f t="shared" si="22"/>
        <v>Error?</v>
      </c>
    </row>
    <row r="1483" spans="1:4" x14ac:dyDescent="0.2">
      <c r="A1483" s="5">
        <v>1422</v>
      </c>
      <c r="B1483" s="1763">
        <f>'Expenditures 15-22'!K241</f>
        <v>27565</v>
      </c>
      <c r="C1483" s="2" t="s">
        <v>569</v>
      </c>
      <c r="D1483" s="2" t="str">
        <f t="shared" si="22"/>
        <v>Error?</v>
      </c>
    </row>
    <row r="1484" spans="1:4" x14ac:dyDescent="0.2">
      <c r="A1484" s="5">
        <v>1423</v>
      </c>
      <c r="B1484" s="1763">
        <f>'Expenditures 15-22'!K242</f>
        <v>0</v>
      </c>
      <c r="C1484" s="2" t="s">
        <v>569</v>
      </c>
      <c r="D1484" s="2" t="str">
        <f t="shared" si="22"/>
        <v>Error?</v>
      </c>
    </row>
    <row r="1485" spans="1:4" x14ac:dyDescent="0.2">
      <c r="A1485" s="5">
        <v>1424</v>
      </c>
      <c r="B1485" s="1763">
        <f>'Expenditures 15-22'!K243</f>
        <v>27565</v>
      </c>
      <c r="C1485" s="2" t="s">
        <v>569</v>
      </c>
      <c r="D1485" s="2" t="str">
        <f t="shared" si="22"/>
        <v>Error?</v>
      </c>
    </row>
    <row r="1486" spans="1:4" x14ac:dyDescent="0.2">
      <c r="A1486" s="5">
        <v>1425</v>
      </c>
      <c r="B1486" s="1763">
        <f>'Expenditures 15-22'!K245</f>
        <v>0</v>
      </c>
      <c r="C1486" s="2" t="s">
        <v>569</v>
      </c>
      <c r="D1486" s="2" t="str">
        <f t="shared" si="22"/>
        <v>Error?</v>
      </c>
    </row>
    <row r="1487" spans="1:4" x14ac:dyDescent="0.2">
      <c r="A1487" s="5">
        <v>1426</v>
      </c>
      <c r="B1487" s="1763">
        <f>'Expenditures 15-22'!K246</f>
        <v>10259</v>
      </c>
      <c r="C1487" s="2" t="s">
        <v>569</v>
      </c>
      <c r="D1487" s="2" t="str">
        <f t="shared" si="22"/>
        <v>Error?</v>
      </c>
    </row>
    <row r="1488" spans="1:4" x14ac:dyDescent="0.2">
      <c r="A1488" s="5">
        <v>1427</v>
      </c>
      <c r="B1488" s="1763">
        <f>'Expenditures 15-22'!K257</f>
        <v>10259</v>
      </c>
      <c r="C1488" s="2" t="s">
        <v>569</v>
      </c>
      <c r="D1488" s="2" t="str">
        <f t="shared" si="22"/>
        <v>Error?</v>
      </c>
    </row>
    <row r="1489" spans="1:4" x14ac:dyDescent="0.2">
      <c r="A1489" s="5">
        <v>1428</v>
      </c>
      <c r="B1489" s="1763">
        <f>'Expenditures 15-22'!K259</f>
        <v>22608</v>
      </c>
      <c r="C1489" s="2" t="s">
        <v>569</v>
      </c>
      <c r="D1489" s="2" t="str">
        <f t="shared" si="22"/>
        <v>Error?</v>
      </c>
    </row>
    <row r="1490" spans="1:4" x14ac:dyDescent="0.2">
      <c r="A1490" s="5">
        <v>1429</v>
      </c>
      <c r="B1490" s="1763">
        <f>'Expenditures 15-22'!K260</f>
        <v>0</v>
      </c>
      <c r="C1490" s="2" t="s">
        <v>569</v>
      </c>
      <c r="D1490" s="2" t="str">
        <f t="shared" si="22"/>
        <v>Error?</v>
      </c>
    </row>
    <row r="1491" spans="1:4" x14ac:dyDescent="0.2">
      <c r="A1491" s="5">
        <v>1430</v>
      </c>
      <c r="B1491" s="1763">
        <f>'Expenditures 15-22'!K261</f>
        <v>22608</v>
      </c>
      <c r="C1491" s="2" t="s">
        <v>569</v>
      </c>
      <c r="D1491" s="2" t="str">
        <f t="shared" si="22"/>
        <v>Error?</v>
      </c>
    </row>
    <row r="1492" spans="1:4" x14ac:dyDescent="0.2">
      <c r="A1492" s="5">
        <v>1431</v>
      </c>
      <c r="B1492" s="1763">
        <f>'Expenditures 15-22'!K263</f>
        <v>0</v>
      </c>
      <c r="C1492" s="2" t="s">
        <v>569</v>
      </c>
      <c r="D1492" s="2" t="str">
        <f t="shared" si="22"/>
        <v>Error?</v>
      </c>
    </row>
    <row r="1493" spans="1:4" x14ac:dyDescent="0.2">
      <c r="A1493" s="5">
        <v>1432</v>
      </c>
      <c r="B1493" s="1763">
        <f>'Expenditures 15-22'!K264</f>
        <v>20558</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91317</v>
      </c>
      <c r="C1495" s="2" t="s">
        <v>569</v>
      </c>
      <c r="D1495" s="2" t="str">
        <f t="shared" si="22"/>
        <v>Error?</v>
      </c>
    </row>
    <row r="1496" spans="1:4" x14ac:dyDescent="0.2">
      <c r="A1496" s="5">
        <v>1435</v>
      </c>
      <c r="B1496" s="1763">
        <f>'Expenditures 15-22'!K267</f>
        <v>28072</v>
      </c>
      <c r="C1496" s="2" t="s">
        <v>569</v>
      </c>
      <c r="D1496" s="2" t="str">
        <f t="shared" si="22"/>
        <v>Error?</v>
      </c>
    </row>
    <row r="1497" spans="1:4" x14ac:dyDescent="0.2">
      <c r="A1497" s="5">
        <v>1436</v>
      </c>
      <c r="B1497" s="1763">
        <f>'Expenditures 15-22'!K268</f>
        <v>40668</v>
      </c>
      <c r="C1497" s="2" t="s">
        <v>569</v>
      </c>
      <c r="D1497" s="2" t="str">
        <f t="shared" si="22"/>
        <v>Error?</v>
      </c>
    </row>
    <row r="1498" spans="1:4" x14ac:dyDescent="0.2">
      <c r="A1498" s="5">
        <v>1437</v>
      </c>
      <c r="B1498" s="1763">
        <f>'Expenditures 15-22'!K269</f>
        <v>0</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180615</v>
      </c>
      <c r="C1500" s="2" t="s">
        <v>569</v>
      </c>
      <c r="D1500" s="2" t="str">
        <f t="shared" si="22"/>
        <v>Error?</v>
      </c>
    </row>
    <row r="1501" spans="1:4" x14ac:dyDescent="0.2">
      <c r="A1501" s="5">
        <v>1440</v>
      </c>
      <c r="B1501" s="1763">
        <f>'Expenditures 15-22'!K272</f>
        <v>0</v>
      </c>
      <c r="C1501" s="2" t="s">
        <v>569</v>
      </c>
      <c r="D1501" s="2" t="str">
        <f t="shared" si="22"/>
        <v>Error?</v>
      </c>
    </row>
    <row r="1502" spans="1:4" x14ac:dyDescent="0.2">
      <c r="A1502" s="5">
        <v>1441</v>
      </c>
      <c r="B1502" s="1763">
        <f>'Expenditures 15-22'!K273</f>
        <v>0</v>
      </c>
      <c r="C1502" s="2" t="s">
        <v>569</v>
      </c>
      <c r="D1502" s="2" t="str">
        <f t="shared" si="22"/>
        <v>Error?</v>
      </c>
    </row>
    <row r="1503" spans="1:4" x14ac:dyDescent="0.2">
      <c r="A1503" s="5">
        <v>1442</v>
      </c>
      <c r="B1503" s="1763">
        <f>'Expenditures 15-22'!K274</f>
        <v>0</v>
      </c>
      <c r="C1503" s="2" t="s">
        <v>569</v>
      </c>
      <c r="D1503" s="2" t="str">
        <f t="shared" si="22"/>
        <v>Error?</v>
      </c>
    </row>
    <row r="1504" spans="1:4" x14ac:dyDescent="0.2">
      <c r="A1504" s="5">
        <v>1443</v>
      </c>
      <c r="B1504" s="1763">
        <f>'Expenditures 15-22'!K275</f>
        <v>0</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0</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0</v>
      </c>
      <c r="C1508" s="2" t="s">
        <v>569</v>
      </c>
      <c r="D1508" s="2" t="str">
        <f t="shared" si="22"/>
        <v>Error?</v>
      </c>
    </row>
    <row r="1509" spans="1:4" x14ac:dyDescent="0.2">
      <c r="A1509" s="5">
        <v>1448</v>
      </c>
      <c r="B1509" s="1763">
        <f>'Expenditures 15-22'!K278</f>
        <v>0</v>
      </c>
      <c r="C1509" s="2" t="s">
        <v>569</v>
      </c>
      <c r="D1509" s="2" t="str">
        <f t="shared" si="22"/>
        <v>Error?</v>
      </c>
    </row>
    <row r="1510" spans="1:4" x14ac:dyDescent="0.2">
      <c r="A1510" s="5">
        <v>1449</v>
      </c>
      <c r="B1510" s="1763">
        <f>'Expenditures 15-22'!K279</f>
        <v>264992</v>
      </c>
      <c r="C1510" s="2" t="s">
        <v>569</v>
      </c>
      <c r="D1510" s="2" t="str">
        <f t="shared" si="22"/>
        <v>Error?</v>
      </c>
    </row>
    <row r="1511" spans="1:4" x14ac:dyDescent="0.2">
      <c r="A1511" s="5">
        <v>1450</v>
      </c>
      <c r="B1511" s="1763">
        <f>'Expenditures 15-22'!K280</f>
        <v>0</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338670</v>
      </c>
      <c r="C1517" s="2" t="s">
        <v>569</v>
      </c>
      <c r="D1517" s="2" t="str">
        <f t="shared" si="22"/>
        <v>Error?</v>
      </c>
    </row>
    <row r="1518" spans="1:4" x14ac:dyDescent="0.2">
      <c r="A1518" s="5">
        <v>1457</v>
      </c>
      <c r="B1518" s="1763">
        <f>'Expenditures 15-22'!K296</f>
        <v>190290</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0</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0</v>
      </c>
      <c r="C1535" s="2" t="s">
        <v>569</v>
      </c>
      <c r="D1535" s="2" t="str">
        <f t="shared" ref="D1535:D1598" si="23">IF(ISBLANK(B1535),"OK",IF(A1535-B1535=0,"OK","Error?"))</f>
        <v>Error?</v>
      </c>
    </row>
    <row r="1536" spans="1:4" x14ac:dyDescent="0.2">
      <c r="A1536" s="5">
        <v>1475</v>
      </c>
      <c r="B1536" s="1763">
        <f>'Expenditures 15-22'!E312</f>
        <v>0</v>
      </c>
      <c r="C1536" s="2" t="s">
        <v>569</v>
      </c>
      <c r="D1536" s="2" t="str">
        <f t="shared" si="23"/>
        <v>Error?</v>
      </c>
    </row>
    <row r="1537" spans="1:4" x14ac:dyDescent="0.2">
      <c r="A1537" s="5">
        <v>1476</v>
      </c>
      <c r="B1537" s="1763">
        <f>'Expenditures 15-22'!F301</f>
        <v>0</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0</v>
      </c>
      <c r="C1541" s="2" t="s">
        <v>569</v>
      </c>
      <c r="D1541" s="2" t="str">
        <f t="shared" si="23"/>
        <v>Error?</v>
      </c>
    </row>
    <row r="1542" spans="1:4" x14ac:dyDescent="0.2">
      <c r="A1542" s="5">
        <v>1481</v>
      </c>
      <c r="B1542" s="1763">
        <f>'Expenditures 15-22'!F312</f>
        <v>0</v>
      </c>
      <c r="C1542" s="2" t="s">
        <v>569</v>
      </c>
      <c r="D1542" s="2" t="str">
        <f t="shared" si="23"/>
        <v>Error?</v>
      </c>
    </row>
    <row r="1543" spans="1:4" x14ac:dyDescent="0.2">
      <c r="A1543" s="5">
        <v>1482</v>
      </c>
      <c r="B1543" s="1763">
        <f>'Expenditures 15-22'!G301</f>
        <v>59881</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59881</v>
      </c>
      <c r="C1547" s="2" t="s">
        <v>569</v>
      </c>
      <c r="D1547" s="2" t="str">
        <f t="shared" si="23"/>
        <v>Error?</v>
      </c>
    </row>
    <row r="1548" spans="1:4" x14ac:dyDescent="0.2">
      <c r="A1548" s="5">
        <v>1487</v>
      </c>
      <c r="B1548" s="1763">
        <f>'Expenditures 15-22'!G312</f>
        <v>59881</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59881</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59881</v>
      </c>
      <c r="C1559" s="2" t="s">
        <v>569</v>
      </c>
      <c r="D1559" s="2" t="str">
        <f t="shared" si="23"/>
        <v>Error?</v>
      </c>
    </row>
    <row r="1560" spans="1:4" x14ac:dyDescent="0.2">
      <c r="A1560" s="5">
        <v>1499</v>
      </c>
      <c r="B1560" s="1763">
        <f>'Expenditures 15-22'!K312</f>
        <v>59881</v>
      </c>
      <c r="C1560" s="2" t="s">
        <v>569</v>
      </c>
      <c r="D1560" s="2" t="str">
        <f t="shared" si="23"/>
        <v>Error?</v>
      </c>
    </row>
    <row r="1561" spans="1:4" x14ac:dyDescent="0.2">
      <c r="A1561" s="5">
        <v>1500</v>
      </c>
      <c r="B1561" s="1763">
        <f>'Expenditures 15-22'!K313</f>
        <v>-59881</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6665103</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6895028</v>
      </c>
      <c r="C1630" s="2" t="s">
        <v>569</v>
      </c>
      <c r="D1630" s="2" t="str">
        <f t="shared" si="24"/>
        <v>Error?</v>
      </c>
    </row>
    <row r="1631" spans="1:4" x14ac:dyDescent="0.2">
      <c r="A1631" s="5">
        <v>1570</v>
      </c>
      <c r="B1631" s="1763">
        <f>'Acct Summary 7-8'!D79</f>
        <v>1683896</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1654154</v>
      </c>
      <c r="C1644" s="2" t="s">
        <v>569</v>
      </c>
      <c r="D1644" s="2" t="str">
        <f t="shared" si="24"/>
        <v>Error?</v>
      </c>
    </row>
    <row r="1645" spans="1:4" x14ac:dyDescent="0.2">
      <c r="A1645" s="5">
        <v>1584</v>
      </c>
      <c r="B1645" s="1763">
        <f>'Acct Summary 7-8'!E79</f>
        <v>499176</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520151</v>
      </c>
      <c r="C1658" s="2" t="s">
        <v>569</v>
      </c>
      <c r="D1658" s="2" t="str">
        <f t="shared" si="24"/>
        <v>Error?</v>
      </c>
    </row>
    <row r="1659" spans="1:4" x14ac:dyDescent="0.2">
      <c r="A1659" s="5">
        <v>1598</v>
      </c>
      <c r="B1659" s="1763">
        <f>'Acct Summary 7-8'!F79</f>
        <v>928774</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1142359</v>
      </c>
      <c r="C1672" s="2" t="s">
        <v>569</v>
      </c>
      <c r="D1672" s="2" t="str">
        <f t="shared" si="25"/>
        <v>Error?</v>
      </c>
    </row>
    <row r="1673" spans="1:4" x14ac:dyDescent="0.2">
      <c r="A1673" s="5">
        <v>1612</v>
      </c>
      <c r="B1673" s="1763">
        <f>'Acct Summary 7-8'!G79</f>
        <v>615741</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806031</v>
      </c>
      <c r="C1686" s="2" t="s">
        <v>569</v>
      </c>
      <c r="D1686" s="2" t="str">
        <f t="shared" si="25"/>
        <v>Error?</v>
      </c>
    </row>
    <row r="1687" spans="1:4" x14ac:dyDescent="0.2">
      <c r="A1687" s="5">
        <v>1626</v>
      </c>
      <c r="B1687" s="1763">
        <f>'Acct Summary 7-8'!H79</f>
        <v>351179</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291298</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12829323</v>
      </c>
      <c r="C1744" s="2" t="s">
        <v>569</v>
      </c>
      <c r="D1744" s="2" t="str">
        <f t="shared" si="26"/>
        <v>Error?</v>
      </c>
    </row>
    <row r="1745" spans="1:5" x14ac:dyDescent="0.2">
      <c r="A1745" s="5">
        <v>1684</v>
      </c>
      <c r="B1745" s="1763">
        <f>'Tax Sched 23'!B5</f>
        <v>918951</v>
      </c>
      <c r="C1745" s="2" t="s">
        <v>569</v>
      </c>
      <c r="D1745" s="2" t="str">
        <f t="shared" si="26"/>
        <v>Error?</v>
      </c>
    </row>
    <row r="1746" spans="1:5" x14ac:dyDescent="0.2">
      <c r="A1746" s="5">
        <v>1685</v>
      </c>
      <c r="B1746" s="1763">
        <f>'Tax Sched 23'!B6</f>
        <v>799800</v>
      </c>
      <c r="C1746" s="2" t="s">
        <v>569</v>
      </c>
      <c r="D1746" s="2" t="str">
        <f t="shared" si="26"/>
        <v>Error?</v>
      </c>
    </row>
    <row r="1747" spans="1:5" x14ac:dyDescent="0.2">
      <c r="A1747" s="5">
        <v>1686</v>
      </c>
      <c r="B1747" s="1763">
        <f>'Tax Sched 23'!B7</f>
        <v>589554</v>
      </c>
      <c r="C1747" s="2" t="s">
        <v>569</v>
      </c>
      <c r="D1747" s="2" t="str">
        <f t="shared" si="26"/>
        <v>Error?</v>
      </c>
    </row>
    <row r="1748" spans="1:5" x14ac:dyDescent="0.2">
      <c r="A1748" s="5">
        <v>1687</v>
      </c>
      <c r="B1748" s="1763">
        <f>'Tax Sched 23'!B8</f>
        <v>258877</v>
      </c>
      <c r="C1748" s="2" t="s">
        <v>569</v>
      </c>
      <c r="D1748" s="2" t="str">
        <f t="shared" si="26"/>
        <v>Error?</v>
      </c>
    </row>
    <row r="1749" spans="1:5" x14ac:dyDescent="0.2">
      <c r="A1749" s="5">
        <v>1688</v>
      </c>
      <c r="B1749" s="1763">
        <f>'Tax Sched 23'!B10</f>
        <v>0</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0</v>
      </c>
      <c r="C1752" s="2" t="s">
        <v>569</v>
      </c>
      <c r="D1752" s="2" t="str">
        <f t="shared" si="26"/>
        <v>Error?</v>
      </c>
    </row>
    <row r="1753" spans="1:5" x14ac:dyDescent="0.2">
      <c r="A1753" s="5">
        <v>1692</v>
      </c>
      <c r="B1753" s="1763">
        <f>'Tax Sched 23'!B12</f>
        <v>0</v>
      </c>
      <c r="C1753" s="2" t="s">
        <v>569</v>
      </c>
      <c r="D1753" s="2" t="str">
        <f t="shared" si="26"/>
        <v>Error?</v>
      </c>
    </row>
    <row r="1754" spans="1:5" x14ac:dyDescent="0.2">
      <c r="A1754" s="5">
        <v>1693</v>
      </c>
      <c r="B1754" s="1763">
        <f>'Tax Sched 23'!B14</f>
        <v>103861</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15758207</v>
      </c>
      <c r="C1759" s="2" t="s">
        <v>569</v>
      </c>
      <c r="D1759" s="2" t="str">
        <f t="shared" si="26"/>
        <v>Error?</v>
      </c>
    </row>
    <row r="1760" spans="1:5" x14ac:dyDescent="0.2">
      <c r="A1760" s="5">
        <v>1699</v>
      </c>
      <c r="B1760" s="1763">
        <f>'Tax Sched 23'!D4</f>
        <v>6179504</v>
      </c>
      <c r="C1760" s="2" t="s">
        <v>569</v>
      </c>
      <c r="D1760" s="2" t="str">
        <f t="shared" si="26"/>
        <v>Error?</v>
      </c>
    </row>
    <row r="1761" spans="1:7" x14ac:dyDescent="0.2">
      <c r="A1761" s="5">
        <v>1700</v>
      </c>
      <c r="B1761" s="1763">
        <f>'Tax Sched 23'!D5</f>
        <v>449853</v>
      </c>
      <c r="C1761" s="2" t="s">
        <v>569</v>
      </c>
      <c r="D1761" s="2" t="str">
        <f t="shared" si="26"/>
        <v>Error?</v>
      </c>
    </row>
    <row r="1762" spans="1:7" s="8" customFormat="1" x14ac:dyDescent="0.2">
      <c r="A1762" s="5">
        <v>1701</v>
      </c>
      <c r="B1762" s="1763">
        <f>'Tax Sched 23'!D6</f>
        <v>387026</v>
      </c>
      <c r="C1762" s="2" t="s">
        <v>569</v>
      </c>
      <c r="D1762" s="2" t="str">
        <f t="shared" si="26"/>
        <v>Error?</v>
      </c>
      <c r="E1762" s="9"/>
      <c r="G1762"/>
    </row>
    <row r="1763" spans="1:7" x14ac:dyDescent="0.2">
      <c r="A1763" s="5">
        <v>1702</v>
      </c>
      <c r="B1763" s="1763">
        <f>'Tax Sched 23'!D7</f>
        <v>288613</v>
      </c>
      <c r="C1763" s="2" t="s">
        <v>569</v>
      </c>
      <c r="D1763" s="2" t="str">
        <f t="shared" si="26"/>
        <v>Error?</v>
      </c>
    </row>
    <row r="1764" spans="1:7" x14ac:dyDescent="0.2">
      <c r="A1764" s="5">
        <v>1703</v>
      </c>
      <c r="B1764" s="1763">
        <f>'Tax Sched 23'!D8</f>
        <v>126637</v>
      </c>
      <c r="C1764" s="2" t="s">
        <v>569</v>
      </c>
      <c r="D1764" s="2" t="str">
        <f t="shared" si="26"/>
        <v>Error?</v>
      </c>
    </row>
    <row r="1765" spans="1:7" x14ac:dyDescent="0.2">
      <c r="A1765" s="5">
        <v>1704</v>
      </c>
      <c r="B1765" s="1763">
        <f>'Tax Sched 23'!D10</f>
        <v>0</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0</v>
      </c>
      <c r="C1768" s="2" t="s">
        <v>569</v>
      </c>
      <c r="D1768" s="2" t="str">
        <f t="shared" si="26"/>
        <v>Error?</v>
      </c>
    </row>
    <row r="1769" spans="1:7" x14ac:dyDescent="0.2">
      <c r="A1769" s="5">
        <v>1708</v>
      </c>
      <c r="B1769" s="1763">
        <f>'Tax Sched 23'!D12</f>
        <v>0</v>
      </c>
      <c r="C1769" s="2" t="s">
        <v>569</v>
      </c>
      <c r="D1769" s="2" t="str">
        <f t="shared" si="26"/>
        <v>Error?</v>
      </c>
    </row>
    <row r="1770" spans="1:7" x14ac:dyDescent="0.2">
      <c r="A1770" s="5">
        <v>1709</v>
      </c>
      <c r="B1770" s="1763">
        <f>'Tax Sched 23'!D14</f>
        <v>50802</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7608580</v>
      </c>
      <c r="C1775" s="2" t="s">
        <v>569</v>
      </c>
      <c r="D1775" s="2" t="str">
        <f t="shared" si="26"/>
        <v>Error?</v>
      </c>
    </row>
    <row r="1776" spans="1:7" x14ac:dyDescent="0.2">
      <c r="A1776" s="5">
        <v>1715</v>
      </c>
      <c r="B1776" s="1763">
        <f>'Tax Sched 23'!C4</f>
        <v>6649819</v>
      </c>
      <c r="D1776" s="2" t="str">
        <f t="shared" si="26"/>
        <v>Error?</v>
      </c>
    </row>
    <row r="1777" spans="1:4" x14ac:dyDescent="0.2">
      <c r="A1777" s="5">
        <v>1716</v>
      </c>
      <c r="B1777" s="1763">
        <f>'Tax Sched 23'!C5</f>
        <v>469098</v>
      </c>
      <c r="D1777" s="2" t="str">
        <f t="shared" si="26"/>
        <v>Error?</v>
      </c>
    </row>
    <row r="1778" spans="1:4" x14ac:dyDescent="0.2">
      <c r="A1778" s="5">
        <v>1717</v>
      </c>
      <c r="B1778" s="1763">
        <f>'Tax Sched 23'!C6</f>
        <v>412774</v>
      </c>
      <c r="D1778" s="2" t="str">
        <f t="shared" si="26"/>
        <v>Error?</v>
      </c>
    </row>
    <row r="1779" spans="1:4" x14ac:dyDescent="0.2">
      <c r="A1779" s="5">
        <v>1718</v>
      </c>
      <c r="B1779" s="1763">
        <f>'Tax Sched 23'!C7</f>
        <v>300941</v>
      </c>
      <c r="D1779" s="2" t="str">
        <f t="shared" si="26"/>
        <v>Error?</v>
      </c>
    </row>
    <row r="1780" spans="1:4" x14ac:dyDescent="0.2">
      <c r="A1780" s="5">
        <v>1719</v>
      </c>
      <c r="B1780" s="1763">
        <f>'Tax Sched 23'!C8</f>
        <v>132240</v>
      </c>
      <c r="D1780" s="2" t="str">
        <f t="shared" si="26"/>
        <v>Error?</v>
      </c>
    </row>
    <row r="1781" spans="1:4" x14ac:dyDescent="0.2">
      <c r="A1781" s="5">
        <v>1720</v>
      </c>
      <c r="B1781" s="1763">
        <f>'Tax Sched 23'!C10</f>
        <v>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0</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53059</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8149627</v>
      </c>
      <c r="C1791" s="2" t="s">
        <v>569</v>
      </c>
      <c r="D1791" s="2" t="str">
        <f t="shared" ref="D1791:D1854" si="27">IF(ISBLANK(B1791),"OK",IF(A1791-B1791=0,"OK","Error?"))</f>
        <v>Error?</v>
      </c>
    </row>
    <row r="1792" spans="1:4" x14ac:dyDescent="0.2">
      <c r="A1792" s="5">
        <v>1731</v>
      </c>
      <c r="B1792" s="1763">
        <f>'Tax Sched 23'!F4</f>
        <v>6313637</v>
      </c>
      <c r="C1792" s="2" t="s">
        <v>569</v>
      </c>
      <c r="D1792" s="2" t="str">
        <f t="shared" si="27"/>
        <v>Error?</v>
      </c>
    </row>
    <row r="1793" spans="1:4" x14ac:dyDescent="0.2">
      <c r="A1793" s="5">
        <v>1732</v>
      </c>
      <c r="B1793" s="1763">
        <f>'Tax Sched 23'!F5</f>
        <v>445383</v>
      </c>
      <c r="C1793" s="2" t="s">
        <v>569</v>
      </c>
      <c r="D1793" s="2" t="str">
        <f t="shared" si="27"/>
        <v>Error?</v>
      </c>
    </row>
    <row r="1794" spans="1:4" x14ac:dyDescent="0.2">
      <c r="A1794" s="5">
        <v>1733</v>
      </c>
      <c r="B1794" s="1763">
        <f>'Tax Sched 23'!F6</f>
        <v>391906</v>
      </c>
      <c r="C1794" s="2" t="s">
        <v>569</v>
      </c>
      <c r="D1794" s="2" t="str">
        <f t="shared" si="27"/>
        <v>Error?</v>
      </c>
    </row>
    <row r="1795" spans="1:4" x14ac:dyDescent="0.2">
      <c r="A1795" s="5">
        <v>1734</v>
      </c>
      <c r="B1795" s="1763">
        <f>'Tax Sched 23'!F7</f>
        <v>285727</v>
      </c>
      <c r="C1795" s="2" t="s">
        <v>569</v>
      </c>
      <c r="D1795" s="2" t="str">
        <f t="shared" si="27"/>
        <v>Error?</v>
      </c>
    </row>
    <row r="1796" spans="1:4" x14ac:dyDescent="0.2">
      <c r="A1796" s="5">
        <v>1735</v>
      </c>
      <c r="B1796" s="1763">
        <f>'Tax Sched 23'!F8</f>
        <v>125555</v>
      </c>
      <c r="C1796" s="2" t="s">
        <v>569</v>
      </c>
      <c r="D1796" s="2" t="str">
        <f t="shared" si="27"/>
        <v>Error?</v>
      </c>
    </row>
    <row r="1797" spans="1:4" x14ac:dyDescent="0.2">
      <c r="A1797" s="5">
        <v>1736</v>
      </c>
      <c r="B1797" s="1763">
        <f>'Tax Sched 23'!F10</f>
        <v>0</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0</v>
      </c>
      <c r="C1800" s="2" t="s">
        <v>569</v>
      </c>
      <c r="D1800" s="2" t="str">
        <f t="shared" si="27"/>
        <v>Error?</v>
      </c>
    </row>
    <row r="1801" spans="1:4" x14ac:dyDescent="0.2">
      <c r="A1801" s="5">
        <v>1740</v>
      </c>
      <c r="B1801" s="1763">
        <f>'Tax Sched 23'!F12</f>
        <v>0</v>
      </c>
      <c r="C1801" s="2" t="s">
        <v>569</v>
      </c>
      <c r="D1801" s="2" t="str">
        <f t="shared" si="27"/>
        <v>Error?</v>
      </c>
    </row>
    <row r="1802" spans="1:4" x14ac:dyDescent="0.2">
      <c r="A1802" s="5">
        <v>1741</v>
      </c>
      <c r="B1802" s="1763">
        <f>'Tax Sched 23'!F14</f>
        <v>50377</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7737623</v>
      </c>
      <c r="C1807" s="2" t="s">
        <v>569</v>
      </c>
      <c r="D1807" s="2" t="str">
        <f t="shared" si="27"/>
        <v>Error?</v>
      </c>
    </row>
    <row r="1808" spans="1:4" x14ac:dyDescent="0.2">
      <c r="A1808" s="5">
        <v>1747</v>
      </c>
      <c r="B1808" s="1763">
        <f>'Tax Sched 23'!E4</f>
        <v>12963456</v>
      </c>
      <c r="D1808" s="2" t="str">
        <f t="shared" si="27"/>
        <v>Error?</v>
      </c>
    </row>
    <row r="1809" spans="1:4" x14ac:dyDescent="0.2">
      <c r="A1809" s="5">
        <v>1748</v>
      </c>
      <c r="B1809" s="1763">
        <f>'Tax Sched 23'!E5</f>
        <v>914481</v>
      </c>
      <c r="D1809" s="2" t="str">
        <f t="shared" si="27"/>
        <v>Error?</v>
      </c>
    </row>
    <row r="1810" spans="1:4" x14ac:dyDescent="0.2">
      <c r="A1810" s="5">
        <v>1749</v>
      </c>
      <c r="B1810" s="1763">
        <f>'Tax Sched 23'!E6</f>
        <v>804680</v>
      </c>
      <c r="D1810" s="2" t="str">
        <f t="shared" si="27"/>
        <v>Error?</v>
      </c>
    </row>
    <row r="1811" spans="1:4" x14ac:dyDescent="0.2">
      <c r="A1811" s="5">
        <v>1750</v>
      </c>
      <c r="B1811" s="1763">
        <f>'Tax Sched 23'!E7</f>
        <v>586668</v>
      </c>
      <c r="D1811" s="2" t="str">
        <f t="shared" si="27"/>
        <v>Error?</v>
      </c>
    </row>
    <row r="1812" spans="1:4" x14ac:dyDescent="0.2">
      <c r="A1812" s="5">
        <v>1751</v>
      </c>
      <c r="B1812" s="1763">
        <f>'Tax Sched 23'!E8</f>
        <v>257795</v>
      </c>
      <c r="D1812" s="2" t="str">
        <f t="shared" si="27"/>
        <v>Error?</v>
      </c>
    </row>
    <row r="1813" spans="1:4" x14ac:dyDescent="0.2">
      <c r="A1813" s="5">
        <v>1752</v>
      </c>
      <c r="B1813" s="1763">
        <f>'Tax Sched 23'!E10</f>
        <v>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0</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103436</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15887250</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3545000</v>
      </c>
      <c r="C1939" s="2" t="s">
        <v>569</v>
      </c>
      <c r="D1939" s="2" t="str">
        <f t="shared" si="29"/>
        <v>Error?</v>
      </c>
    </row>
    <row r="1940" spans="1:5" x14ac:dyDescent="0.2">
      <c r="A1940" s="5">
        <v>1879</v>
      </c>
      <c r="B1940" s="1763">
        <f>'Short-Term Long-Term Debt 24'!F49</f>
        <v>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103861</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103861</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103861</v>
      </c>
      <c r="C1982" s="2" t="s">
        <v>569</v>
      </c>
      <c r="D1982" s="2" t="str">
        <f t="shared" si="29"/>
        <v>Error?</v>
      </c>
    </row>
    <row r="1983" spans="1:5" x14ac:dyDescent="0.2">
      <c r="A1983" s="5">
        <v>1922</v>
      </c>
      <c r="B1983" s="1763">
        <f>'Rest Tax Levies-Tort Im 25'!H24</f>
        <v>0</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1658656</v>
      </c>
      <c r="D2008" s="2" t="str">
        <f t="shared" si="30"/>
        <v>Error?</v>
      </c>
    </row>
    <row r="2009" spans="1:4" x14ac:dyDescent="0.2">
      <c r="A2009" s="5">
        <v>1948</v>
      </c>
      <c r="B2009" s="1763">
        <f>'Cap Outlay Deprec 26'!C8</f>
        <v>25118420</v>
      </c>
      <c r="D2009" s="2" t="str">
        <f t="shared" si="30"/>
        <v>Error?</v>
      </c>
    </row>
    <row r="2010" spans="1:4" x14ac:dyDescent="0.2">
      <c r="A2010" s="5">
        <v>1949</v>
      </c>
      <c r="B2010" s="1763">
        <f>'Cap Outlay Deprec 26'!C10</f>
        <v>1063174</v>
      </c>
      <c r="D2010" s="2" t="str">
        <f t="shared" si="30"/>
        <v>Error?</v>
      </c>
    </row>
    <row r="2011" spans="1:4" x14ac:dyDescent="0.2">
      <c r="A2011" s="5">
        <v>1950</v>
      </c>
      <c r="B2011" s="1763">
        <f>'Cap Outlay Deprec 26'!C12</f>
        <v>0</v>
      </c>
      <c r="D2011" s="2" t="str">
        <f t="shared" si="30"/>
        <v>Error?</v>
      </c>
    </row>
    <row r="2012" spans="1:4" x14ac:dyDescent="0.2">
      <c r="A2012" s="5">
        <v>1951</v>
      </c>
      <c r="B2012" s="1763">
        <f>'Cap Outlay Deprec 26'!C13</f>
        <v>3188521</v>
      </c>
      <c r="D2012" s="2" t="str">
        <f t="shared" si="30"/>
        <v>Error?</v>
      </c>
    </row>
    <row r="2013" spans="1:4" x14ac:dyDescent="0.2">
      <c r="A2013" s="5">
        <v>1952</v>
      </c>
      <c r="B2013" s="1763">
        <f>'Cap Outlay Deprec 26'!C16</f>
        <v>31028771</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12700</v>
      </c>
      <c r="D2015" s="2" t="str">
        <f t="shared" si="30"/>
        <v>Error?</v>
      </c>
    </row>
    <row r="2016" spans="1:4" x14ac:dyDescent="0.2">
      <c r="A2016" s="5">
        <v>1955</v>
      </c>
      <c r="B2016" s="1763">
        <f>'Cap Outlay Deprec 26'!D10</f>
        <v>0</v>
      </c>
      <c r="D2016" s="2" t="str">
        <f t="shared" si="30"/>
        <v>Error?</v>
      </c>
    </row>
    <row r="2017" spans="1:4" x14ac:dyDescent="0.2">
      <c r="A2017" s="5">
        <v>1956</v>
      </c>
      <c r="B2017" s="1763">
        <f>'Cap Outlay Deprec 26'!D12</f>
        <v>0</v>
      </c>
      <c r="D2017" s="2" t="str">
        <f t="shared" si="30"/>
        <v>Error?</v>
      </c>
    </row>
    <row r="2018" spans="1:4" x14ac:dyDescent="0.2">
      <c r="A2018" s="5">
        <v>1957</v>
      </c>
      <c r="B2018" s="1763">
        <f>'Cap Outlay Deprec 26'!D13</f>
        <v>31465</v>
      </c>
      <c r="D2018" s="2" t="str">
        <f t="shared" si="30"/>
        <v>Error?</v>
      </c>
    </row>
    <row r="2019" spans="1:4" x14ac:dyDescent="0.2">
      <c r="A2019" s="5">
        <v>1958</v>
      </c>
      <c r="B2019" s="1763">
        <f>'Cap Outlay Deprec 26'!D16</f>
        <v>44165</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0</v>
      </c>
      <c r="C2025" s="2" t="s">
        <v>569</v>
      </c>
      <c r="D2025" s="2" t="str">
        <f t="shared" si="30"/>
        <v>Error?</v>
      </c>
    </row>
    <row r="2026" spans="1:4" x14ac:dyDescent="0.2">
      <c r="A2026" s="5">
        <v>1965</v>
      </c>
      <c r="B2026" s="1763">
        <f>'Cap Outlay Deprec 26'!F5</f>
        <v>1658656</v>
      </c>
      <c r="C2026" s="2" t="s">
        <v>569</v>
      </c>
      <c r="D2026" s="2" t="str">
        <f t="shared" si="30"/>
        <v>Error?</v>
      </c>
    </row>
    <row r="2027" spans="1:4" x14ac:dyDescent="0.2">
      <c r="A2027" s="5">
        <v>1966</v>
      </c>
      <c r="B2027" s="1763">
        <f>'Cap Outlay Deprec 26'!F8</f>
        <v>25131120</v>
      </c>
      <c r="C2027" s="2" t="s">
        <v>569</v>
      </c>
      <c r="D2027" s="2" t="str">
        <f t="shared" si="30"/>
        <v>Error?</v>
      </c>
    </row>
    <row r="2028" spans="1:4" x14ac:dyDescent="0.2">
      <c r="A2028" s="5">
        <v>1967</v>
      </c>
      <c r="B2028" s="1763">
        <f>'Cap Outlay Deprec 26'!F10</f>
        <v>1063174</v>
      </c>
      <c r="C2028" s="2" t="s">
        <v>569</v>
      </c>
      <c r="D2028" s="2" t="str">
        <f t="shared" si="30"/>
        <v>Error?</v>
      </c>
    </row>
    <row r="2029" spans="1:4" x14ac:dyDescent="0.2">
      <c r="A2029" s="5">
        <v>1968</v>
      </c>
      <c r="B2029" s="1763">
        <f>'Cap Outlay Deprec 26'!F12</f>
        <v>0</v>
      </c>
      <c r="C2029" s="2" t="s">
        <v>569</v>
      </c>
      <c r="D2029" s="2" t="str">
        <f t="shared" si="30"/>
        <v>Error?</v>
      </c>
    </row>
    <row r="2030" spans="1:4" x14ac:dyDescent="0.2">
      <c r="A2030" s="5">
        <v>1969</v>
      </c>
      <c r="B2030" s="1763">
        <f>'Cap Outlay Deprec 26'!F13</f>
        <v>3219986</v>
      </c>
      <c r="C2030" s="2" t="s">
        <v>569</v>
      </c>
      <c r="D2030" s="2" t="str">
        <f t="shared" si="30"/>
        <v>Error?</v>
      </c>
    </row>
    <row r="2031" spans="1:4" x14ac:dyDescent="0.2">
      <c r="A2031" s="5">
        <v>1970</v>
      </c>
      <c r="B2031" s="1763">
        <f>'Cap Outlay Deprec 26'!F16</f>
        <v>31072936</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12438205</v>
      </c>
      <c r="D2033" s="2" t="str">
        <f t="shared" si="30"/>
        <v>Error?</v>
      </c>
    </row>
    <row r="2034" spans="1:4" x14ac:dyDescent="0.2">
      <c r="A2034" s="5">
        <v>1973</v>
      </c>
      <c r="B2034" s="1763">
        <f>'Cap Outlay Deprec 26'!H10</f>
        <v>955838</v>
      </c>
      <c r="D2034" s="2" t="str">
        <f t="shared" si="30"/>
        <v>Error?</v>
      </c>
    </row>
    <row r="2035" spans="1:4" x14ac:dyDescent="0.2">
      <c r="A2035" s="5">
        <v>1974</v>
      </c>
      <c r="B2035" s="1763">
        <f>'Cap Outlay Deprec 26'!H12</f>
        <v>0</v>
      </c>
      <c r="D2035" s="2" t="str">
        <f t="shared" si="30"/>
        <v>Error?</v>
      </c>
    </row>
    <row r="2036" spans="1:4" x14ac:dyDescent="0.2">
      <c r="A2036" s="5">
        <v>1975</v>
      </c>
      <c r="B2036" s="1763">
        <f>'Cap Outlay Deprec 26'!H13</f>
        <v>2453822</v>
      </c>
      <c r="D2036" s="2" t="str">
        <f t="shared" si="30"/>
        <v>Error?</v>
      </c>
    </row>
    <row r="2037" spans="1:4" x14ac:dyDescent="0.2">
      <c r="A2037" s="5">
        <v>1976</v>
      </c>
      <c r="B2037" s="1763">
        <f>'Cap Outlay Deprec 26'!H16</f>
        <v>15847865</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536452</v>
      </c>
      <c r="D2039" s="2" t="str">
        <f t="shared" si="30"/>
        <v>Error?</v>
      </c>
    </row>
    <row r="2040" spans="1:4" x14ac:dyDescent="0.2">
      <c r="A2040" s="5">
        <v>1979</v>
      </c>
      <c r="B2040" s="1763">
        <f>'Cap Outlay Deprec 26'!I10</f>
        <v>21055</v>
      </c>
      <c r="D2040" s="2" t="str">
        <f t="shared" si="30"/>
        <v>Error?</v>
      </c>
    </row>
    <row r="2041" spans="1:4" x14ac:dyDescent="0.2">
      <c r="A2041" s="5">
        <v>1980</v>
      </c>
      <c r="B2041" s="1763">
        <f>'Cap Outlay Deprec 26'!I12</f>
        <v>0</v>
      </c>
      <c r="D2041" s="2" t="str">
        <f t="shared" si="30"/>
        <v>Error?</v>
      </c>
    </row>
    <row r="2042" spans="1:4" x14ac:dyDescent="0.2">
      <c r="A2042" s="5">
        <v>1981</v>
      </c>
      <c r="B2042" s="1763">
        <f>'Cap Outlay Deprec 26'!I13</f>
        <v>190954</v>
      </c>
      <c r="D2042" s="2" t="str">
        <f t="shared" si="30"/>
        <v>Error?</v>
      </c>
    </row>
    <row r="2043" spans="1:4" x14ac:dyDescent="0.2">
      <c r="A2043" s="5">
        <v>1982</v>
      </c>
      <c r="B2043" s="1763">
        <f>'Cap Outlay Deprec 26'!I16</f>
        <v>748461</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12974657</v>
      </c>
      <c r="C2051" s="2" t="s">
        <v>569</v>
      </c>
      <c r="D2051" s="2" t="str">
        <f t="shared" si="31"/>
        <v>Error?</v>
      </c>
    </row>
    <row r="2052" spans="1:4" x14ac:dyDescent="0.2">
      <c r="A2052" s="5">
        <v>1991</v>
      </c>
      <c r="B2052" s="1763">
        <f>'Cap Outlay Deprec 26'!K10</f>
        <v>976893</v>
      </c>
      <c r="C2052" s="2" t="s">
        <v>569</v>
      </c>
      <c r="D2052" s="2" t="str">
        <f t="shared" si="31"/>
        <v>Error?</v>
      </c>
    </row>
    <row r="2053" spans="1:4" x14ac:dyDescent="0.2">
      <c r="A2053" s="5">
        <v>1992</v>
      </c>
      <c r="B2053" s="1763">
        <f>'Cap Outlay Deprec 26'!K12</f>
        <v>0</v>
      </c>
      <c r="C2053" s="2" t="s">
        <v>569</v>
      </c>
      <c r="D2053" s="2" t="str">
        <f t="shared" si="31"/>
        <v>Error?</v>
      </c>
    </row>
    <row r="2054" spans="1:4" x14ac:dyDescent="0.2">
      <c r="A2054" s="5">
        <v>1993</v>
      </c>
      <c r="B2054" s="1763">
        <f>'Cap Outlay Deprec 26'!K13</f>
        <v>2644776</v>
      </c>
      <c r="C2054" s="2" t="s">
        <v>569</v>
      </c>
      <c r="D2054" s="2" t="str">
        <f t="shared" si="31"/>
        <v>Error?</v>
      </c>
    </row>
    <row r="2055" spans="1:4" x14ac:dyDescent="0.2">
      <c r="A2055" s="5">
        <v>1994</v>
      </c>
      <c r="B2055" s="1763">
        <f>'Cap Outlay Deprec 26'!K16</f>
        <v>16596326</v>
      </c>
      <c r="C2055" s="2" t="s">
        <v>569</v>
      </c>
      <c r="D2055" s="2" t="str">
        <f t="shared" si="31"/>
        <v>Error?</v>
      </c>
    </row>
    <row r="2056" spans="1:4" x14ac:dyDescent="0.2">
      <c r="A2056" s="5">
        <v>1995</v>
      </c>
      <c r="B2056" s="1763">
        <f>'Cap Outlay Deprec 26'!L5</f>
        <v>1658656</v>
      </c>
      <c r="C2056" s="2" t="s">
        <v>569</v>
      </c>
      <c r="D2056" s="2" t="str">
        <f t="shared" si="31"/>
        <v>Error?</v>
      </c>
    </row>
    <row r="2057" spans="1:4" x14ac:dyDescent="0.2">
      <c r="A2057" s="5">
        <v>1996</v>
      </c>
      <c r="B2057" s="1763">
        <f>'Cap Outlay Deprec 26'!L8</f>
        <v>12156463</v>
      </c>
      <c r="C2057" s="2" t="s">
        <v>569</v>
      </c>
      <c r="D2057" s="2" t="str">
        <f t="shared" si="31"/>
        <v>Error?</v>
      </c>
    </row>
    <row r="2058" spans="1:4" x14ac:dyDescent="0.2">
      <c r="A2058" s="5">
        <v>1997</v>
      </c>
      <c r="B2058" s="1763">
        <f>'Cap Outlay Deprec 26'!L10</f>
        <v>86281</v>
      </c>
      <c r="C2058" s="2" t="s">
        <v>569</v>
      </c>
      <c r="D2058" s="2" t="str">
        <f t="shared" si="31"/>
        <v>Error?</v>
      </c>
    </row>
    <row r="2059" spans="1:4" x14ac:dyDescent="0.2">
      <c r="A2059" s="5">
        <v>1998</v>
      </c>
      <c r="B2059" s="1763">
        <f>'Cap Outlay Deprec 26'!L12</f>
        <v>0</v>
      </c>
      <c r="C2059" s="2" t="s">
        <v>569</v>
      </c>
      <c r="D2059" s="2" t="str">
        <f t="shared" si="31"/>
        <v>Error?</v>
      </c>
    </row>
    <row r="2060" spans="1:4" x14ac:dyDescent="0.2">
      <c r="A2060" s="5">
        <v>1999</v>
      </c>
      <c r="B2060" s="1763">
        <f>'Cap Outlay Deprec 26'!L13</f>
        <v>575210</v>
      </c>
      <c r="C2060" s="2" t="s">
        <v>569</v>
      </c>
      <c r="D2060" s="2" t="str">
        <f t="shared" si="31"/>
        <v>Error?</v>
      </c>
    </row>
    <row r="2061" spans="1:4" x14ac:dyDescent="0.2">
      <c r="A2061" s="5">
        <v>2000</v>
      </c>
      <c r="B2061" s="1763">
        <f>'Cap Outlay Deprec 26'!L16</f>
        <v>14476610</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0</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1973660</v>
      </c>
      <c r="C2088" s="2" t="s">
        <v>569</v>
      </c>
      <c r="D2088" s="2" t="str">
        <f t="shared" si="31"/>
        <v>Error?</v>
      </c>
    </row>
    <row r="2089" spans="1:4" x14ac:dyDescent="0.2">
      <c r="A2089" s="5">
        <v>2028</v>
      </c>
      <c r="B2089" s="1763">
        <f>'Expenditures 15-22'!K92</f>
        <v>0</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0</v>
      </c>
      <c r="C2105" s="2" t="s">
        <v>569</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0</v>
      </c>
      <c r="D2435" s="2" t="str">
        <f t="shared" si="37"/>
        <v>Error?</v>
      </c>
    </row>
    <row r="2436" spans="1:4" x14ac:dyDescent="0.2">
      <c r="A2436" s="10">
        <v>2375</v>
      </c>
      <c r="B2436" s="1763"/>
      <c r="D2436" s="2" t="str">
        <f t="shared" si="37"/>
        <v>OK</v>
      </c>
    </row>
    <row r="2437" spans="1:4" x14ac:dyDescent="0.2">
      <c r="A2437" s="5">
        <v>2376</v>
      </c>
      <c r="B2437" s="1763">
        <f>'Assets-Liab 5-6'!D38</f>
        <v>1654154</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1142359</v>
      </c>
      <c r="D2475" s="2" t="str">
        <f t="shared" si="37"/>
        <v>Error?</v>
      </c>
    </row>
    <row r="2476" spans="1:4" x14ac:dyDescent="0.2">
      <c r="A2476" s="10">
        <v>2415</v>
      </c>
      <c r="B2476" s="1763"/>
      <c r="D2476" s="2" t="str">
        <f t="shared" si="37"/>
        <v>OK</v>
      </c>
    </row>
    <row r="2477" spans="1:4" x14ac:dyDescent="0.2">
      <c r="A2477" s="5">
        <v>2416</v>
      </c>
      <c r="B2477" s="1763">
        <f>'Assets-Liab 5-6'!G38</f>
        <v>806031</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520151</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291298</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13395770</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1971512</v>
      </c>
      <c r="C2553" s="2" t="s">
        <v>569</v>
      </c>
      <c r="D2553" s="2" t="str">
        <f t="shared" si="38"/>
        <v>Error?</v>
      </c>
    </row>
    <row r="2554" spans="1:4" x14ac:dyDescent="0.2">
      <c r="A2554" s="5">
        <v>2493</v>
      </c>
      <c r="B2554" s="1763">
        <f>'Acct Summary 7-8'!C7</f>
        <v>1553095</v>
      </c>
      <c r="C2554" s="2" t="s">
        <v>569</v>
      </c>
      <c r="D2554" s="2" t="str">
        <f t="shared" si="38"/>
        <v>Error?</v>
      </c>
    </row>
    <row r="2555" spans="1:4" x14ac:dyDescent="0.2">
      <c r="A2555" s="5">
        <v>2494</v>
      </c>
      <c r="B2555" s="1763">
        <f>'Acct Summary 7-8'!C8</f>
        <v>16920377</v>
      </c>
      <c r="C2555" s="2" t="s">
        <v>569</v>
      </c>
      <c r="D2555" s="2" t="str">
        <f t="shared" si="38"/>
        <v>Error?</v>
      </c>
    </row>
    <row r="2556" spans="1:4" x14ac:dyDescent="0.2">
      <c r="A2556" s="5">
        <v>2495</v>
      </c>
      <c r="B2556" s="1763">
        <f>'Acct Summary 7-8'!C12</f>
        <v>10614074</v>
      </c>
      <c r="C2556" s="2" t="s">
        <v>569</v>
      </c>
      <c r="D2556" s="2" t="str">
        <f t="shared" si="38"/>
        <v>Error?</v>
      </c>
    </row>
    <row r="2557" spans="1:4" x14ac:dyDescent="0.2">
      <c r="A2557" s="5">
        <v>2496</v>
      </c>
      <c r="B2557" s="1763">
        <f>'Acct Summary 7-8'!C13</f>
        <v>4102718</v>
      </c>
      <c r="C2557" s="2" t="s">
        <v>569</v>
      </c>
      <c r="D2557" s="2" t="str">
        <f t="shared" si="38"/>
        <v>Error?</v>
      </c>
    </row>
    <row r="2558" spans="1:4" x14ac:dyDescent="0.2">
      <c r="A2558" s="5">
        <v>2497</v>
      </c>
      <c r="B2558" s="1763">
        <f>'Acct Summary 7-8'!C14</f>
        <v>0</v>
      </c>
      <c r="C2558" s="2" t="s">
        <v>569</v>
      </c>
      <c r="D2558" s="2" t="str">
        <f t="shared" si="38"/>
        <v>Error?</v>
      </c>
    </row>
    <row r="2559" spans="1:4" x14ac:dyDescent="0.2">
      <c r="A2559" s="5">
        <v>2498</v>
      </c>
      <c r="B2559" s="1763">
        <f>'Acct Summary 7-8'!C15</f>
        <v>1973660</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16690452</v>
      </c>
      <c r="C2561" s="2" t="s">
        <v>569</v>
      </c>
      <c r="D2561" s="2" t="str">
        <f t="shared" si="39"/>
        <v>Error?</v>
      </c>
    </row>
    <row r="2562" spans="1:4" x14ac:dyDescent="0.2">
      <c r="A2562" s="5">
        <v>2501</v>
      </c>
      <c r="B2562" s="1763">
        <f>'Acct Summary 7-8'!C20</f>
        <v>229925</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1058001</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50000</v>
      </c>
      <c r="C2566" s="2" t="s">
        <v>569</v>
      </c>
      <c r="D2566" s="2" t="str">
        <f t="shared" si="39"/>
        <v>Error?</v>
      </c>
    </row>
    <row r="2567" spans="1:4" x14ac:dyDescent="0.2">
      <c r="A2567" s="5">
        <v>2506</v>
      </c>
      <c r="B2567" s="1763">
        <f>'Acct Summary 7-8'!D7</f>
        <v>0</v>
      </c>
      <c r="C2567" s="2" t="s">
        <v>569</v>
      </c>
      <c r="D2567" s="2" t="str">
        <f t="shared" si="39"/>
        <v>Error?</v>
      </c>
    </row>
    <row r="2568" spans="1:4" x14ac:dyDescent="0.2">
      <c r="A2568" s="5">
        <v>2507</v>
      </c>
      <c r="B2568" s="1763">
        <f>'Acct Summary 7-8'!D8</f>
        <v>1108001</v>
      </c>
      <c r="C2568" s="2" t="s">
        <v>569</v>
      </c>
      <c r="D2568" s="2" t="str">
        <f t="shared" si="39"/>
        <v>Error?</v>
      </c>
    </row>
    <row r="2569" spans="1:4" x14ac:dyDescent="0.2">
      <c r="A2569" s="5">
        <v>2508</v>
      </c>
      <c r="B2569" s="1763">
        <f>'Acct Summary 7-8'!D13</f>
        <v>1137743</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1137743</v>
      </c>
      <c r="C2573" s="2" t="s">
        <v>569</v>
      </c>
      <c r="D2573" s="2" t="str">
        <f t="shared" si="39"/>
        <v>Error?</v>
      </c>
    </row>
    <row r="2574" spans="1:4" x14ac:dyDescent="0.2">
      <c r="A2574" s="5">
        <v>2513</v>
      </c>
      <c r="B2574" s="1763">
        <f>'Acct Summary 7-8'!D20</f>
        <v>-29742</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595534</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462163</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1057697</v>
      </c>
      <c r="C2595" s="2" t="s">
        <v>569</v>
      </c>
      <c r="D2595" s="2" t="str">
        <f t="shared" si="39"/>
        <v>Error?</v>
      </c>
    </row>
    <row r="2596" spans="1:4" x14ac:dyDescent="0.2">
      <c r="A2596" s="5">
        <v>2535</v>
      </c>
      <c r="B2596" s="1763">
        <f>'Acct Summary 7-8'!F13</f>
        <v>844112</v>
      </c>
      <c r="C2596" s="2" t="s">
        <v>569</v>
      </c>
      <c r="D2596" s="2" t="str">
        <f t="shared" si="39"/>
        <v>Error?</v>
      </c>
    </row>
    <row r="2597" spans="1:4" x14ac:dyDescent="0.2">
      <c r="A2597" s="5">
        <v>2536</v>
      </c>
      <c r="B2597" s="1763">
        <f>'Acct Summary 7-8'!F14</f>
        <v>0</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844112</v>
      </c>
      <c r="C2600" s="2" t="s">
        <v>569</v>
      </c>
      <c r="D2600" s="2" t="str">
        <f t="shared" si="39"/>
        <v>Error?</v>
      </c>
    </row>
    <row r="2601" spans="1:4" x14ac:dyDescent="0.2">
      <c r="A2601" s="5">
        <v>2540</v>
      </c>
      <c r="B2601" s="1763">
        <f>'Acct Summary 7-8'!F20</f>
        <v>213585</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528960</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528960</v>
      </c>
      <c r="C2606" s="2" t="s">
        <v>569</v>
      </c>
      <c r="D2606" s="2" t="str">
        <f t="shared" si="39"/>
        <v>Error?</v>
      </c>
    </row>
    <row r="2607" spans="1:4" x14ac:dyDescent="0.2">
      <c r="A2607" s="5">
        <v>2546</v>
      </c>
      <c r="B2607" s="1763">
        <f>'Acct Summary 7-8'!G12</f>
        <v>73678</v>
      </c>
      <c r="C2607" s="2" t="s">
        <v>569</v>
      </c>
      <c r="D2607" s="2" t="str">
        <f t="shared" si="39"/>
        <v>Error?</v>
      </c>
    </row>
    <row r="2608" spans="1:4" x14ac:dyDescent="0.2">
      <c r="A2608" s="5">
        <v>2547</v>
      </c>
      <c r="B2608" s="1763">
        <f>'Acct Summary 7-8'!G13</f>
        <v>264992</v>
      </c>
      <c r="C2608" s="2" t="s">
        <v>569</v>
      </c>
      <c r="D2608" s="2" t="str">
        <f t="shared" si="39"/>
        <v>Error?</v>
      </c>
    </row>
    <row r="2609" spans="1:4" x14ac:dyDescent="0.2">
      <c r="A2609" s="5">
        <v>2548</v>
      </c>
      <c r="B2609" s="1763">
        <f>'Acct Summary 7-8'!G14</f>
        <v>0</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338670</v>
      </c>
      <c r="C2612" s="2" t="s">
        <v>569</v>
      </c>
      <c r="D2612" s="2" t="str">
        <f t="shared" si="39"/>
        <v>Error?</v>
      </c>
    </row>
    <row r="2613" spans="1:4" x14ac:dyDescent="0.2">
      <c r="A2613" s="5">
        <v>2552</v>
      </c>
      <c r="B2613" s="1763">
        <f>'Acct Summary 7-8'!G20</f>
        <v>190290</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807075</v>
      </c>
      <c r="C2630" s="2" t="s">
        <v>569</v>
      </c>
      <c r="D2630" s="2" t="str">
        <f t="shared" si="40"/>
        <v>Error?</v>
      </c>
    </row>
    <row r="2631" spans="1:4" x14ac:dyDescent="0.2">
      <c r="A2631" s="5">
        <v>2570</v>
      </c>
      <c r="B2631" s="1763">
        <f>'Acct Summary 7-8'!E6</f>
        <v>0</v>
      </c>
      <c r="C2631" s="2" t="s">
        <v>569</v>
      </c>
      <c r="D2631" s="2" t="str">
        <f t="shared" si="40"/>
        <v>Error?</v>
      </c>
    </row>
    <row r="2632" spans="1:4" x14ac:dyDescent="0.2">
      <c r="A2632" s="5">
        <v>2571</v>
      </c>
      <c r="B2632" s="1763">
        <f>'Acct Summary 7-8'!E8</f>
        <v>807075</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786100</v>
      </c>
      <c r="C2634" s="2" t="s">
        <v>569</v>
      </c>
      <c r="D2634" s="2" t="str">
        <f t="shared" si="40"/>
        <v>Error?</v>
      </c>
    </row>
    <row r="2635" spans="1:4" x14ac:dyDescent="0.2">
      <c r="A2635" s="5">
        <v>2574</v>
      </c>
      <c r="B2635" s="1763">
        <f>'Acct Summary 7-8'!E17</f>
        <v>786100</v>
      </c>
      <c r="C2635" s="2" t="s">
        <v>569</v>
      </c>
      <c r="D2635" s="2" t="str">
        <f t="shared" si="40"/>
        <v>Error?</v>
      </c>
    </row>
    <row r="2636" spans="1:4" x14ac:dyDescent="0.2">
      <c r="A2636" s="5">
        <v>2575</v>
      </c>
      <c r="B2636" s="1763">
        <f>'Acct Summary 7-8'!E20</f>
        <v>20975</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0</v>
      </c>
      <c r="C2655" s="2" t="s">
        <v>569</v>
      </c>
      <c r="D2655" s="2" t="str">
        <f t="shared" si="40"/>
        <v>Error?</v>
      </c>
    </row>
    <row r="2656" spans="1:4" x14ac:dyDescent="0.2">
      <c r="A2656" s="5">
        <v>2595</v>
      </c>
      <c r="B2656" s="1763">
        <f>'Acct Summary 7-8'!H6</f>
        <v>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0</v>
      </c>
      <c r="C2658" s="2" t="s">
        <v>569</v>
      </c>
      <c r="D2658" s="2" t="str">
        <f t="shared" si="40"/>
        <v>Error?</v>
      </c>
    </row>
    <row r="2659" spans="1:4" x14ac:dyDescent="0.2">
      <c r="A2659" s="5">
        <v>2598</v>
      </c>
      <c r="B2659" s="1763">
        <f>'Acct Summary 7-8'!H13</f>
        <v>59881</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59881</v>
      </c>
      <c r="C2661" s="2" t="s">
        <v>569</v>
      </c>
      <c r="D2661" s="2" t="str">
        <f t="shared" si="40"/>
        <v>Error?</v>
      </c>
    </row>
    <row r="2662" spans="1:4" x14ac:dyDescent="0.2">
      <c r="A2662" s="5">
        <v>2601</v>
      </c>
      <c r="B2662" s="1763">
        <f>'Acct Summary 7-8'!H20</f>
        <v>-59881</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0</v>
      </c>
      <c r="D2718" s="2" t="str">
        <f t="shared" si="41"/>
        <v>Error?</v>
      </c>
    </row>
    <row r="2719" spans="1:4" x14ac:dyDescent="0.2">
      <c r="A2719" s="5">
        <v>2658</v>
      </c>
      <c r="B2719" s="1763">
        <f>'Expenditures 15-22'!D51</f>
        <v>0</v>
      </c>
      <c r="D2719" s="2" t="str">
        <f t="shared" si="41"/>
        <v>Error?</v>
      </c>
    </row>
    <row r="2720" spans="1:4" x14ac:dyDescent="0.2">
      <c r="A2720" s="5">
        <v>2659</v>
      </c>
      <c r="B2720" s="1763">
        <f>'Expenditures 15-22'!E51</f>
        <v>0</v>
      </c>
      <c r="D2720" s="2" t="str">
        <f t="shared" si="41"/>
        <v>Error?</v>
      </c>
    </row>
    <row r="2721" spans="1:4" x14ac:dyDescent="0.2">
      <c r="A2721" s="5">
        <v>2660</v>
      </c>
      <c r="B2721" s="1763">
        <f>'Expenditures 15-22'!F51</f>
        <v>0</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0</v>
      </c>
      <c r="C2724" s="2" t="s">
        <v>569</v>
      </c>
      <c r="D2724" s="2" t="str">
        <f t="shared" si="41"/>
        <v>Error?</v>
      </c>
    </row>
    <row r="2725" spans="1:4" x14ac:dyDescent="0.2">
      <c r="A2725" s="5">
        <v>2664</v>
      </c>
      <c r="B2725" s="1763">
        <f>'Expenditures 15-22'!D247</f>
        <v>0</v>
      </c>
      <c r="D2725" s="2" t="str">
        <f t="shared" si="41"/>
        <v>Error?</v>
      </c>
    </row>
    <row r="2726" spans="1:4" x14ac:dyDescent="0.2">
      <c r="A2726" s="5">
        <v>2665</v>
      </c>
      <c r="B2726" s="1763">
        <f>'Expenditures 15-22'!K247</f>
        <v>0</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1994</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1973660</v>
      </c>
      <c r="C2789" s="2" t="s">
        <v>569</v>
      </c>
      <c r="D2789" s="2" t="str">
        <f t="shared" si="42"/>
        <v>Error?</v>
      </c>
    </row>
    <row r="2790" spans="1:4" x14ac:dyDescent="0.2">
      <c r="A2790" s="5">
        <v>2729</v>
      </c>
      <c r="B2790" s="1763">
        <f>'Expenditures 15-22'!E102</f>
        <v>1973660</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0</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1313224</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256330</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0</v>
      </c>
      <c r="D2908" s="2" t="str">
        <f t="shared" si="44"/>
        <v>Error?</v>
      </c>
    </row>
    <row r="2909" spans="1:4" x14ac:dyDescent="0.2">
      <c r="A2909" s="10">
        <v>2848</v>
      </c>
      <c r="B2909" s="1763"/>
      <c r="D2909" s="2" t="str">
        <f t="shared" si="44"/>
        <v>OK</v>
      </c>
    </row>
    <row r="2910" spans="1:4" x14ac:dyDescent="0.2">
      <c r="A2910" s="5">
        <v>2849</v>
      </c>
      <c r="B2910" s="1763">
        <f>'Assets-Liab 5-6'!I34</f>
        <v>0</v>
      </c>
      <c r="C2910" s="2" t="s">
        <v>569</v>
      </c>
      <c r="D2910" s="2" t="str">
        <f t="shared" si="44"/>
        <v>Error?</v>
      </c>
    </row>
    <row r="2911" spans="1:4" x14ac:dyDescent="0.2">
      <c r="A2911" s="5">
        <v>2850</v>
      </c>
      <c r="B2911" s="1763">
        <f>'Assets-Liab 5-6'!I38</f>
        <v>1313224</v>
      </c>
      <c r="D2911" s="2" t="str">
        <f t="shared" si="44"/>
        <v>Error?</v>
      </c>
    </row>
    <row r="2912" spans="1:4" x14ac:dyDescent="0.2">
      <c r="A2912" s="5">
        <v>2851</v>
      </c>
      <c r="B2912" s="1763">
        <f>'Assets-Liab 5-6'!I39</f>
        <v>0</v>
      </c>
      <c r="D2912" s="2" t="str">
        <f t="shared" si="44"/>
        <v>Error?</v>
      </c>
    </row>
    <row r="2913" spans="1:4" x14ac:dyDescent="0.2">
      <c r="A2913" s="5">
        <v>2852</v>
      </c>
      <c r="B2913" s="1763">
        <f>'Assets-Liab 5-6'!I41</f>
        <v>1313224</v>
      </c>
      <c r="C2913" s="2" t="s">
        <v>569</v>
      </c>
      <c r="D2913" s="2" t="str">
        <f t="shared" si="44"/>
        <v>Error?</v>
      </c>
    </row>
    <row r="2914" spans="1:4" x14ac:dyDescent="0.2">
      <c r="A2914" s="5">
        <v>2853</v>
      </c>
      <c r="B2914" s="1763">
        <f>'Assets-Liab 5-6'!L33</f>
        <v>256330</v>
      </c>
      <c r="D2914" s="2" t="str">
        <f t="shared" si="44"/>
        <v>Error?</v>
      </c>
    </row>
    <row r="2915" spans="1:4" x14ac:dyDescent="0.2">
      <c r="A2915" s="10">
        <v>2854</v>
      </c>
      <c r="B2915" s="1763"/>
      <c r="D2915" s="2" t="str">
        <f t="shared" si="44"/>
        <v>OK</v>
      </c>
    </row>
    <row r="2916" spans="1:4" x14ac:dyDescent="0.2">
      <c r="A2916" s="5">
        <v>2855</v>
      </c>
      <c r="B2916" s="1763">
        <f>'Assets-Liab 5-6'!L34</f>
        <v>256330</v>
      </c>
      <c r="C2916" s="2" t="s">
        <v>569</v>
      </c>
      <c r="D2916" s="2" t="str">
        <f t="shared" si="44"/>
        <v>Error?</v>
      </c>
    </row>
    <row r="2917" spans="1:4" x14ac:dyDescent="0.2">
      <c r="A2917" s="5">
        <v>2856</v>
      </c>
      <c r="B2917" s="1763">
        <f>'Assets-Liab 5-6'!L41</f>
        <v>256330</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1973660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0</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569</v>
      </c>
      <c r="D2973" s="2" t="str">
        <f t="shared" si="45"/>
        <v>Error?</v>
      </c>
    </row>
    <row r="2974" spans="1:4" x14ac:dyDescent="0.2">
      <c r="A2974" s="5">
        <v>2913</v>
      </c>
      <c r="B2974" s="1763">
        <f>'Expenditures 15-22'!K79</f>
        <v>1973660</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1994</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1539671</v>
      </c>
      <c r="D3055" s="2" t="str">
        <f t="shared" si="46"/>
        <v>Error?</v>
      </c>
    </row>
    <row r="3056" spans="1:4" x14ac:dyDescent="0.2">
      <c r="A3056" s="5">
        <v>2995</v>
      </c>
      <c r="B3056" s="1763">
        <f>'Expenditures 15-22'!D10</f>
        <v>199165</v>
      </c>
      <c r="D3056" s="2" t="str">
        <f t="shared" si="46"/>
        <v>Error?</v>
      </c>
    </row>
    <row r="3057" spans="1:4" x14ac:dyDescent="0.2">
      <c r="A3057" s="5">
        <v>2996</v>
      </c>
      <c r="B3057" s="1763">
        <f>'Expenditures 15-22'!E10</f>
        <v>19816</v>
      </c>
      <c r="D3057" s="2" t="str">
        <f t="shared" si="46"/>
        <v>Error?</v>
      </c>
    </row>
    <row r="3058" spans="1:4" x14ac:dyDescent="0.2">
      <c r="A3058" s="5">
        <v>2997</v>
      </c>
      <c r="B3058" s="1763">
        <f>'Expenditures 15-22'!F10</f>
        <v>50644</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1809296</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35355</v>
      </c>
      <c r="D3064" s="2" t="str">
        <f t="shared" si="46"/>
        <v>Error?</v>
      </c>
    </row>
    <row r="3065" spans="1:4" x14ac:dyDescent="0.2">
      <c r="A3065" s="5">
        <v>3004</v>
      </c>
      <c r="B3065" s="1763">
        <f>'Expenditures 15-22'!K219</f>
        <v>35355</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0</v>
      </c>
      <c r="C3225" s="2" t="s">
        <v>569</v>
      </c>
      <c r="D3225" s="2" t="str">
        <f t="shared" si="49"/>
        <v>Error?</v>
      </c>
    </row>
    <row r="3226" spans="1:4" x14ac:dyDescent="0.2">
      <c r="A3226" s="5">
        <v>3165</v>
      </c>
      <c r="B3226" s="1763">
        <f>'Acct Summary 7-8'!I8</f>
        <v>0</v>
      </c>
      <c r="C3226" s="2" t="s">
        <v>569</v>
      </c>
      <c r="D3226" s="2" t="str">
        <f t="shared" si="49"/>
        <v>Error?</v>
      </c>
    </row>
    <row r="3227" spans="1:4" x14ac:dyDescent="0.2">
      <c r="A3227" s="5">
        <v>3166</v>
      </c>
      <c r="B3227" s="1763">
        <f>'Acct Summary 7-8'!I20</f>
        <v>0</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0</v>
      </c>
      <c r="C3231" s="2" t="s">
        <v>569</v>
      </c>
      <c r="D3231" s="2" t="str">
        <f t="shared" si="49"/>
        <v>Error?</v>
      </c>
    </row>
    <row r="3232" spans="1:4" x14ac:dyDescent="0.2">
      <c r="A3232" s="5">
        <v>3171</v>
      </c>
      <c r="B3232" s="1763">
        <f>'Acct Summary 7-8'!C77</f>
        <v>0</v>
      </c>
      <c r="C3232" s="2" t="s">
        <v>569</v>
      </c>
      <c r="D3232" s="2" t="str">
        <f t="shared" si="49"/>
        <v>Error?</v>
      </c>
    </row>
    <row r="3233" spans="1:4" x14ac:dyDescent="0.2">
      <c r="A3233" s="5">
        <v>3172</v>
      </c>
      <c r="B3233" s="1763">
        <f>'Acct Summary 7-8'!C78</f>
        <v>229925</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-29742</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0</v>
      </c>
      <c r="C3255" s="2" t="s">
        <v>569</v>
      </c>
      <c r="D3255" s="2" t="str">
        <f t="shared" si="49"/>
        <v>Error?</v>
      </c>
    </row>
    <row r="3256" spans="1:4" x14ac:dyDescent="0.2">
      <c r="A3256" s="5">
        <v>3195</v>
      </c>
      <c r="B3256" s="1763">
        <f>'Acct Summary 7-8'!F78</f>
        <v>213585</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190290</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0</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569</v>
      </c>
      <c r="D3276" s="2" t="str">
        <f t="shared" si="50"/>
        <v>Error?</v>
      </c>
    </row>
    <row r="3277" spans="1:4" x14ac:dyDescent="0.2">
      <c r="A3277" s="5">
        <v>3216</v>
      </c>
      <c r="B3277" s="1763">
        <f>'Acct Summary 7-8'!E77</f>
        <v>0</v>
      </c>
      <c r="C3277" s="2" t="s">
        <v>569</v>
      </c>
      <c r="D3277" s="2" t="str">
        <f t="shared" si="50"/>
        <v>Error?</v>
      </c>
    </row>
    <row r="3278" spans="1:4" x14ac:dyDescent="0.2">
      <c r="A3278" s="5">
        <v>3217</v>
      </c>
      <c r="B3278" s="1763">
        <f>'Acct Summary 7-8'!E78</f>
        <v>20975</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0</v>
      </c>
      <c r="C3299" s="2" t="s">
        <v>569</v>
      </c>
      <c r="D3299" s="2" t="str">
        <f t="shared" si="50"/>
        <v>Error?</v>
      </c>
    </row>
    <row r="3300" spans="1:4" x14ac:dyDescent="0.2">
      <c r="A3300" s="5">
        <v>3239</v>
      </c>
      <c r="B3300" s="1763">
        <f>'Acct Summary 7-8'!H78</f>
        <v>-59881</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569</v>
      </c>
      <c r="D3317" s="2" t="str">
        <f t="shared" si="50"/>
        <v>Error?</v>
      </c>
    </row>
    <row r="3318" spans="1:4" x14ac:dyDescent="0.2">
      <c r="A3318" s="5">
        <v>3257</v>
      </c>
      <c r="B3318" s="1763">
        <f>'Acct Summary 7-8'!I76</f>
        <v>0</v>
      </c>
      <c r="C3318" s="2" t="s">
        <v>569</v>
      </c>
      <c r="D3318" s="2" t="str">
        <f t="shared" si="50"/>
        <v>Error?</v>
      </c>
    </row>
    <row r="3319" spans="1:4" x14ac:dyDescent="0.2">
      <c r="A3319" s="5">
        <v>3258</v>
      </c>
      <c r="B3319" s="1763">
        <f>'Acct Summary 7-8'!I77</f>
        <v>0</v>
      </c>
      <c r="C3319" s="2" t="s">
        <v>569</v>
      </c>
      <c r="D3319" s="2" t="str">
        <f t="shared" si="50"/>
        <v>Error?</v>
      </c>
    </row>
    <row r="3320" spans="1:4" x14ac:dyDescent="0.2">
      <c r="A3320" s="5">
        <v>3259</v>
      </c>
      <c r="B3320" s="1763">
        <f>'Acct Summary 7-8'!I78</f>
        <v>0</v>
      </c>
      <c r="C3320" s="2" t="s">
        <v>569</v>
      </c>
      <c r="D3320" s="2" t="str">
        <f t="shared" si="50"/>
        <v>Error?</v>
      </c>
    </row>
    <row r="3321" spans="1:4" x14ac:dyDescent="0.2">
      <c r="A3321" s="5">
        <v>3260</v>
      </c>
      <c r="B3321" s="1763">
        <f>'Acct Summary 7-8'!I79</f>
        <v>1313224</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1313224</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364371</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78046</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8604</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8093</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0</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459114</v>
      </c>
      <c r="C3380" s="2" t="s">
        <v>569</v>
      </c>
      <c r="D3380" s="2" t="str">
        <f t="shared" si="51"/>
        <v>Error?</v>
      </c>
    </row>
    <row r="3381" spans="1:4" x14ac:dyDescent="0.2">
      <c r="A3381" s="5">
        <v>3320</v>
      </c>
      <c r="B3381" s="1763">
        <f>'Expenditures 15-22'!K19</f>
        <v>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11059</v>
      </c>
      <c r="D3387" s="2" t="str">
        <f t="shared" si="51"/>
        <v>Error?</v>
      </c>
    </row>
    <row r="3388" spans="1:4" x14ac:dyDescent="0.2">
      <c r="A3388" s="5">
        <v>3327</v>
      </c>
      <c r="B3388" s="1763">
        <f>'Expenditures 15-22'!D217</f>
        <v>16709</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11059</v>
      </c>
      <c r="C3390" s="2" t="s">
        <v>569</v>
      </c>
      <c r="D3390" s="2" t="str">
        <f t="shared" si="51"/>
        <v>Error?</v>
      </c>
    </row>
    <row r="3391" spans="1:4" x14ac:dyDescent="0.2">
      <c r="A3391" s="5">
        <v>3330</v>
      </c>
      <c r="B3391" s="1763">
        <f>'Expenditures 15-22'!K217</f>
        <v>16709</v>
      </c>
      <c r="C3391" s="2" t="s">
        <v>569</v>
      </c>
      <c r="D3391" s="2" t="str">
        <f t="shared" ref="D3391:D3454" si="52">IF(ISBLANK(B3391),"OK",IF(A3391-B3391=0,"OK","Error?"))</f>
        <v>Error?</v>
      </c>
    </row>
    <row r="3392" spans="1:4" x14ac:dyDescent="0.2">
      <c r="A3392" s="5">
        <v>3331</v>
      </c>
      <c r="B3392" s="1763">
        <f>'Expenditures 15-22'!K228</f>
        <v>0</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7799692</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1642771</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520151</v>
      </c>
      <c r="D3417" s="2" t="str">
        <f t="shared" si="52"/>
        <v>Error?</v>
      </c>
    </row>
    <row r="3418" spans="1:4" x14ac:dyDescent="0.2">
      <c r="A3418" s="10">
        <v>3357</v>
      </c>
      <c r="B3418" s="1763"/>
      <c r="D3418" s="2" t="str">
        <f t="shared" si="52"/>
        <v>OK</v>
      </c>
    </row>
    <row r="3419" spans="1:4" x14ac:dyDescent="0.2">
      <c r="A3419" s="5">
        <v>3358</v>
      </c>
      <c r="B3419" s="1763">
        <f>'Assets-Liab 5-6'!F4</f>
        <v>1031287</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806031</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291298</v>
      </c>
      <c r="D3425" s="2" t="str">
        <f t="shared" si="52"/>
        <v>Error?</v>
      </c>
    </row>
    <row r="3426" spans="1:4" x14ac:dyDescent="0.2">
      <c r="A3426" s="10">
        <v>3365</v>
      </c>
      <c r="B3426" s="1763"/>
      <c r="D3426" s="2" t="str">
        <f t="shared" si="52"/>
        <v>OK</v>
      </c>
    </row>
    <row r="3427" spans="1:4" x14ac:dyDescent="0.2">
      <c r="A3427" s="5">
        <v>3366</v>
      </c>
      <c r="B3427" s="1763">
        <f>'Assets-Liab 5-6'!I4</f>
        <v>1313224</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256330</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257841</v>
      </c>
      <c r="C3446" s="2" t="s">
        <v>569</v>
      </c>
      <c r="D3446" s="2" t="str">
        <f t="shared" si="52"/>
        <v>Error?</v>
      </c>
    </row>
    <row r="3447" spans="1:4" x14ac:dyDescent="0.2">
      <c r="A3447" s="5">
        <v>3386</v>
      </c>
      <c r="B3447" s="1763">
        <f>'Tax Sched 23'!D16</f>
        <v>126145</v>
      </c>
      <c r="C3447" s="2" t="s">
        <v>569</v>
      </c>
      <c r="D3447" s="2" t="str">
        <f t="shared" si="52"/>
        <v>Error?</v>
      </c>
    </row>
    <row r="3448" spans="1:4" x14ac:dyDescent="0.2">
      <c r="A3448" s="5">
        <v>3387</v>
      </c>
      <c r="B3448" s="1763">
        <f>'Tax Sched 23'!C16</f>
        <v>131696</v>
      </c>
      <c r="D3448" s="2" t="str">
        <f t="shared" si="52"/>
        <v>Error?</v>
      </c>
    </row>
    <row r="3449" spans="1:4" x14ac:dyDescent="0.2">
      <c r="A3449" s="5">
        <v>3388</v>
      </c>
      <c r="B3449" s="1763">
        <f>'Tax Sched 23'!F16</f>
        <v>125038</v>
      </c>
      <c r="C3449" s="2" t="s">
        <v>569</v>
      </c>
      <c r="D3449" s="2" t="str">
        <f t="shared" si="52"/>
        <v>Error?</v>
      </c>
    </row>
    <row r="3450" spans="1:4" x14ac:dyDescent="0.2">
      <c r="A3450" s="5">
        <v>3389</v>
      </c>
      <c r="B3450" s="1763">
        <f>'Tax Sched 23'!E16</f>
        <v>256734</v>
      </c>
      <c r="D3450" s="2" t="str">
        <f t="shared" si="52"/>
        <v>Error?</v>
      </c>
    </row>
    <row r="3451" spans="1:4" x14ac:dyDescent="0.2">
      <c r="A3451" s="5">
        <v>3390</v>
      </c>
      <c r="B3451" s="1763">
        <f>'Cap Outlay Deprec 26'!C15</f>
        <v>0</v>
      </c>
      <c r="D3451" s="2" t="str">
        <f t="shared" si="52"/>
        <v>Error?</v>
      </c>
    </row>
    <row r="3452" spans="1:4" x14ac:dyDescent="0.2">
      <c r="A3452" s="5">
        <v>3391</v>
      </c>
      <c r="B3452" s="1763">
        <f>'Cap Outlay Deprec 26'!D15</f>
        <v>0</v>
      </c>
      <c r="D3452" s="2" t="str">
        <f t="shared" si="52"/>
        <v>Error?</v>
      </c>
    </row>
    <row r="3453" spans="1:4" x14ac:dyDescent="0.2">
      <c r="A3453" s="5">
        <v>3392</v>
      </c>
      <c r="B3453" s="1763">
        <f>'Cap Outlay Deprec 26'!E15</f>
        <v>0</v>
      </c>
      <c r="D3453" s="2" t="str">
        <f t="shared" si="52"/>
        <v>Error?</v>
      </c>
    </row>
    <row r="3454" spans="1:4" x14ac:dyDescent="0.2">
      <c r="A3454" s="5">
        <v>3393</v>
      </c>
      <c r="B3454" s="1763">
        <f>'Cap Outlay Deprec 26'!F15</f>
        <v>0</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0</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1994</v>
      </c>
      <c r="E3521" s="4" t="s">
        <v>134</v>
      </c>
    </row>
    <row r="3522" spans="1:5" x14ac:dyDescent="0.2">
      <c r="A3522" s="10">
        <v>3461</v>
      </c>
      <c r="B3522" s="1763"/>
      <c r="D3522" s="4" t="s">
        <v>1994</v>
      </c>
      <c r="E3522" s="4" t="s">
        <v>134</v>
      </c>
    </row>
    <row r="3523" spans="1:5" x14ac:dyDescent="0.2">
      <c r="A3523" s="10">
        <v>3462</v>
      </c>
      <c r="B3523" s="1763"/>
      <c r="D3523" s="4" t="s">
        <v>1994</v>
      </c>
      <c r="E3523" s="4" t="s">
        <v>134</v>
      </c>
    </row>
    <row r="3524" spans="1:5" x14ac:dyDescent="0.2">
      <c r="A3524" s="10">
        <v>3463</v>
      </c>
      <c r="B3524" s="1763"/>
      <c r="D3524" s="4" t="s">
        <v>1994</v>
      </c>
      <c r="E3524" s="4" t="s">
        <v>134</v>
      </c>
    </row>
    <row r="3525" spans="1:5" x14ac:dyDescent="0.2">
      <c r="A3525" s="10">
        <v>3464</v>
      </c>
      <c r="B3525" s="1763"/>
      <c r="D3525" s="4" t="s">
        <v>1994</v>
      </c>
      <c r="E3525" s="4" t="s">
        <v>134</v>
      </c>
    </row>
    <row r="3526" spans="1:5" x14ac:dyDescent="0.2">
      <c r="A3526" s="10">
        <v>3465</v>
      </c>
      <c r="B3526" s="1763"/>
      <c r="D3526" s="4" t="s">
        <v>1994</v>
      </c>
      <c r="E3526" s="4" t="s">
        <v>134</v>
      </c>
    </row>
    <row r="3527" spans="1:5" x14ac:dyDescent="0.2">
      <c r="A3527" s="10">
        <v>3466</v>
      </c>
      <c r="B3527" s="1763"/>
      <c r="D3527" s="4" t="s">
        <v>1994</v>
      </c>
      <c r="E3527" s="4" t="s">
        <v>134</v>
      </c>
    </row>
    <row r="3528" spans="1:5" x14ac:dyDescent="0.2">
      <c r="A3528" s="10">
        <v>3467</v>
      </c>
      <c r="B3528" s="1763"/>
      <c r="D3528" s="4" t="s">
        <v>1994</v>
      </c>
      <c r="E3528" s="4" t="s">
        <v>134</v>
      </c>
    </row>
    <row r="3529" spans="1:5" x14ac:dyDescent="0.2">
      <c r="A3529" s="10">
        <v>3468</v>
      </c>
      <c r="B3529" s="1763"/>
      <c r="D3529" s="4" t="s">
        <v>1994</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0</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0</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0</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0</v>
      </c>
      <c r="C3568" s="2" t="s">
        <v>569</v>
      </c>
      <c r="D3568" s="2" t="str">
        <f t="shared" si="54"/>
        <v>Error?</v>
      </c>
    </row>
    <row r="3569" spans="1:4" x14ac:dyDescent="0.2">
      <c r="A3569" s="5">
        <v>3508</v>
      </c>
      <c r="B3569" s="1763">
        <f>'Acct Summary 7-8'!K4</f>
        <v>0</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0</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0</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0</v>
      </c>
      <c r="C3588" s="2" t="s">
        <v>569</v>
      </c>
      <c r="D3588" s="2" t="str">
        <f t="shared" si="55"/>
        <v>Error?</v>
      </c>
    </row>
    <row r="3589" spans="1:4" x14ac:dyDescent="0.2">
      <c r="A3589" s="5">
        <v>3528</v>
      </c>
      <c r="B3589" s="1763">
        <f>'Acct Summary 7-8'!K79</f>
        <v>0</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0</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0</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185037</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0</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0</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10292237</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27212614</v>
      </c>
      <c r="C4122" s="2" t="s">
        <v>569</v>
      </c>
      <c r="D4122" s="2" t="str">
        <f t="shared" si="63"/>
        <v>Error?</v>
      </c>
    </row>
    <row r="4123" spans="1:4" x14ac:dyDescent="0.2">
      <c r="A4123" s="5">
        <v>4062</v>
      </c>
      <c r="B4123" s="1763">
        <f>'Acct Summary 7-8'!D10</f>
        <v>1108001</v>
      </c>
      <c r="C4123" s="2" t="s">
        <v>569</v>
      </c>
      <c r="D4123" s="2" t="str">
        <f t="shared" si="63"/>
        <v>Error?</v>
      </c>
    </row>
    <row r="4124" spans="1:4" x14ac:dyDescent="0.2">
      <c r="A4124" s="5">
        <v>4063</v>
      </c>
      <c r="B4124" s="1763">
        <f>'Acct Summary 7-8'!E10</f>
        <v>807075</v>
      </c>
      <c r="C4124" s="2" t="s">
        <v>569</v>
      </c>
      <c r="D4124" s="2" t="str">
        <f t="shared" si="63"/>
        <v>Error?</v>
      </c>
    </row>
    <row r="4125" spans="1:4" x14ac:dyDescent="0.2">
      <c r="A4125" s="5">
        <v>4064</v>
      </c>
      <c r="B4125" s="1763">
        <f>'Acct Summary 7-8'!F10</f>
        <v>1057697</v>
      </c>
      <c r="C4125" s="2" t="s">
        <v>569</v>
      </c>
      <c r="D4125" s="2" t="str">
        <f t="shared" si="63"/>
        <v>Error?</v>
      </c>
    </row>
    <row r="4126" spans="1:4" x14ac:dyDescent="0.2">
      <c r="A4126" s="5">
        <v>4065</v>
      </c>
      <c r="B4126" s="1763">
        <f>'Acct Summary 7-8'!G10</f>
        <v>528960</v>
      </c>
      <c r="C4126" s="2" t="s">
        <v>569</v>
      </c>
      <c r="D4126" s="2" t="str">
        <f t="shared" si="63"/>
        <v>Error?</v>
      </c>
    </row>
    <row r="4127" spans="1:4" x14ac:dyDescent="0.2">
      <c r="A4127" s="5">
        <v>4066</v>
      </c>
      <c r="B4127" s="1763">
        <f>'Acct Summary 7-8'!H10</f>
        <v>0</v>
      </c>
      <c r="C4127" s="2" t="s">
        <v>569</v>
      </c>
      <c r="D4127" s="2" t="str">
        <f t="shared" si="63"/>
        <v>Error?</v>
      </c>
    </row>
    <row r="4128" spans="1:4" x14ac:dyDescent="0.2">
      <c r="A4128" s="5">
        <v>4067</v>
      </c>
      <c r="B4128" s="1763">
        <f>'Acct Summary 7-8'!I10</f>
        <v>0</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0</v>
      </c>
      <c r="C4130" s="2" t="s">
        <v>569</v>
      </c>
      <c r="D4130" s="2" t="str">
        <f t="shared" si="63"/>
        <v>Error?</v>
      </c>
    </row>
    <row r="4131" spans="1:4" x14ac:dyDescent="0.2">
      <c r="A4131" s="5">
        <v>4070</v>
      </c>
      <c r="B4131" s="1763">
        <f>'Acct Summary 7-8'!C18</f>
        <v>10292237</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26982689</v>
      </c>
      <c r="C4136" s="2" t="s">
        <v>569</v>
      </c>
      <c r="D4136" s="2" t="str">
        <f t="shared" si="63"/>
        <v>Error?</v>
      </c>
    </row>
    <row r="4137" spans="1:4" x14ac:dyDescent="0.2">
      <c r="A4137" s="5">
        <v>4076</v>
      </c>
      <c r="B4137" s="1763">
        <f>'Acct Summary 7-8'!D19</f>
        <v>1137743</v>
      </c>
      <c r="C4137" s="2" t="s">
        <v>569</v>
      </c>
      <c r="D4137" s="2" t="str">
        <f t="shared" si="63"/>
        <v>Error?</v>
      </c>
    </row>
    <row r="4138" spans="1:4" x14ac:dyDescent="0.2">
      <c r="A4138" s="5">
        <v>4077</v>
      </c>
      <c r="B4138" s="1763">
        <f>'Acct Summary 7-8'!E19</f>
        <v>786100</v>
      </c>
      <c r="C4138" s="2" t="s">
        <v>569</v>
      </c>
      <c r="D4138" s="2" t="str">
        <f t="shared" si="63"/>
        <v>Error?</v>
      </c>
    </row>
    <row r="4139" spans="1:4" x14ac:dyDescent="0.2">
      <c r="A4139" s="5">
        <v>4078</v>
      </c>
      <c r="B4139" s="1763">
        <f>'Acct Summary 7-8'!F19</f>
        <v>844112</v>
      </c>
      <c r="C4139" s="2" t="s">
        <v>569</v>
      </c>
      <c r="D4139" s="2" t="str">
        <f t="shared" si="63"/>
        <v>Error?</v>
      </c>
    </row>
    <row r="4140" spans="1:4" x14ac:dyDescent="0.2">
      <c r="A4140" s="5">
        <v>4079</v>
      </c>
      <c r="B4140" s="1763">
        <f>'Acct Summary 7-8'!G19</f>
        <v>338670</v>
      </c>
      <c r="C4140" s="2" t="s">
        <v>569</v>
      </c>
      <c r="D4140" s="2" t="str">
        <f t="shared" si="63"/>
        <v>Error?</v>
      </c>
    </row>
    <row r="4141" spans="1:4" x14ac:dyDescent="0.2">
      <c r="A4141" s="5">
        <v>4080</v>
      </c>
      <c r="B4141" s="1763">
        <f>'Acct Summary 7-8'!H19</f>
        <v>59881</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2835000</v>
      </c>
      <c r="C4171" s="2" t="s">
        <v>569</v>
      </c>
      <c r="D4171" s="2" t="str">
        <f t="shared" si="64"/>
        <v>Error?</v>
      </c>
    </row>
    <row r="4172" spans="1:4" x14ac:dyDescent="0.2">
      <c r="A4172" s="5">
        <v>4111</v>
      </c>
      <c r="B4172" s="1763">
        <f>'Short-Term Long-Term Debt 24'!J49</f>
        <v>2835000</v>
      </c>
      <c r="C4172" s="2" t="s">
        <v>569</v>
      </c>
      <c r="D4172" s="2" t="str">
        <f t="shared" si="64"/>
        <v>Error?</v>
      </c>
    </row>
    <row r="4173" spans="1:4" x14ac:dyDescent="0.2">
      <c r="A4173" s="5">
        <v>4112</v>
      </c>
      <c r="B4173" s="1763">
        <f>'Short-Term Long-Term Debt 24'!H49</f>
        <v>710000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0</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1896</v>
      </c>
    </row>
    <row r="4236" spans="1:5" x14ac:dyDescent="0.2">
      <c r="A4236" s="10">
        <v>4175</v>
      </c>
      <c r="B4236" s="1763"/>
      <c r="D4236" s="2" t="str">
        <f t="shared" si="65"/>
        <v>OK</v>
      </c>
      <c r="E4236" s="4" t="s">
        <v>1896</v>
      </c>
    </row>
    <row r="4237" spans="1:5" x14ac:dyDescent="0.2">
      <c r="A4237" s="10">
        <v>4176</v>
      </c>
      <c r="B4237" s="1763"/>
      <c r="D4237" s="2" t="str">
        <f t="shared" si="65"/>
        <v>OK</v>
      </c>
      <c r="E4237" s="4" t="s">
        <v>1896</v>
      </c>
    </row>
    <row r="4238" spans="1:5" x14ac:dyDescent="0.2">
      <c r="A4238" s="10">
        <v>4177</v>
      </c>
      <c r="B4238" s="1763"/>
      <c r="D4238" s="2" t="str">
        <f t="shared" si="65"/>
        <v>OK</v>
      </c>
      <c r="E4238" s="4" t="s">
        <v>1896</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2443.9</v>
      </c>
      <c r="C4265" s="2" t="s">
        <v>569</v>
      </c>
      <c r="D4265" s="2" t="str">
        <f t="shared" si="65"/>
        <v>Error?</v>
      </c>
      <c r="E4265" s="125"/>
    </row>
    <row r="4266" spans="1:5" x14ac:dyDescent="0.2">
      <c r="A4266" s="12">
        <v>4205</v>
      </c>
      <c r="B4266" s="1763">
        <f>('FP Info 3'!F10)*100000</f>
        <v>172.4</v>
      </c>
      <c r="C4266" s="2" t="s">
        <v>569</v>
      </c>
      <c r="D4266" s="2" t="str">
        <f t="shared" si="65"/>
        <v>Error?</v>
      </c>
      <c r="E4266" s="125"/>
    </row>
    <row r="4267" spans="1:5" x14ac:dyDescent="0.2">
      <c r="A4267" s="12">
        <v>4206</v>
      </c>
      <c r="B4267" s="1763">
        <f>('FP Info 3'!H10)*100000</f>
        <v>110.6</v>
      </c>
      <c r="C4267" s="2" t="s">
        <v>569</v>
      </c>
      <c r="D4267" s="2" t="str">
        <f t="shared" si="65"/>
        <v>Error?</v>
      </c>
      <c r="E4267" s="125"/>
    </row>
    <row r="4268" spans="1:5" x14ac:dyDescent="0.2">
      <c r="A4268" s="12">
        <v>4207</v>
      </c>
      <c r="B4268" s="1763">
        <f>('FP Info 3'!J10)*100000</f>
        <v>2727</v>
      </c>
      <c r="C4268" s="2" t="s">
        <v>569</v>
      </c>
      <c r="D4268" s="2" t="str">
        <f t="shared" si="65"/>
        <v>Error?</v>
      </c>
    </row>
    <row r="4269" spans="1:5" x14ac:dyDescent="0.2">
      <c r="A4269" s="12">
        <v>4208</v>
      </c>
      <c r="B4269" s="1763">
        <f>'FP Info 3'!J16</f>
        <v>11004765</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50000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16014</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70979</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1896</v>
      </c>
    </row>
    <row r="4400" spans="1:5" x14ac:dyDescent="0.2">
      <c r="A4400" s="10">
        <v>4339</v>
      </c>
      <c r="B4400" s="1763"/>
      <c r="D4400" s="2" t="str">
        <f t="shared" si="67"/>
        <v>OK</v>
      </c>
      <c r="E4400" s="4" t="s">
        <v>1896</v>
      </c>
    </row>
    <row r="4401" spans="1:5" x14ac:dyDescent="0.2">
      <c r="A4401" s="10">
        <v>4340</v>
      </c>
      <c r="B4401" s="1763"/>
      <c r="D4401" s="2" t="str">
        <f t="shared" si="67"/>
        <v>OK</v>
      </c>
      <c r="E4401" s="4" t="s">
        <v>1896</v>
      </c>
    </row>
    <row r="4402" spans="1:5" x14ac:dyDescent="0.2">
      <c r="A4402" s="10">
        <v>4341</v>
      </c>
      <c r="B4402" s="1763"/>
      <c r="D4402" s="2" t="str">
        <f t="shared" si="67"/>
        <v>OK</v>
      </c>
      <c r="E4402" s="4" t="s">
        <v>1896</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24334</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20179</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47821</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0</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250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0</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530441355</v>
      </c>
      <c r="D4995" s="2" t="str">
        <f t="shared" si="77"/>
        <v>Error?</v>
      </c>
    </row>
    <row r="4996" spans="1:4" x14ac:dyDescent="0.2">
      <c r="A4996" s="12">
        <v>4935</v>
      </c>
      <c r="B4996" s="1763">
        <f>'FP Info 3'!H31</f>
        <v>36600453.495000005</v>
      </c>
      <c r="D4996" s="2" t="str">
        <f t="shared" si="77"/>
        <v>Error?</v>
      </c>
    </row>
    <row r="4997" spans="1:4" x14ac:dyDescent="0.2">
      <c r="A4997" s="12">
        <v>4936</v>
      </c>
      <c r="B4997" s="1763">
        <f>'FP Info 3'!H37</f>
        <v>2835000</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12829323</v>
      </c>
      <c r="D5061" s="2" t="str">
        <f t="shared" si="78"/>
        <v>Error?</v>
      </c>
    </row>
    <row r="5062" spans="1:4" x14ac:dyDescent="0.2">
      <c r="A5062" s="10">
        <v>5001</v>
      </c>
      <c r="B5062" s="1763"/>
      <c r="D5062" s="2" t="str">
        <f t="shared" si="78"/>
        <v>OK</v>
      </c>
    </row>
    <row r="5063" spans="1:4" x14ac:dyDescent="0.2">
      <c r="A5063" s="5">
        <v>5002</v>
      </c>
      <c r="B5063" s="1763">
        <f>'Revenues 9-14'!C7</f>
        <v>103861</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12933184</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0</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0</v>
      </c>
      <c r="C5071" s="2" t="s">
        <v>569</v>
      </c>
      <c r="D5071" s="2" t="str">
        <f t="shared" si="78"/>
        <v>Error?</v>
      </c>
    </row>
    <row r="5072" spans="1:4" x14ac:dyDescent="0.2">
      <c r="A5072" s="5">
        <v>5011</v>
      </c>
      <c r="B5072" s="1763">
        <f>'Revenues 9-14'!C20</f>
        <v>18502</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2500</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21002</v>
      </c>
      <c r="C5087" s="2" t="s">
        <v>569</v>
      </c>
      <c r="D5087" s="2" t="str">
        <f t="shared" si="78"/>
        <v>Error?</v>
      </c>
    </row>
    <row r="5088" spans="1:4" x14ac:dyDescent="0.2">
      <c r="A5088" s="5">
        <v>5027</v>
      </c>
      <c r="B5088" s="1763">
        <f>'Revenues 9-14'!C65</f>
        <v>116990</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116990</v>
      </c>
      <c r="C5090" s="2" t="s">
        <v>569</v>
      </c>
      <c r="D5090" s="2" t="str">
        <f t="shared" si="78"/>
        <v>Error?</v>
      </c>
    </row>
    <row r="5091" spans="1:4" x14ac:dyDescent="0.2">
      <c r="A5091" s="5">
        <v>5030</v>
      </c>
      <c r="B5091" s="1763">
        <f>'Revenues 9-14'!C70</f>
        <v>7323</v>
      </c>
      <c r="D5091" s="2" t="str">
        <f t="shared" si="78"/>
        <v>Error?</v>
      </c>
    </row>
    <row r="5092" spans="1:4" x14ac:dyDescent="0.2">
      <c r="A5092" s="5">
        <v>5031</v>
      </c>
      <c r="B5092" s="1763">
        <f>'Revenues 9-14'!C71</f>
        <v>23287</v>
      </c>
      <c r="D5092" s="2" t="str">
        <f t="shared" si="78"/>
        <v>Error?</v>
      </c>
    </row>
    <row r="5093" spans="1:4" x14ac:dyDescent="0.2">
      <c r="A5093" s="5">
        <v>5032</v>
      </c>
      <c r="B5093" s="1763">
        <f>'Revenues 9-14'!C72</f>
        <v>5473</v>
      </c>
      <c r="D5093" s="2" t="str">
        <f t="shared" si="78"/>
        <v>Error?</v>
      </c>
    </row>
    <row r="5094" spans="1:4" x14ac:dyDescent="0.2">
      <c r="A5094" s="5">
        <v>5033</v>
      </c>
      <c r="B5094" s="1763">
        <f>'Revenues 9-14'!C73</f>
        <v>1000</v>
      </c>
      <c r="D5094" s="2" t="str">
        <f t="shared" si="78"/>
        <v>Error?</v>
      </c>
    </row>
    <row r="5095" spans="1:4" x14ac:dyDescent="0.2">
      <c r="A5095" s="5">
        <v>5034</v>
      </c>
      <c r="B5095" s="1763">
        <f>'Revenues 9-14'!C74</f>
        <v>1629</v>
      </c>
      <c r="D5095" s="2" t="str">
        <f t="shared" si="78"/>
        <v>Error?</v>
      </c>
    </row>
    <row r="5096" spans="1:4" x14ac:dyDescent="0.2">
      <c r="A5096" s="5">
        <v>5035</v>
      </c>
      <c r="B5096" s="1763">
        <f>'Revenues 9-14'!C75</f>
        <v>101343</v>
      </c>
      <c r="C5096" s="2" t="s">
        <v>569</v>
      </c>
      <c r="D5096" s="2" t="str">
        <f t="shared" si="78"/>
        <v>Error?</v>
      </c>
    </row>
    <row r="5097" spans="1:4" x14ac:dyDescent="0.2">
      <c r="A5097" s="5">
        <v>5036</v>
      </c>
      <c r="B5097" s="1763">
        <f>'Revenues 9-14'!C77</f>
        <v>0</v>
      </c>
      <c r="D5097" s="2" t="str">
        <f t="shared" si="78"/>
        <v>Error?</v>
      </c>
    </row>
    <row r="5098" spans="1:4" x14ac:dyDescent="0.2">
      <c r="A5098" s="5">
        <v>5037</v>
      </c>
      <c r="B5098" s="1763">
        <f>'Revenues 9-14'!C78</f>
        <v>6840</v>
      </c>
      <c r="D5098" s="2" t="str">
        <f t="shared" si="78"/>
        <v>Error?</v>
      </c>
    </row>
    <row r="5099" spans="1:4" x14ac:dyDescent="0.2">
      <c r="A5099" s="5">
        <v>5038</v>
      </c>
      <c r="B5099" s="1763">
        <f>'Revenues 9-14'!C79</f>
        <v>63828</v>
      </c>
      <c r="D5099" s="2" t="str">
        <f t="shared" si="78"/>
        <v>Error?</v>
      </c>
    </row>
    <row r="5100" spans="1:4" x14ac:dyDescent="0.2">
      <c r="A5100" s="5">
        <v>5039</v>
      </c>
      <c r="B5100" s="1763">
        <f>'Revenues 9-14'!C80</f>
        <v>0</v>
      </c>
      <c r="D5100" s="2" t="str">
        <f t="shared" si="78"/>
        <v>Error?</v>
      </c>
    </row>
    <row r="5101" spans="1:4" x14ac:dyDescent="0.2">
      <c r="A5101" s="5">
        <v>5040</v>
      </c>
      <c r="B5101" s="1763">
        <f>'Revenues 9-14'!C81</f>
        <v>9713</v>
      </c>
      <c r="D5101" s="2" t="str">
        <f t="shared" si="78"/>
        <v>Error?</v>
      </c>
    </row>
    <row r="5102" spans="1:4" x14ac:dyDescent="0.2">
      <c r="A5102" s="5">
        <v>5041</v>
      </c>
      <c r="B5102" s="1763">
        <f>'Revenues 9-14'!C82</f>
        <v>80381</v>
      </c>
      <c r="C5102" s="2" t="s">
        <v>569</v>
      </c>
      <c r="D5102" s="2" t="str">
        <f t="shared" si="78"/>
        <v>Error?</v>
      </c>
    </row>
    <row r="5103" spans="1:4" x14ac:dyDescent="0.2">
      <c r="A5103" s="5">
        <v>5042</v>
      </c>
      <c r="B5103" s="1763">
        <f>'Revenues 9-14'!C84</f>
        <v>68130</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68130</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0</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2846</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71894</v>
      </c>
      <c r="D5119" s="2" t="str">
        <f t="shared" ref="D5119:D5182" si="79">IF(ISBLANK(B5119),"OK",IF(A5119-B5119=0,"OK","Error?"))</f>
        <v>Error?</v>
      </c>
    </row>
    <row r="5120" spans="1:4" x14ac:dyDescent="0.2">
      <c r="A5120" s="5">
        <v>5059</v>
      </c>
      <c r="B5120" s="1763">
        <f>'Revenues 9-14'!C108</f>
        <v>74740</v>
      </c>
      <c r="C5120" s="2" t="s">
        <v>569</v>
      </c>
      <c r="D5120" s="2" t="str">
        <f t="shared" si="79"/>
        <v>Error?</v>
      </c>
    </row>
    <row r="5121" spans="1:4" x14ac:dyDescent="0.2">
      <c r="A5121" s="5">
        <v>5060</v>
      </c>
      <c r="B5121" s="1763">
        <f>'Revenues 9-14'!C109</f>
        <v>13395770</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1912819</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1912819</v>
      </c>
      <c r="C5132" s="2" t="s">
        <v>569</v>
      </c>
      <c r="D5132" s="2" t="str">
        <f t="shared" si="79"/>
        <v>Error?</v>
      </c>
    </row>
    <row r="5133" spans="1:4" x14ac:dyDescent="0.2">
      <c r="A5133" s="5">
        <v>5072</v>
      </c>
      <c r="B5133" s="1763">
        <f>'Revenues 9-14'!C125</f>
        <v>5197</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28220</v>
      </c>
      <c r="D5137" s="2" t="str">
        <f t="shared" si="79"/>
        <v>Error?</v>
      </c>
    </row>
    <row r="5138" spans="1:4" x14ac:dyDescent="0.2">
      <c r="A5138" s="10">
        <v>5077</v>
      </c>
      <c r="B5138" s="1763"/>
      <c r="D5138" s="2" t="str">
        <f t="shared" si="79"/>
        <v>OK</v>
      </c>
    </row>
    <row r="5139" spans="1:4" x14ac:dyDescent="0.2">
      <c r="A5139" s="5">
        <v>5078</v>
      </c>
      <c r="B5139" s="1763">
        <f>'Revenues 9-14'!C129</f>
        <v>22974</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56391</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0</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2052</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0</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1896</v>
      </c>
    </row>
    <row r="5200" spans="1:5" x14ac:dyDescent="0.2">
      <c r="A5200" s="10">
        <v>5139</v>
      </c>
      <c r="B5200" s="1763"/>
      <c r="D5200" s="2" t="str">
        <f t="shared" si="80"/>
        <v>OK</v>
      </c>
      <c r="E5200" s="4" t="s">
        <v>1896</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58693</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1971512</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121507</v>
      </c>
      <c r="D5239" s="2" t="str">
        <f t="shared" si="80"/>
        <v>Error?</v>
      </c>
    </row>
    <row r="5240" spans="1:4" x14ac:dyDescent="0.2">
      <c r="A5240" s="5">
        <v>5179</v>
      </c>
      <c r="B5240" s="1763">
        <f>'Revenues 9-14'!C192</f>
        <v>0</v>
      </c>
      <c r="D5240" s="2" t="str">
        <f t="shared" si="80"/>
        <v>Error?</v>
      </c>
    </row>
    <row r="5241" spans="1:4" x14ac:dyDescent="0.2">
      <c r="A5241" s="5">
        <v>5180</v>
      </c>
      <c r="B5241" s="1763">
        <f>'Revenues 9-14'!C193</f>
        <v>28607</v>
      </c>
      <c r="D5241" s="2" t="str">
        <f t="shared" si="80"/>
        <v>Error?</v>
      </c>
    </row>
    <row r="5242" spans="1:4" x14ac:dyDescent="0.2">
      <c r="A5242" s="5">
        <v>5181</v>
      </c>
      <c r="B5242" s="1763">
        <f>'Revenues 9-14'!C194</f>
        <v>34923</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185037</v>
      </c>
      <c r="C5246" s="2" t="s">
        <v>569</v>
      </c>
      <c r="D5246" s="2" t="str">
        <f t="shared" si="80"/>
        <v>Error?</v>
      </c>
    </row>
    <row r="5247" spans="1:4" x14ac:dyDescent="0.2">
      <c r="A5247" s="5">
        <v>5186</v>
      </c>
      <c r="B5247" s="1763">
        <f>'Revenues 9-14'!C200</f>
        <v>199193</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1896</v>
      </c>
    </row>
    <row r="5255" spans="1:5" x14ac:dyDescent="0.2">
      <c r="A5255" s="5">
        <v>5194</v>
      </c>
      <c r="B5255" s="1763">
        <f>'Revenues 9-14'!C202</f>
        <v>0</v>
      </c>
      <c r="D5255" s="2" t="str">
        <f t="shared" si="81"/>
        <v>Error?</v>
      </c>
    </row>
    <row r="5256" spans="1:5" x14ac:dyDescent="0.2">
      <c r="A5256" s="5">
        <v>5195</v>
      </c>
      <c r="B5256" s="1763">
        <f>'Revenues 9-14'!C206</f>
        <v>24334</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199193</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15512</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935070</v>
      </c>
      <c r="D5278" s="2" t="str">
        <f t="shared" si="81"/>
        <v>Error?</v>
      </c>
    </row>
    <row r="5279" spans="1:4" x14ac:dyDescent="0.2">
      <c r="A5279" s="5">
        <v>5218</v>
      </c>
      <c r="B5279" s="1763">
        <f>'Revenues 9-14'!C214</f>
        <v>38956</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989538</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0</v>
      </c>
      <c r="D5312" s="2" t="str">
        <f t="shared" si="82"/>
        <v>Error?</v>
      </c>
    </row>
    <row r="5313" spans="1:5" x14ac:dyDescent="0.2">
      <c r="A5313" s="10">
        <v>5252</v>
      </c>
      <c r="B5313" s="1763"/>
      <c r="D5313" s="2" t="str">
        <f t="shared" si="82"/>
        <v>OK</v>
      </c>
      <c r="E5313" s="4" t="s">
        <v>1896</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1553095</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1553095</v>
      </c>
      <c r="C5326" s="2" t="s">
        <v>569</v>
      </c>
      <c r="D5326" s="2" t="str">
        <f t="shared" si="82"/>
        <v>Error?</v>
      </c>
    </row>
    <row r="5327" spans="1:5" x14ac:dyDescent="0.2">
      <c r="A5327" s="5">
        <v>5266</v>
      </c>
      <c r="B5327" s="1763">
        <f>'Revenues 9-14'!C268</f>
        <v>16920377</v>
      </c>
      <c r="C5327" s="2" t="s">
        <v>569</v>
      </c>
      <c r="D5327" s="2" t="str">
        <f t="shared" si="82"/>
        <v>Error?</v>
      </c>
    </row>
    <row r="5328" spans="1:5" x14ac:dyDescent="0.2">
      <c r="A5328" s="5">
        <v>5267</v>
      </c>
      <c r="B5328" s="1763">
        <f>'Revenues 9-14'!D5</f>
        <v>918951</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918951</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59685</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59685</v>
      </c>
      <c r="C5339" s="2" t="s">
        <v>569</v>
      </c>
      <c r="D5339" s="2" t="str">
        <f t="shared" si="82"/>
        <v>Error?</v>
      </c>
    </row>
    <row r="5340" spans="1:4" x14ac:dyDescent="0.2">
      <c r="A5340" s="5">
        <v>5279</v>
      </c>
      <c r="B5340" s="1763">
        <f>'Revenues 9-14'!D65</f>
        <v>7197</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7197</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72168</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0</v>
      </c>
      <c r="D5354" s="2" t="str">
        <f t="shared" si="82"/>
        <v>Error?</v>
      </c>
    </row>
    <row r="5355" spans="1:4" x14ac:dyDescent="0.2">
      <c r="A5355" s="5">
        <v>5294</v>
      </c>
      <c r="B5355" s="1763">
        <f>'Revenues 9-14'!D108</f>
        <v>72168</v>
      </c>
      <c r="C5355" s="2" t="s">
        <v>569</v>
      </c>
      <c r="D5355" s="2" t="str">
        <f t="shared" si="82"/>
        <v>Error?</v>
      </c>
    </row>
    <row r="5356" spans="1:4" x14ac:dyDescent="0.2">
      <c r="A5356" s="5">
        <v>5295</v>
      </c>
      <c r="B5356" s="1763">
        <f>'Revenues 9-14'!D109</f>
        <v>1058001</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50000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50000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1896</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569</v>
      </c>
      <c r="D5507" s="2" t="str">
        <f t="shared" si="85"/>
        <v>Error?</v>
      </c>
    </row>
    <row r="5508" spans="1:4" x14ac:dyDescent="0.2">
      <c r="A5508" s="5">
        <v>5447</v>
      </c>
      <c r="B5508" s="1763">
        <f>'Revenues 9-14'!D268</f>
        <v>1108001</v>
      </c>
      <c r="C5508" s="2" t="s">
        <v>569</v>
      </c>
      <c r="D5508" s="2" t="str">
        <f t="shared" si="85"/>
        <v>Error?</v>
      </c>
    </row>
    <row r="5509" spans="1:4" x14ac:dyDescent="0.2">
      <c r="A5509" s="5">
        <v>5448</v>
      </c>
      <c r="B5509" s="1763">
        <f>'Revenues 9-14'!E5</f>
        <v>799800</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799800</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7275</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7275</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569</v>
      </c>
      <c r="D5526" s="2" t="str">
        <f t="shared" si="85"/>
        <v>Error?</v>
      </c>
    </row>
    <row r="5527" spans="1:4" x14ac:dyDescent="0.2">
      <c r="A5527" s="5">
        <v>5466</v>
      </c>
      <c r="B5527" s="1763">
        <f>'Revenues 9-14'!E109</f>
        <v>807075</v>
      </c>
      <c r="C5527" s="2" t="s">
        <v>569</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807075</v>
      </c>
      <c r="C5552" s="2" t="s">
        <v>569</v>
      </c>
      <c r="D5552" s="2" t="str">
        <f t="shared" si="85"/>
        <v>Error?</v>
      </c>
    </row>
    <row r="5553" spans="1:4" x14ac:dyDescent="0.2">
      <c r="A5553" s="5">
        <v>5492</v>
      </c>
      <c r="B5553" s="1763">
        <f>'Revenues 9-14'!F5</f>
        <v>589554</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589554</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0</v>
      </c>
      <c r="C5579" s="2" t="s">
        <v>569</v>
      </c>
      <c r="D5579" s="2" t="str">
        <f t="shared" si="86"/>
        <v>Error?</v>
      </c>
    </row>
    <row r="5580" spans="1:4" x14ac:dyDescent="0.2">
      <c r="A5580" s="5">
        <v>5519</v>
      </c>
      <c r="B5580" s="1763">
        <f>'Revenues 9-14'!F65</f>
        <v>5717</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5717</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263</v>
      </c>
      <c r="D5586" s="2" t="str">
        <f t="shared" si="86"/>
        <v>Error?</v>
      </c>
    </row>
    <row r="5587" spans="1:4" x14ac:dyDescent="0.2">
      <c r="A5587" s="5">
        <v>5526</v>
      </c>
      <c r="B5587" s="1763">
        <f>'Revenues 9-14'!F108</f>
        <v>263</v>
      </c>
      <c r="C5587" s="2" t="s">
        <v>569</v>
      </c>
      <c r="D5587" s="2" t="str">
        <f t="shared" si="86"/>
        <v>Error?</v>
      </c>
    </row>
    <row r="5588" spans="1:4" x14ac:dyDescent="0.2">
      <c r="A5588" s="5">
        <v>5527</v>
      </c>
      <c r="B5588" s="1763">
        <f>'Revenues 9-14'!F109</f>
        <v>595534</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106664</v>
      </c>
      <c r="D5615" s="2" t="str">
        <f t="shared" si="86"/>
        <v>Error?</v>
      </c>
    </row>
    <row r="5616" spans="1:4" x14ac:dyDescent="0.2">
      <c r="A5616" s="10">
        <v>5555</v>
      </c>
      <c r="B5616" s="1763"/>
      <c r="D5616" s="2" t="str">
        <f t="shared" si="86"/>
        <v>OK</v>
      </c>
    </row>
    <row r="5617" spans="1:5" x14ac:dyDescent="0.2">
      <c r="A5617" s="5">
        <v>5556</v>
      </c>
      <c r="B5617" s="1763">
        <f>'Revenues 9-14'!F153</f>
        <v>355499</v>
      </c>
      <c r="D5617" s="2" t="str">
        <f t="shared" si="86"/>
        <v>Error?</v>
      </c>
    </row>
    <row r="5618" spans="1:5" x14ac:dyDescent="0.2">
      <c r="A5618" s="5">
        <v>5557</v>
      </c>
      <c r="B5618" s="1763">
        <f>'Revenues 9-14'!F155</f>
        <v>462163</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1896</v>
      </c>
    </row>
    <row r="5631" spans="1:5" x14ac:dyDescent="0.2">
      <c r="A5631" s="10">
        <v>5570</v>
      </c>
      <c r="B5631" s="1763"/>
      <c r="D5631" s="2" t="str">
        <f t="shared" ref="D5631:D5694" si="87">IF(ISBLANK(B5631),"OK",IF(A5631-B5631=0,"OK","Error?"))</f>
        <v>OK</v>
      </c>
      <c r="E5631" s="4" t="s">
        <v>1896</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462163</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462163</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1896</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1896</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1057697</v>
      </c>
      <c r="C5720" s="2" t="s">
        <v>569</v>
      </c>
      <c r="D5720" s="2" t="str">
        <f t="shared" si="88"/>
        <v>Error?</v>
      </c>
    </row>
    <row r="5721" spans="1:4" x14ac:dyDescent="0.2">
      <c r="A5721" s="5">
        <v>5660</v>
      </c>
      <c r="B5721" s="1763">
        <f>'Revenues 9-14'!G5</f>
        <v>258877</v>
      </c>
      <c r="D5721" s="2" t="str">
        <f t="shared" si="88"/>
        <v>Error?</v>
      </c>
    </row>
    <row r="5722" spans="1:4" x14ac:dyDescent="0.2">
      <c r="A5722" s="5">
        <v>5661</v>
      </c>
      <c r="B5722" s="1763">
        <f>'Revenues 9-14'!G7</f>
        <v>0</v>
      </c>
      <c r="D5722" s="2" t="str">
        <f t="shared" si="88"/>
        <v>Error?</v>
      </c>
    </row>
    <row r="5723" spans="1:4" x14ac:dyDescent="0.2">
      <c r="A5723" s="5">
        <v>5662</v>
      </c>
      <c r="B5723" s="1763">
        <f>'Revenues 9-14'!G8</f>
        <v>257841</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516718</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7377</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7377</v>
      </c>
      <c r="C5730" s="2" t="s">
        <v>569</v>
      </c>
      <c r="D5730" s="2" t="str">
        <f t="shared" si="88"/>
        <v>Error?</v>
      </c>
    </row>
    <row r="5731" spans="1:4" x14ac:dyDescent="0.2">
      <c r="A5731" s="5">
        <v>5670</v>
      </c>
      <c r="B5731" s="1763">
        <f>'Revenues 9-14'!G65</f>
        <v>4865</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4865</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1896</v>
      </c>
    </row>
    <row r="5768" spans="1:5" x14ac:dyDescent="0.2">
      <c r="A5768" s="10">
        <v>5707</v>
      </c>
      <c r="B5768" s="1763"/>
      <c r="D5768" s="2" t="str">
        <f t="shared" si="89"/>
        <v>OK</v>
      </c>
      <c r="E5768" s="4" t="s">
        <v>1896</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1896</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1896</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528960</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0</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0</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0</v>
      </c>
      <c r="C5915" s="2" t="s">
        <v>569</v>
      </c>
      <c r="D5915" s="2" t="str">
        <f t="shared" si="91"/>
        <v>Error?</v>
      </c>
    </row>
    <row r="5916" spans="1:4" x14ac:dyDescent="0.2">
      <c r="A5916" s="5">
        <v>5855</v>
      </c>
      <c r="B5916" s="1763">
        <f>'Revenues 9-14'!I5</f>
        <v>0</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0</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0</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0</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0</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0</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0</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0</v>
      </c>
      <c r="C6023" s="2" t="s">
        <v>569</v>
      </c>
      <c r="D6023" s="2" t="str">
        <f t="shared" si="93"/>
        <v>Error?</v>
      </c>
    </row>
    <row r="6024" spans="1:5" x14ac:dyDescent="0.2">
      <c r="A6024" s="5">
        <v>5963</v>
      </c>
      <c r="B6024" s="1763">
        <f>'Revenues 9-14'!G109</f>
        <v>528960</v>
      </c>
      <c r="C6024" s="2" t="s">
        <v>569</v>
      </c>
      <c r="D6024" s="2" t="str">
        <f t="shared" si="93"/>
        <v>Error?</v>
      </c>
    </row>
    <row r="6025" spans="1:5" x14ac:dyDescent="0.2">
      <c r="A6025" s="5">
        <v>5964</v>
      </c>
      <c r="B6025" s="1763">
        <f>'Revenues 9-14'!H109</f>
        <v>0</v>
      </c>
      <c r="C6025" s="2" t="s">
        <v>569</v>
      </c>
      <c r="D6025" s="2" t="str">
        <f t="shared" si="93"/>
        <v>Error?</v>
      </c>
    </row>
    <row r="6026" spans="1:5" x14ac:dyDescent="0.2">
      <c r="A6026" s="5">
        <v>5965</v>
      </c>
      <c r="B6026" s="1763">
        <f>'Revenues 9-14'!I109</f>
        <v>0</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0</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62631</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29432</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436.8</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157474</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114935</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0</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0</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285581</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-3609</v>
      </c>
      <c r="D6142" s="2" t="str">
        <f t="shared" si="94"/>
        <v>Error?</v>
      </c>
      <c r="E6142" s="2" t="s">
        <v>189</v>
      </c>
    </row>
    <row r="6143" spans="1:5" x14ac:dyDescent="0.2">
      <c r="A6143">
        <v>6082</v>
      </c>
      <c r="B6143" s="1763">
        <f>'Assets-Liab 5-6'!D27</f>
        <v>0</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0</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0</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744239</v>
      </c>
      <c r="D6169" s="2" t="str">
        <f t="shared" si="95"/>
        <v>Error?</v>
      </c>
      <c r="E6169" s="2" t="s">
        <v>189</v>
      </c>
    </row>
    <row r="6170" spans="1:5" x14ac:dyDescent="0.2">
      <c r="A6170">
        <v>6109</v>
      </c>
      <c r="B6170" s="1763">
        <f>'Assets-Liab 5-6'!D30</f>
        <v>0</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0</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0</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0</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0</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0</v>
      </c>
      <c r="D6216" s="2" t="str">
        <f t="shared" si="96"/>
        <v>Error?</v>
      </c>
      <c r="E6216" s="2" t="s">
        <v>189</v>
      </c>
    </row>
    <row r="6217" spans="1:5" x14ac:dyDescent="0.2">
      <c r="A6217">
        <v>6156</v>
      </c>
      <c r="B6217" s="1763">
        <f>'Assets-Liab 5-6'!J4</f>
        <v>0</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0</v>
      </c>
      <c r="D6219" s="2" t="str">
        <f t="shared" si="96"/>
        <v>Error?</v>
      </c>
      <c r="E6219" s="2" t="s">
        <v>189</v>
      </c>
    </row>
    <row r="6220" spans="1:5" x14ac:dyDescent="0.2">
      <c r="A6220">
        <v>6159</v>
      </c>
      <c r="B6220" s="1763">
        <f>'Acct Summary 7-8'!J4</f>
        <v>0</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0</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0</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0</v>
      </c>
      <c r="D6229" s="2" t="str">
        <f t="shared" si="96"/>
        <v>Error?</v>
      </c>
      <c r="E6229" s="2" t="s">
        <v>189</v>
      </c>
    </row>
    <row r="6230" spans="1:5" x14ac:dyDescent="0.2">
      <c r="A6230">
        <v>6169</v>
      </c>
      <c r="B6230" s="1763">
        <f>'Acct Summary 7-8'!J20</f>
        <v>0</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0</v>
      </c>
      <c r="D6263" s="2" t="str">
        <f t="shared" si="96"/>
        <v>Error?</v>
      </c>
      <c r="E6263" s="2" t="s">
        <v>189</v>
      </c>
    </row>
    <row r="6264" spans="1:5" x14ac:dyDescent="0.2">
      <c r="A6264">
        <v>6203</v>
      </c>
      <c r="B6264" s="1763">
        <f>'Acct Summary 7-8'!J79</f>
        <v>0</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0</v>
      </c>
      <c r="D6266" s="2" t="str">
        <f t="shared" si="96"/>
        <v>Error?</v>
      </c>
      <c r="E6266" s="2" t="s">
        <v>189</v>
      </c>
    </row>
    <row r="6267" spans="1:5" x14ac:dyDescent="0.2">
      <c r="A6267">
        <v>6206</v>
      </c>
      <c r="B6267" s="1763">
        <f>'Acct Summary 7-8'!C82</f>
        <v>229925</v>
      </c>
      <c r="D6267" s="2" t="str">
        <f t="shared" si="96"/>
        <v>Error?</v>
      </c>
      <c r="E6267" s="2" t="s">
        <v>189</v>
      </c>
    </row>
    <row r="6268" spans="1:5" x14ac:dyDescent="0.2">
      <c r="A6268">
        <v>6207</v>
      </c>
      <c r="B6268" s="1763">
        <f>'Acct Summary 7-8'!D82</f>
        <v>-29742</v>
      </c>
      <c r="D6268" s="2" t="str">
        <f t="shared" si="96"/>
        <v>Error?</v>
      </c>
      <c r="E6268" s="2" t="s">
        <v>189</v>
      </c>
    </row>
    <row r="6269" spans="1:5" x14ac:dyDescent="0.2">
      <c r="A6269">
        <v>6208</v>
      </c>
      <c r="B6269" s="1763">
        <f>'Acct Summary 7-8'!E82</f>
        <v>20975</v>
      </c>
      <c r="D6269" s="2" t="str">
        <f t="shared" si="96"/>
        <v>Error?</v>
      </c>
      <c r="E6269" s="2" t="s">
        <v>189</v>
      </c>
    </row>
    <row r="6270" spans="1:5" x14ac:dyDescent="0.2">
      <c r="A6270">
        <v>6209</v>
      </c>
      <c r="B6270" s="1763">
        <f>'Acct Summary 7-8'!F82</f>
        <v>213585</v>
      </c>
      <c r="D6270" s="2" t="str">
        <f t="shared" si="96"/>
        <v>Error?</v>
      </c>
      <c r="E6270" s="2" t="s">
        <v>189</v>
      </c>
    </row>
    <row r="6271" spans="1:5" x14ac:dyDescent="0.2">
      <c r="A6271">
        <v>6210</v>
      </c>
      <c r="B6271" s="1763">
        <f>'Acct Summary 7-8'!G82</f>
        <v>190290</v>
      </c>
      <c r="D6271" s="2" t="str">
        <f t="shared" ref="D6271:D6334" si="97">IF(ISBLANK(B6271),"OK",IF(A6271-B6271=0,"OK","Error?"))</f>
        <v>Error?</v>
      </c>
      <c r="E6271" s="2" t="s">
        <v>189</v>
      </c>
    </row>
    <row r="6272" spans="1:5" x14ac:dyDescent="0.2">
      <c r="A6272">
        <v>6211</v>
      </c>
      <c r="B6272" s="1763">
        <f>'Acct Summary 7-8'!H82</f>
        <v>-59881</v>
      </c>
      <c r="D6272" s="2" t="str">
        <f t="shared" si="97"/>
        <v>Error?</v>
      </c>
      <c r="E6272" s="2" t="s">
        <v>189</v>
      </c>
    </row>
    <row r="6273" spans="1:5" x14ac:dyDescent="0.2">
      <c r="A6273">
        <v>6212</v>
      </c>
      <c r="B6273" s="1763">
        <f>'Acct Summary 7-8'!I82</f>
        <v>0</v>
      </c>
      <c r="D6273" s="2" t="str">
        <f t="shared" si="97"/>
        <v>Error?</v>
      </c>
      <c r="E6273" s="2" t="s">
        <v>189</v>
      </c>
    </row>
    <row r="6274" spans="1:5" x14ac:dyDescent="0.2">
      <c r="A6274">
        <v>6213</v>
      </c>
      <c r="B6274" s="1763">
        <f>'Acct Summary 7-8'!J82</f>
        <v>0</v>
      </c>
      <c r="D6274" s="2" t="str">
        <f t="shared" si="97"/>
        <v>Error?</v>
      </c>
      <c r="E6274" s="2" t="s">
        <v>189</v>
      </c>
    </row>
    <row r="6275" spans="1:5" x14ac:dyDescent="0.2">
      <c r="A6275">
        <v>6214</v>
      </c>
      <c r="B6275" s="1763">
        <f>'Acct Summary 7-8'!K82</f>
        <v>0</v>
      </c>
      <c r="D6275" s="2" t="str">
        <f t="shared" si="97"/>
        <v>Error?</v>
      </c>
      <c r="E6275" s="2" t="s">
        <v>189</v>
      </c>
    </row>
    <row r="6276" spans="1:5" x14ac:dyDescent="0.2">
      <c r="A6276">
        <v>6215</v>
      </c>
      <c r="B6276" s="1763">
        <f>'Acct Summary 7-8'!C83</f>
        <v>3.3346492574069318E-2</v>
      </c>
      <c r="D6276" s="2" t="str">
        <f t="shared" si="97"/>
        <v>Error?</v>
      </c>
      <c r="E6276" s="2" t="s">
        <v>189</v>
      </c>
    </row>
    <row r="6277" spans="1:5" x14ac:dyDescent="0.2">
      <c r="A6277">
        <v>6216</v>
      </c>
      <c r="B6277" s="1763">
        <f>'Acct Summary 7-8'!D83</f>
        <v>-1.7980188059878343E-2</v>
      </c>
      <c r="D6277" s="2" t="str">
        <f t="shared" si="97"/>
        <v>Error?</v>
      </c>
      <c r="E6277" s="2" t="s">
        <v>189</v>
      </c>
    </row>
    <row r="6278" spans="1:5" x14ac:dyDescent="0.2">
      <c r="A6278">
        <v>6217</v>
      </c>
      <c r="B6278" s="1763">
        <f>'Acct Summary 7-8'!E83</f>
        <v>4.0324828751650964E-2</v>
      </c>
      <c r="D6278" s="2" t="str">
        <f t="shared" si="97"/>
        <v>Error?</v>
      </c>
      <c r="E6278" s="2" t="s">
        <v>189</v>
      </c>
    </row>
    <row r="6279" spans="1:5" x14ac:dyDescent="0.2">
      <c r="A6279">
        <v>6218</v>
      </c>
      <c r="B6279" s="1763">
        <f>'Acct Summary 7-8'!F83</f>
        <v>0.18696836983820322</v>
      </c>
      <c r="D6279" s="2" t="str">
        <f t="shared" si="97"/>
        <v>Error?</v>
      </c>
      <c r="E6279" s="2" t="s">
        <v>189</v>
      </c>
    </row>
    <row r="6280" spans="1:5" x14ac:dyDescent="0.2">
      <c r="A6280">
        <v>6219</v>
      </c>
      <c r="B6280" s="1763">
        <f>'Acct Summary 7-8'!G83</f>
        <v>0.23608273130934171</v>
      </c>
      <c r="D6280" s="2" t="str">
        <f t="shared" si="97"/>
        <v>Error?</v>
      </c>
      <c r="E6280" s="2" t="s">
        <v>189</v>
      </c>
    </row>
    <row r="6281" spans="1:5" x14ac:dyDescent="0.2">
      <c r="A6281">
        <v>6220</v>
      </c>
      <c r="B6281" s="1763">
        <f>'Acct Summary 7-8'!H83</f>
        <v>-0.20556612129159829</v>
      </c>
      <c r="D6281" s="2" t="str">
        <f t="shared" si="97"/>
        <v>Error?</v>
      </c>
      <c r="E6281" s="2" t="s">
        <v>189</v>
      </c>
    </row>
    <row r="6282" spans="1:5" x14ac:dyDescent="0.2">
      <c r="A6282">
        <v>6221</v>
      </c>
      <c r="B6282" s="1763">
        <f>'Acct Summary 7-8'!I83</f>
        <v>0</v>
      </c>
      <c r="D6282" s="2" t="str">
        <f t="shared" si="97"/>
        <v>Error?</v>
      </c>
      <c r="E6282" s="2" t="s">
        <v>189</v>
      </c>
    </row>
    <row r="6283" spans="1:5" x14ac:dyDescent="0.2">
      <c r="A6283">
        <v>6222</v>
      </c>
      <c r="B6283" s="1763" t="e">
        <f>'Acct Summary 7-8'!J83</f>
        <v>#DIV/0!</v>
      </c>
      <c r="D6283" s="2" t="e">
        <f t="shared" si="97"/>
        <v>#DIV/0!</v>
      </c>
      <c r="E6283" s="2" t="s">
        <v>189</v>
      </c>
    </row>
    <row r="6284" spans="1:5" x14ac:dyDescent="0.2">
      <c r="A6284">
        <v>6223</v>
      </c>
      <c r="B6284" s="1763" t="e">
        <f>'Acct Summary 7-8'!K83</f>
        <v>#DIV/0!</v>
      </c>
      <c r="D6284" s="2" t="e">
        <f t="shared" si="97"/>
        <v>#DIV/0!</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0</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0</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0</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0</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0</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1895</v>
      </c>
    </row>
    <row r="6383" spans="1:6" x14ac:dyDescent="0.2">
      <c r="A6383" s="126">
        <v>6322</v>
      </c>
      <c r="B6383" s="1763"/>
      <c r="D6383" s="2" t="str">
        <f t="shared" si="98"/>
        <v>OK</v>
      </c>
      <c r="E6383" s="2" t="s">
        <v>189</v>
      </c>
      <c r="F6383" s="1" t="s">
        <v>1895</v>
      </c>
    </row>
    <row r="6384" spans="1:6" x14ac:dyDescent="0.2">
      <c r="A6384" s="126">
        <v>6323</v>
      </c>
      <c r="B6384" s="1763"/>
      <c r="D6384" s="2" t="str">
        <f t="shared" si="98"/>
        <v>OK</v>
      </c>
      <c r="E6384" s="2" t="s">
        <v>189</v>
      </c>
      <c r="F6384" s="1" t="s">
        <v>1895</v>
      </c>
    </row>
    <row r="6385" spans="1:6" x14ac:dyDescent="0.2">
      <c r="A6385" s="126">
        <v>6324</v>
      </c>
      <c r="B6385" s="1763"/>
      <c r="D6385" s="2" t="str">
        <f t="shared" si="98"/>
        <v>OK</v>
      </c>
      <c r="E6385" s="2" t="s">
        <v>189</v>
      </c>
      <c r="F6385" s="1" t="s">
        <v>1895</v>
      </c>
    </row>
    <row r="6386" spans="1:6" x14ac:dyDescent="0.2">
      <c r="A6386" s="126">
        <v>6325</v>
      </c>
      <c r="B6386" s="1763"/>
      <c r="D6386" s="2" t="str">
        <f t="shared" si="98"/>
        <v>OK</v>
      </c>
      <c r="E6386" s="2" t="s">
        <v>189</v>
      </c>
      <c r="F6386" s="1" t="s">
        <v>1895</v>
      </c>
    </row>
    <row r="6387" spans="1:6" x14ac:dyDescent="0.2">
      <c r="A6387" s="126">
        <v>6326</v>
      </c>
      <c r="B6387" s="1763"/>
      <c r="D6387" s="2" t="str">
        <f t="shared" si="98"/>
        <v>OK</v>
      </c>
      <c r="E6387" s="2" t="s">
        <v>189</v>
      </c>
      <c r="F6387" s="1" t="s">
        <v>1895</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1895</v>
      </c>
    </row>
    <row r="6411" spans="1:6" x14ac:dyDescent="0.2">
      <c r="A6411" s="126">
        <v>6350</v>
      </c>
      <c r="B6411" s="1763"/>
      <c r="D6411" s="2" t="str">
        <f t="shared" si="99"/>
        <v>OK</v>
      </c>
      <c r="E6411" s="2" t="s">
        <v>189</v>
      </c>
      <c r="F6411" s="1" t="s">
        <v>1895</v>
      </c>
    </row>
    <row r="6412" spans="1:6" x14ac:dyDescent="0.2">
      <c r="A6412" s="126">
        <v>6351</v>
      </c>
      <c r="B6412" s="1763"/>
      <c r="D6412" s="2" t="str">
        <f t="shared" si="99"/>
        <v>OK</v>
      </c>
      <c r="E6412" s="2" t="s">
        <v>189</v>
      </c>
      <c r="F6412" s="1" t="s">
        <v>1895</v>
      </c>
    </row>
    <row r="6413" spans="1:6" x14ac:dyDescent="0.2">
      <c r="A6413" s="126">
        <v>6352</v>
      </c>
      <c r="B6413" s="1763"/>
      <c r="D6413" s="2" t="str">
        <f t="shared" si="99"/>
        <v>OK</v>
      </c>
      <c r="E6413" s="2" t="s">
        <v>189</v>
      </c>
      <c r="F6413" s="1" t="s">
        <v>1895</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1991</v>
      </c>
    </row>
    <row r="6417" spans="1:5" x14ac:dyDescent="0.2">
      <c r="A6417" s="126">
        <v>6356</v>
      </c>
      <c r="B6417" s="1763"/>
      <c r="D6417" s="2" t="str">
        <f t="shared" si="99"/>
        <v>OK</v>
      </c>
      <c r="E6417" s="4" t="s">
        <v>1991</v>
      </c>
    </row>
    <row r="6418" spans="1:5" x14ac:dyDescent="0.2">
      <c r="A6418" s="126">
        <v>6357</v>
      </c>
      <c r="B6418" s="1763"/>
      <c r="D6418" s="2" t="str">
        <f t="shared" si="99"/>
        <v>OK</v>
      </c>
      <c r="E6418" s="4" t="s">
        <v>1991</v>
      </c>
    </row>
    <row r="6419" spans="1:5" x14ac:dyDescent="0.2">
      <c r="A6419" s="126">
        <v>6358</v>
      </c>
      <c r="B6419" s="1763"/>
      <c r="D6419" s="2" t="str">
        <f t="shared" si="99"/>
        <v>OK</v>
      </c>
      <c r="E6419" s="4" t="s">
        <v>1991</v>
      </c>
    </row>
    <row r="6420" spans="1:5" x14ac:dyDescent="0.2">
      <c r="A6420" s="126">
        <v>6359</v>
      </c>
      <c r="B6420" s="1763"/>
      <c r="D6420" s="2" t="str">
        <f t="shared" si="99"/>
        <v>OK</v>
      </c>
      <c r="E6420" s="4" t="s">
        <v>1991</v>
      </c>
    </row>
    <row r="6421" spans="1:5" x14ac:dyDescent="0.2">
      <c r="A6421" s="126">
        <v>6360</v>
      </c>
      <c r="B6421" s="1763"/>
      <c r="D6421" s="2" t="str">
        <f t="shared" si="99"/>
        <v>OK</v>
      </c>
      <c r="E6421" s="4" t="s">
        <v>1991</v>
      </c>
    </row>
    <row r="6422" spans="1:5" x14ac:dyDescent="0.2">
      <c r="A6422" s="126">
        <v>6361</v>
      </c>
      <c r="B6422" s="1763"/>
      <c r="D6422" s="2" t="str">
        <f t="shared" si="99"/>
        <v>OK</v>
      </c>
      <c r="E6422" s="4" t="s">
        <v>1991</v>
      </c>
    </row>
    <row r="6423" spans="1:5" x14ac:dyDescent="0.2">
      <c r="A6423" s="126">
        <v>6362</v>
      </c>
      <c r="B6423" s="1763"/>
      <c r="D6423" s="2" t="str">
        <f t="shared" si="99"/>
        <v>OK</v>
      </c>
      <c r="E6423" s="4" t="s">
        <v>1991</v>
      </c>
    </row>
    <row r="6424" spans="1:5" x14ac:dyDescent="0.2">
      <c r="A6424" s="126">
        <v>6363</v>
      </c>
      <c r="B6424" s="1763"/>
      <c r="D6424" s="2" t="str">
        <f t="shared" si="99"/>
        <v>OK</v>
      </c>
      <c r="E6424" s="4" t="s">
        <v>1991</v>
      </c>
    </row>
    <row r="6425" spans="1:5" x14ac:dyDescent="0.2">
      <c r="A6425" s="126">
        <v>6364</v>
      </c>
      <c r="B6425" s="1763"/>
      <c r="D6425" s="2" t="str">
        <f t="shared" si="99"/>
        <v>OK</v>
      </c>
      <c r="E6425" s="4" t="s">
        <v>1991</v>
      </c>
    </row>
    <row r="6426" spans="1:5" x14ac:dyDescent="0.2">
      <c r="A6426" s="126">
        <v>6365</v>
      </c>
      <c r="B6426" s="1763"/>
      <c r="D6426" s="2" t="str">
        <f t="shared" si="99"/>
        <v>OK</v>
      </c>
      <c r="E6426" s="4" t="s">
        <v>1991</v>
      </c>
    </row>
    <row r="6427" spans="1:5" x14ac:dyDescent="0.2">
      <c r="A6427" s="126">
        <v>6366</v>
      </c>
      <c r="B6427" s="1763"/>
      <c r="D6427" s="2" t="str">
        <f t="shared" si="99"/>
        <v>OK</v>
      </c>
      <c r="E6427" s="4" t="s">
        <v>1991</v>
      </c>
    </row>
    <row r="6428" spans="1:5" x14ac:dyDescent="0.2">
      <c r="A6428" s="126">
        <v>6367</v>
      </c>
      <c r="B6428" s="1763"/>
      <c r="D6428" s="2" t="str">
        <f t="shared" si="99"/>
        <v>OK</v>
      </c>
      <c r="E6428" s="4" t="s">
        <v>1991</v>
      </c>
    </row>
    <row r="6429" spans="1:5" x14ac:dyDescent="0.2">
      <c r="A6429" s="126">
        <v>6368</v>
      </c>
      <c r="B6429" s="1763"/>
      <c r="D6429" s="2" t="str">
        <f t="shared" si="99"/>
        <v>OK</v>
      </c>
      <c r="E6429" s="4" t="s">
        <v>1991</v>
      </c>
    </row>
    <row r="6430" spans="1:5" x14ac:dyDescent="0.2">
      <c r="A6430" s="126">
        <v>6369</v>
      </c>
      <c r="B6430" s="1763"/>
      <c r="D6430" s="2" t="str">
        <f t="shared" si="99"/>
        <v>OK</v>
      </c>
      <c r="E6430" s="4" t="s">
        <v>1991</v>
      </c>
    </row>
    <row r="6431" spans="1:5" x14ac:dyDescent="0.2">
      <c r="A6431" s="126">
        <v>6370</v>
      </c>
      <c r="B6431" s="1763"/>
      <c r="D6431" s="2" t="str">
        <f t="shared" si="99"/>
        <v>OK</v>
      </c>
      <c r="E6431" s="4" t="s">
        <v>1991</v>
      </c>
    </row>
    <row r="6432" spans="1:5" x14ac:dyDescent="0.2">
      <c r="A6432" s="126">
        <v>6371</v>
      </c>
      <c r="B6432" s="1763"/>
      <c r="D6432" s="2" t="str">
        <f t="shared" si="99"/>
        <v>OK</v>
      </c>
      <c r="E6432" s="4" t="s">
        <v>1991</v>
      </c>
    </row>
    <row r="6433" spans="1:5" x14ac:dyDescent="0.2">
      <c r="A6433" s="126">
        <v>6372</v>
      </c>
      <c r="B6433" s="1763"/>
      <c r="D6433" s="2" t="str">
        <f t="shared" si="99"/>
        <v>OK</v>
      </c>
      <c r="E6433" s="4" t="s">
        <v>1991</v>
      </c>
    </row>
    <row r="6434" spans="1:5" x14ac:dyDescent="0.2">
      <c r="A6434" s="126">
        <v>6373</v>
      </c>
      <c r="B6434" s="1763"/>
      <c r="D6434" s="2" t="str">
        <f t="shared" si="99"/>
        <v>OK</v>
      </c>
      <c r="E6434" s="4" t="s">
        <v>1991</v>
      </c>
    </row>
    <row r="6435" spans="1:5" x14ac:dyDescent="0.2">
      <c r="A6435" s="126">
        <v>6374</v>
      </c>
      <c r="B6435" s="1763"/>
      <c r="D6435" s="2" t="str">
        <f t="shared" si="99"/>
        <v>OK</v>
      </c>
      <c r="E6435" s="4" t="s">
        <v>1991</v>
      </c>
    </row>
    <row r="6436" spans="1:5" x14ac:dyDescent="0.2">
      <c r="A6436" s="126">
        <v>6375</v>
      </c>
      <c r="B6436" s="1763"/>
      <c r="D6436" s="2" t="str">
        <f t="shared" si="99"/>
        <v>OK</v>
      </c>
      <c r="E6436" s="4" t="s">
        <v>1991</v>
      </c>
    </row>
    <row r="6437" spans="1:5" x14ac:dyDescent="0.2">
      <c r="A6437" s="126">
        <v>6376</v>
      </c>
      <c r="B6437" s="1763"/>
      <c r="D6437" s="2" t="str">
        <f t="shared" si="99"/>
        <v>OK</v>
      </c>
      <c r="E6437" s="4" t="s">
        <v>1991</v>
      </c>
    </row>
    <row r="6438" spans="1:5" x14ac:dyDescent="0.2">
      <c r="A6438" s="126">
        <v>6377</v>
      </c>
      <c r="B6438" s="1763"/>
      <c r="D6438" s="2" t="str">
        <f t="shared" si="99"/>
        <v>OK</v>
      </c>
      <c r="E6438" s="4" t="s">
        <v>1991</v>
      </c>
    </row>
    <row r="6439" spans="1:5" x14ac:dyDescent="0.2">
      <c r="A6439" s="126">
        <v>6378</v>
      </c>
      <c r="B6439" s="1763"/>
      <c r="D6439" s="2" t="str">
        <f t="shared" si="99"/>
        <v>OK</v>
      </c>
      <c r="E6439" s="4" t="s">
        <v>1991</v>
      </c>
    </row>
    <row r="6440" spans="1:5" x14ac:dyDescent="0.2">
      <c r="A6440" s="126">
        <v>6379</v>
      </c>
      <c r="B6440" s="1763"/>
      <c r="D6440" s="2" t="str">
        <f t="shared" si="99"/>
        <v>OK</v>
      </c>
      <c r="E6440" s="4" t="s">
        <v>1991</v>
      </c>
    </row>
    <row r="6441" spans="1:5" x14ac:dyDescent="0.2">
      <c r="A6441" s="126">
        <v>6380</v>
      </c>
      <c r="B6441" s="1763"/>
      <c r="D6441" s="2" t="str">
        <f t="shared" si="99"/>
        <v>OK</v>
      </c>
      <c r="E6441" s="4" t="s">
        <v>1991</v>
      </c>
    </row>
    <row r="6442" spans="1:5" x14ac:dyDescent="0.2">
      <c r="A6442" s="126">
        <v>6381</v>
      </c>
      <c r="B6442" s="1763"/>
      <c r="D6442" s="2" t="str">
        <f t="shared" si="99"/>
        <v>OK</v>
      </c>
      <c r="E6442" s="4" t="s">
        <v>1991</v>
      </c>
    </row>
    <row r="6443" spans="1:5" x14ac:dyDescent="0.2">
      <c r="A6443" s="126">
        <v>6382</v>
      </c>
      <c r="B6443" s="1763"/>
      <c r="D6443" s="2" t="str">
        <f t="shared" si="99"/>
        <v>OK</v>
      </c>
      <c r="E6443" s="4" t="s">
        <v>1991</v>
      </c>
    </row>
    <row r="6444" spans="1:5" x14ac:dyDescent="0.2">
      <c r="A6444" s="126">
        <v>6383</v>
      </c>
      <c r="B6444" s="1763"/>
      <c r="D6444" s="2" t="str">
        <f t="shared" si="99"/>
        <v>OK</v>
      </c>
      <c r="E6444" s="4" t="s">
        <v>1991</v>
      </c>
    </row>
    <row r="6445" spans="1:5" x14ac:dyDescent="0.2">
      <c r="A6445" s="126">
        <v>6384</v>
      </c>
      <c r="B6445" s="1763"/>
      <c r="D6445" s="2" t="str">
        <f t="shared" si="99"/>
        <v>OK</v>
      </c>
      <c r="E6445" s="4" t="s">
        <v>1991</v>
      </c>
    </row>
    <row r="6446" spans="1:5" x14ac:dyDescent="0.2">
      <c r="A6446" s="126">
        <v>6385</v>
      </c>
      <c r="B6446" s="1763"/>
      <c r="D6446" s="2" t="str">
        <f t="shared" si="99"/>
        <v>OK</v>
      </c>
      <c r="E6446" s="4" t="s">
        <v>1991</v>
      </c>
    </row>
    <row r="6447" spans="1:5" x14ac:dyDescent="0.2">
      <c r="A6447" s="126">
        <v>6386</v>
      </c>
      <c r="B6447" s="1763"/>
      <c r="D6447" s="2" t="str">
        <f t="shared" si="99"/>
        <v>OK</v>
      </c>
      <c r="E6447" s="4" t="s">
        <v>1991</v>
      </c>
    </row>
    <row r="6448" spans="1:5" x14ac:dyDescent="0.2">
      <c r="A6448" s="126">
        <v>6387</v>
      </c>
      <c r="B6448" s="1763"/>
      <c r="D6448" s="2" t="str">
        <f t="shared" si="99"/>
        <v>OK</v>
      </c>
      <c r="E6448" s="4" t="s">
        <v>1991</v>
      </c>
    </row>
    <row r="6449" spans="1:5" x14ac:dyDescent="0.2">
      <c r="A6449" s="126">
        <v>6388</v>
      </c>
      <c r="B6449" s="1763"/>
      <c r="D6449" s="2" t="str">
        <f t="shared" si="99"/>
        <v>OK</v>
      </c>
      <c r="E6449" s="4" t="s">
        <v>1991</v>
      </c>
    </row>
    <row r="6450" spans="1:5" x14ac:dyDescent="0.2">
      <c r="A6450" s="126">
        <v>6389</v>
      </c>
      <c r="B6450" s="1763"/>
      <c r="D6450" s="2" t="str">
        <f t="shared" si="99"/>
        <v>OK</v>
      </c>
      <c r="E6450" s="4" t="s">
        <v>1991</v>
      </c>
    </row>
    <row r="6451" spans="1:5" x14ac:dyDescent="0.2">
      <c r="A6451" s="126">
        <v>6390</v>
      </c>
      <c r="B6451" s="1763"/>
      <c r="D6451" s="2" t="str">
        <f t="shared" si="99"/>
        <v>OK</v>
      </c>
      <c r="E6451" s="4" t="s">
        <v>1991</v>
      </c>
    </row>
    <row r="6452" spans="1:5" x14ac:dyDescent="0.2">
      <c r="A6452" s="126">
        <v>6391</v>
      </c>
      <c r="B6452" s="1763"/>
      <c r="D6452" s="2" t="str">
        <f t="shared" si="99"/>
        <v>OK</v>
      </c>
      <c r="E6452" s="4" t="s">
        <v>1991</v>
      </c>
    </row>
    <row r="6453" spans="1:5" x14ac:dyDescent="0.2">
      <c r="A6453" s="126">
        <v>6392</v>
      </c>
      <c r="B6453" s="1763"/>
      <c r="D6453" s="2" t="str">
        <f t="shared" si="99"/>
        <v>OK</v>
      </c>
      <c r="E6453" s="4" t="s">
        <v>1991</v>
      </c>
    </row>
    <row r="6454" spans="1:5" x14ac:dyDescent="0.2">
      <c r="A6454" s="126">
        <v>6393</v>
      </c>
      <c r="B6454" s="1763"/>
      <c r="D6454" s="2" t="str">
        <f t="shared" si="99"/>
        <v>OK</v>
      </c>
      <c r="E6454" s="4" t="s">
        <v>1991</v>
      </c>
    </row>
    <row r="6455" spans="1:5" x14ac:dyDescent="0.2">
      <c r="A6455" s="126">
        <v>6394</v>
      </c>
      <c r="B6455" s="1763"/>
      <c r="D6455" s="2" t="str">
        <f t="shared" si="99"/>
        <v>OK</v>
      </c>
      <c r="E6455" s="4" t="s">
        <v>1991</v>
      </c>
    </row>
    <row r="6456" spans="1:5" x14ac:dyDescent="0.2">
      <c r="A6456" s="126">
        <v>6395</v>
      </c>
      <c r="B6456" s="1763"/>
      <c r="D6456" s="2" t="str">
        <f t="shared" si="99"/>
        <v>OK</v>
      </c>
      <c r="E6456" s="4" t="s">
        <v>1991</v>
      </c>
    </row>
    <row r="6457" spans="1:5" x14ac:dyDescent="0.2">
      <c r="A6457" s="126">
        <v>6396</v>
      </c>
      <c r="B6457" s="1763"/>
      <c r="D6457" s="2" t="str">
        <f t="shared" si="99"/>
        <v>OK</v>
      </c>
      <c r="E6457" s="4" t="s">
        <v>1991</v>
      </c>
    </row>
    <row r="6458" spans="1:5" x14ac:dyDescent="0.2">
      <c r="A6458" s="126">
        <v>6397</v>
      </c>
      <c r="B6458" s="1763"/>
      <c r="D6458" s="2" t="str">
        <f t="shared" si="99"/>
        <v>OK</v>
      </c>
      <c r="E6458" s="4" t="s">
        <v>1991</v>
      </c>
    </row>
    <row r="6459" spans="1:5" x14ac:dyDescent="0.2">
      <c r="A6459" s="126">
        <v>6398</v>
      </c>
      <c r="B6459" s="1763"/>
      <c r="D6459" s="2" t="str">
        <f t="shared" si="99"/>
        <v>OK</v>
      </c>
      <c r="E6459" s="4" t="s">
        <v>1991</v>
      </c>
    </row>
    <row r="6460" spans="1:5" x14ac:dyDescent="0.2">
      <c r="A6460" s="126">
        <v>6399</v>
      </c>
      <c r="B6460" s="1763"/>
      <c r="D6460" s="2" t="str">
        <f t="shared" si="99"/>
        <v>OK</v>
      </c>
      <c r="E6460" s="4" t="s">
        <v>1991</v>
      </c>
    </row>
    <row r="6461" spans="1:5" x14ac:dyDescent="0.2">
      <c r="A6461" s="126">
        <v>6400</v>
      </c>
      <c r="B6461" s="1763"/>
      <c r="D6461" s="2" t="str">
        <f t="shared" si="99"/>
        <v>OK</v>
      </c>
      <c r="E6461" s="4" t="s">
        <v>1991</v>
      </c>
    </row>
    <row r="6462" spans="1:5" x14ac:dyDescent="0.2">
      <c r="A6462" s="126">
        <v>6401</v>
      </c>
      <c r="B6462" s="1763"/>
      <c r="D6462" s="2" t="str">
        <f t="shared" si="99"/>
        <v>OK</v>
      </c>
      <c r="E6462" s="4" t="s">
        <v>1991</v>
      </c>
    </row>
    <row r="6463" spans="1:5" x14ac:dyDescent="0.2">
      <c r="A6463" s="126">
        <v>6402</v>
      </c>
      <c r="B6463" s="1763"/>
      <c r="D6463" s="2" t="str">
        <f t="shared" ref="D6463:D6526" si="100">IF(ISBLANK(B6463),"OK",IF(A6463-B6463=0,"OK","Error?"))</f>
        <v>OK</v>
      </c>
      <c r="E6463" s="4" t="s">
        <v>1991</v>
      </c>
    </row>
    <row r="6464" spans="1:5" x14ac:dyDescent="0.2">
      <c r="A6464" s="126">
        <v>6403</v>
      </c>
      <c r="B6464" s="1763"/>
      <c r="D6464" s="2" t="str">
        <f t="shared" si="100"/>
        <v>OK</v>
      </c>
      <c r="E6464" s="4" t="s">
        <v>1991</v>
      </c>
    </row>
    <row r="6465" spans="1:5" x14ac:dyDescent="0.2">
      <c r="A6465" s="126">
        <v>6404</v>
      </c>
      <c r="B6465" s="1763"/>
      <c r="D6465" s="2" t="str">
        <f t="shared" si="100"/>
        <v>OK</v>
      </c>
      <c r="E6465" s="4" t="s">
        <v>1991</v>
      </c>
    </row>
    <row r="6466" spans="1:5" x14ac:dyDescent="0.2">
      <c r="A6466" s="126">
        <v>6405</v>
      </c>
      <c r="B6466" s="1763"/>
      <c r="D6466" s="2" t="str">
        <f t="shared" si="100"/>
        <v>OK</v>
      </c>
      <c r="E6466" s="4" t="s">
        <v>1991</v>
      </c>
    </row>
    <row r="6467" spans="1:5" x14ac:dyDescent="0.2">
      <c r="A6467" s="126">
        <v>6406</v>
      </c>
      <c r="B6467" s="1763"/>
      <c r="D6467" s="2" t="str">
        <f t="shared" si="100"/>
        <v>OK</v>
      </c>
      <c r="E6467" s="4" t="s">
        <v>1991</v>
      </c>
    </row>
    <row r="6468" spans="1:5" x14ac:dyDescent="0.2">
      <c r="A6468" s="126">
        <v>6407</v>
      </c>
      <c r="B6468" s="1763"/>
      <c r="D6468" s="2" t="str">
        <f t="shared" si="100"/>
        <v>OK</v>
      </c>
      <c r="E6468" s="4" t="s">
        <v>1991</v>
      </c>
    </row>
    <row r="6469" spans="1:5" x14ac:dyDescent="0.2">
      <c r="A6469" s="126">
        <v>6408</v>
      </c>
      <c r="B6469" s="1763"/>
      <c r="D6469" s="2" t="str">
        <f t="shared" si="100"/>
        <v>OK</v>
      </c>
      <c r="E6469" s="4" t="s">
        <v>1991</v>
      </c>
    </row>
    <row r="6470" spans="1:5" x14ac:dyDescent="0.2">
      <c r="A6470" s="126">
        <v>6409</v>
      </c>
      <c r="B6470" s="1763"/>
      <c r="D6470" s="2" t="str">
        <f t="shared" si="100"/>
        <v>OK</v>
      </c>
      <c r="E6470" s="4" t="s">
        <v>1991</v>
      </c>
    </row>
    <row r="6471" spans="1:5" x14ac:dyDescent="0.2">
      <c r="A6471" s="126">
        <v>6410</v>
      </c>
      <c r="B6471" s="1763"/>
      <c r="D6471" s="2" t="str">
        <f t="shared" si="100"/>
        <v>OK</v>
      </c>
      <c r="E6471" s="4" t="s">
        <v>1991</v>
      </c>
    </row>
    <row r="6472" spans="1:5" x14ac:dyDescent="0.2">
      <c r="A6472" s="126">
        <v>6411</v>
      </c>
      <c r="B6472" s="1763"/>
      <c r="D6472" s="2" t="str">
        <f t="shared" si="100"/>
        <v>OK</v>
      </c>
      <c r="E6472" s="4" t="s">
        <v>1991</v>
      </c>
    </row>
    <row r="6473" spans="1:5" x14ac:dyDescent="0.2">
      <c r="A6473" s="126">
        <v>6412</v>
      </c>
      <c r="B6473" s="1763"/>
      <c r="D6473" s="2" t="str">
        <f t="shared" si="100"/>
        <v>OK</v>
      </c>
      <c r="E6473" s="4" t="s">
        <v>1991</v>
      </c>
    </row>
    <row r="6474" spans="1:5" x14ac:dyDescent="0.2">
      <c r="A6474" s="126">
        <v>6413</v>
      </c>
      <c r="B6474" s="1763"/>
      <c r="D6474" s="2" t="str">
        <f t="shared" si="100"/>
        <v>OK</v>
      </c>
      <c r="E6474" s="4" t="s">
        <v>1991</v>
      </c>
    </row>
    <row r="6475" spans="1:5" x14ac:dyDescent="0.2">
      <c r="A6475" s="126">
        <v>6414</v>
      </c>
      <c r="B6475" s="1763"/>
      <c r="D6475" s="2" t="str">
        <f t="shared" si="100"/>
        <v>OK</v>
      </c>
      <c r="E6475" s="4" t="s">
        <v>1991</v>
      </c>
    </row>
    <row r="6476" spans="1:5" x14ac:dyDescent="0.2">
      <c r="A6476" s="126">
        <v>6415</v>
      </c>
      <c r="B6476" s="1763"/>
      <c r="D6476" s="2" t="str">
        <f t="shared" si="100"/>
        <v>OK</v>
      </c>
      <c r="E6476" s="4" t="s">
        <v>1991</v>
      </c>
    </row>
    <row r="6477" spans="1:5" x14ac:dyDescent="0.2">
      <c r="A6477" s="126">
        <v>6416</v>
      </c>
      <c r="B6477" s="1763"/>
      <c r="D6477" s="2" t="str">
        <f t="shared" si="100"/>
        <v>OK</v>
      </c>
      <c r="E6477" s="4" t="s">
        <v>1991</v>
      </c>
    </row>
    <row r="6478" spans="1:5" x14ac:dyDescent="0.2">
      <c r="A6478" s="126">
        <v>6417</v>
      </c>
      <c r="B6478" s="1763"/>
      <c r="D6478" s="2" t="str">
        <f t="shared" si="100"/>
        <v>OK</v>
      </c>
      <c r="E6478" s="4" t="s">
        <v>1991</v>
      </c>
    </row>
    <row r="6479" spans="1:5" x14ac:dyDescent="0.2">
      <c r="A6479" s="126">
        <v>6418</v>
      </c>
      <c r="B6479" s="1763"/>
      <c r="D6479" s="2" t="str">
        <f t="shared" si="100"/>
        <v>OK</v>
      </c>
      <c r="E6479" s="4" t="s">
        <v>1991</v>
      </c>
    </row>
    <row r="6480" spans="1:5" x14ac:dyDescent="0.2">
      <c r="A6480" s="126">
        <v>6419</v>
      </c>
      <c r="B6480" s="1763"/>
      <c r="D6480" s="2" t="str">
        <f t="shared" si="100"/>
        <v>OK</v>
      </c>
      <c r="E6480" s="4" t="s">
        <v>1991</v>
      </c>
    </row>
    <row r="6481" spans="1:5" x14ac:dyDescent="0.2">
      <c r="A6481" s="126">
        <v>6420</v>
      </c>
      <c r="B6481" s="1763"/>
      <c r="D6481" s="2" t="str">
        <f t="shared" si="100"/>
        <v>OK</v>
      </c>
      <c r="E6481" s="4" t="s">
        <v>1991</v>
      </c>
    </row>
    <row r="6482" spans="1:5" x14ac:dyDescent="0.2">
      <c r="A6482" s="126">
        <v>6421</v>
      </c>
      <c r="B6482" s="1763"/>
      <c r="D6482" s="2" t="str">
        <f t="shared" si="100"/>
        <v>OK</v>
      </c>
      <c r="E6482" s="4" t="s">
        <v>1991</v>
      </c>
    </row>
    <row r="6483" spans="1:5" x14ac:dyDescent="0.2">
      <c r="A6483" s="126">
        <v>6422</v>
      </c>
      <c r="B6483" s="1763"/>
      <c r="D6483" s="2" t="str">
        <f t="shared" si="100"/>
        <v>OK</v>
      </c>
      <c r="E6483" s="4" t="s">
        <v>1991</v>
      </c>
    </row>
    <row r="6484" spans="1:5" x14ac:dyDescent="0.2">
      <c r="A6484" s="126">
        <v>6423</v>
      </c>
      <c r="B6484" s="1763"/>
      <c r="D6484" s="2" t="str">
        <f t="shared" si="100"/>
        <v>OK</v>
      </c>
      <c r="E6484" s="4" t="s">
        <v>1991</v>
      </c>
    </row>
    <row r="6485" spans="1:5" x14ac:dyDescent="0.2">
      <c r="A6485" s="126">
        <v>6424</v>
      </c>
      <c r="B6485" s="1763"/>
      <c r="D6485" s="2" t="str">
        <f t="shared" si="100"/>
        <v>OK</v>
      </c>
      <c r="E6485" s="4" t="s">
        <v>1991</v>
      </c>
    </row>
    <row r="6486" spans="1:5" x14ac:dyDescent="0.2">
      <c r="A6486" s="126">
        <v>6425</v>
      </c>
      <c r="B6486" s="1763"/>
      <c r="D6486" s="2" t="str">
        <f t="shared" si="100"/>
        <v>OK</v>
      </c>
      <c r="E6486" s="4" t="s">
        <v>1991</v>
      </c>
    </row>
    <row r="6487" spans="1:5" x14ac:dyDescent="0.2">
      <c r="A6487" s="126">
        <v>6426</v>
      </c>
      <c r="B6487" s="1763"/>
      <c r="D6487" s="2" t="str">
        <f t="shared" si="100"/>
        <v>OK</v>
      </c>
      <c r="E6487" s="4" t="s">
        <v>1991</v>
      </c>
    </row>
    <row r="6488" spans="1:5" x14ac:dyDescent="0.2">
      <c r="A6488" s="126">
        <v>6427</v>
      </c>
      <c r="B6488" s="1763"/>
      <c r="D6488" s="2" t="str">
        <f t="shared" si="100"/>
        <v>OK</v>
      </c>
      <c r="E6488" s="4" t="s">
        <v>1991</v>
      </c>
    </row>
    <row r="6489" spans="1:5" x14ac:dyDescent="0.2">
      <c r="A6489" s="126">
        <v>6428</v>
      </c>
      <c r="B6489" s="1763"/>
      <c r="D6489" s="2" t="str">
        <f t="shared" si="100"/>
        <v>OK</v>
      </c>
      <c r="E6489" s="4" t="s">
        <v>1991</v>
      </c>
    </row>
    <row r="6490" spans="1:5" x14ac:dyDescent="0.2">
      <c r="A6490" s="126">
        <v>6429</v>
      </c>
      <c r="B6490" s="1763"/>
      <c r="D6490" s="2" t="str">
        <f t="shared" si="100"/>
        <v>OK</v>
      </c>
      <c r="E6490" s="4" t="s">
        <v>1991</v>
      </c>
    </row>
    <row r="6491" spans="1:5" x14ac:dyDescent="0.2">
      <c r="A6491" s="126">
        <v>6430</v>
      </c>
      <c r="B6491" s="1763"/>
      <c r="D6491" s="2" t="str">
        <f t="shared" si="100"/>
        <v>OK</v>
      </c>
      <c r="E6491" s="4" t="s">
        <v>1991</v>
      </c>
    </row>
    <row r="6492" spans="1:5" x14ac:dyDescent="0.2">
      <c r="A6492" s="126">
        <v>6431</v>
      </c>
      <c r="B6492" s="1763"/>
      <c r="D6492" s="2" t="str">
        <f t="shared" si="100"/>
        <v>OK</v>
      </c>
      <c r="E6492" s="4" t="s">
        <v>1991</v>
      </c>
    </row>
    <row r="6493" spans="1:5" x14ac:dyDescent="0.2">
      <c r="A6493" s="126">
        <v>6432</v>
      </c>
      <c r="B6493" s="1763"/>
      <c r="D6493" s="2" t="str">
        <f t="shared" si="100"/>
        <v>OK</v>
      </c>
      <c r="E6493" s="4" t="s">
        <v>1991</v>
      </c>
    </row>
    <row r="6494" spans="1:5" x14ac:dyDescent="0.2">
      <c r="A6494" s="126">
        <v>6433</v>
      </c>
      <c r="B6494" s="1763"/>
      <c r="D6494" s="2" t="str">
        <f t="shared" si="100"/>
        <v>OK</v>
      </c>
      <c r="E6494" s="4" t="s">
        <v>1991</v>
      </c>
    </row>
    <row r="6495" spans="1:5" x14ac:dyDescent="0.2">
      <c r="A6495" s="126">
        <v>6434</v>
      </c>
      <c r="B6495" s="1763"/>
      <c r="D6495" s="2" t="str">
        <f t="shared" si="100"/>
        <v>OK</v>
      </c>
      <c r="E6495" s="4" t="s">
        <v>1991</v>
      </c>
    </row>
    <row r="6496" spans="1:5" x14ac:dyDescent="0.2">
      <c r="A6496" s="126">
        <v>6435</v>
      </c>
      <c r="B6496" s="1763"/>
      <c r="D6496" s="2" t="str">
        <f t="shared" si="100"/>
        <v>OK</v>
      </c>
      <c r="E6496" s="4" t="s">
        <v>1991</v>
      </c>
    </row>
    <row r="6497" spans="1:5" x14ac:dyDescent="0.2">
      <c r="A6497" s="126">
        <v>6436</v>
      </c>
      <c r="B6497" s="1763"/>
      <c r="D6497" s="2" t="str">
        <f t="shared" si="100"/>
        <v>OK</v>
      </c>
      <c r="E6497" s="4" t="s">
        <v>1991</v>
      </c>
    </row>
    <row r="6498" spans="1:5" x14ac:dyDescent="0.2">
      <c r="A6498" s="126">
        <v>6437</v>
      </c>
      <c r="B6498" s="1763"/>
      <c r="D6498" s="2" t="str">
        <f t="shared" si="100"/>
        <v>OK</v>
      </c>
      <c r="E6498" s="4" t="s">
        <v>1991</v>
      </c>
    </row>
    <row r="6499" spans="1:5" x14ac:dyDescent="0.2">
      <c r="A6499" s="126">
        <v>6438</v>
      </c>
      <c r="B6499" s="1763"/>
      <c r="D6499" s="2" t="str">
        <f t="shared" si="100"/>
        <v>OK</v>
      </c>
      <c r="E6499" s="4" t="s">
        <v>1991</v>
      </c>
    </row>
    <row r="6500" spans="1:5" x14ac:dyDescent="0.2">
      <c r="A6500" s="126">
        <v>6439</v>
      </c>
      <c r="B6500" s="1763"/>
      <c r="D6500" s="2" t="str">
        <f t="shared" si="100"/>
        <v>OK</v>
      </c>
      <c r="E6500" s="4" t="s">
        <v>1991</v>
      </c>
    </row>
    <row r="6501" spans="1:5" x14ac:dyDescent="0.2">
      <c r="A6501" s="126">
        <v>6440</v>
      </c>
      <c r="B6501" s="1763"/>
      <c r="D6501" s="2" t="str">
        <f t="shared" si="100"/>
        <v>OK</v>
      </c>
      <c r="E6501" s="4" t="s">
        <v>1991</v>
      </c>
    </row>
    <row r="6502" spans="1:5" x14ac:dyDescent="0.2">
      <c r="A6502" s="126">
        <v>6441</v>
      </c>
      <c r="B6502" s="1763"/>
      <c r="D6502" s="2" t="str">
        <f t="shared" si="100"/>
        <v>OK</v>
      </c>
      <c r="E6502" s="4" t="s">
        <v>1991</v>
      </c>
    </row>
    <row r="6503" spans="1:5" x14ac:dyDescent="0.2">
      <c r="A6503" s="126">
        <v>6442</v>
      </c>
      <c r="B6503" s="1763"/>
      <c r="D6503" s="2" t="str">
        <f t="shared" si="100"/>
        <v>OK</v>
      </c>
      <c r="E6503" s="4" t="s">
        <v>1991</v>
      </c>
    </row>
    <row r="6504" spans="1:5" x14ac:dyDescent="0.2">
      <c r="A6504" s="126">
        <v>6443</v>
      </c>
      <c r="B6504" s="1763"/>
      <c r="D6504" s="2" t="str">
        <f t="shared" si="100"/>
        <v>OK</v>
      </c>
      <c r="E6504" s="4" t="s">
        <v>1991</v>
      </c>
    </row>
    <row r="6505" spans="1:5" x14ac:dyDescent="0.2">
      <c r="A6505" s="126">
        <v>6444</v>
      </c>
      <c r="B6505" s="1763"/>
      <c r="D6505" s="2" t="str">
        <f t="shared" si="100"/>
        <v>OK</v>
      </c>
      <c r="E6505" s="4" t="s">
        <v>1991</v>
      </c>
    </row>
    <row r="6506" spans="1:5" x14ac:dyDescent="0.2">
      <c r="A6506" s="126">
        <v>6445</v>
      </c>
      <c r="B6506" s="1763"/>
      <c r="D6506" s="2" t="str">
        <f t="shared" si="100"/>
        <v>OK</v>
      </c>
      <c r="E6506" s="4" t="s">
        <v>1991</v>
      </c>
    </row>
    <row r="6507" spans="1:5" x14ac:dyDescent="0.2">
      <c r="A6507" s="126">
        <v>6446</v>
      </c>
      <c r="B6507" s="1763"/>
      <c r="D6507" s="2" t="str">
        <f t="shared" si="100"/>
        <v>OK</v>
      </c>
      <c r="E6507" s="4" t="s">
        <v>1991</v>
      </c>
    </row>
    <row r="6508" spans="1:5" x14ac:dyDescent="0.2">
      <c r="A6508" s="126">
        <v>6447</v>
      </c>
      <c r="B6508" s="1763"/>
      <c r="D6508" s="2" t="str">
        <f t="shared" si="100"/>
        <v>OK</v>
      </c>
      <c r="E6508" s="4" t="s">
        <v>1991</v>
      </c>
    </row>
    <row r="6509" spans="1:5" x14ac:dyDescent="0.2">
      <c r="A6509" s="126">
        <v>6448</v>
      </c>
      <c r="B6509" s="1763"/>
      <c r="D6509" s="2" t="str">
        <f t="shared" si="100"/>
        <v>OK</v>
      </c>
      <c r="E6509" s="4" t="s">
        <v>1991</v>
      </c>
    </row>
    <row r="6510" spans="1:5" x14ac:dyDescent="0.2">
      <c r="A6510" s="126">
        <v>6449</v>
      </c>
      <c r="B6510" s="1763"/>
      <c r="D6510" s="2" t="str">
        <f t="shared" si="100"/>
        <v>OK</v>
      </c>
      <c r="E6510" s="4" t="s">
        <v>1991</v>
      </c>
    </row>
    <row r="6511" spans="1:5" x14ac:dyDescent="0.2">
      <c r="A6511" s="126">
        <v>6450</v>
      </c>
      <c r="B6511" s="1763"/>
      <c r="D6511" s="2" t="str">
        <f t="shared" si="100"/>
        <v>OK</v>
      </c>
      <c r="E6511" s="4" t="s">
        <v>1991</v>
      </c>
    </row>
    <row r="6512" spans="1:5" x14ac:dyDescent="0.2">
      <c r="A6512" s="126">
        <v>6451</v>
      </c>
      <c r="B6512" s="1763"/>
      <c r="D6512" s="2" t="str">
        <f t="shared" si="100"/>
        <v>OK</v>
      </c>
      <c r="E6512" s="4" t="s">
        <v>1991</v>
      </c>
    </row>
    <row r="6513" spans="1:5" x14ac:dyDescent="0.2">
      <c r="A6513" s="126">
        <v>6452</v>
      </c>
      <c r="B6513" s="1763"/>
      <c r="D6513" s="2" t="str">
        <f t="shared" si="100"/>
        <v>OK</v>
      </c>
      <c r="E6513" s="4" t="s">
        <v>1991</v>
      </c>
    </row>
    <row r="6514" spans="1:5" x14ac:dyDescent="0.2">
      <c r="A6514" s="126">
        <v>6453</v>
      </c>
      <c r="B6514" s="1763"/>
      <c r="D6514" s="2" t="str">
        <f t="shared" si="100"/>
        <v>OK</v>
      </c>
      <c r="E6514" s="4" t="s">
        <v>1991</v>
      </c>
    </row>
    <row r="6515" spans="1:5" x14ac:dyDescent="0.2">
      <c r="A6515" s="126">
        <v>6454</v>
      </c>
      <c r="B6515" s="1763"/>
      <c r="D6515" s="2" t="str">
        <f t="shared" si="100"/>
        <v>OK</v>
      </c>
      <c r="E6515" s="4" t="s">
        <v>1991</v>
      </c>
    </row>
    <row r="6516" spans="1:5" x14ac:dyDescent="0.2">
      <c r="A6516" s="126">
        <v>6455</v>
      </c>
      <c r="B6516" s="1763"/>
      <c r="D6516" s="2" t="str">
        <f t="shared" si="100"/>
        <v>OK</v>
      </c>
      <c r="E6516" s="4" t="s">
        <v>1991</v>
      </c>
    </row>
    <row r="6517" spans="1:5" x14ac:dyDescent="0.2">
      <c r="A6517" s="126">
        <v>6456</v>
      </c>
      <c r="B6517" s="1763"/>
      <c r="D6517" s="2" t="str">
        <f t="shared" si="100"/>
        <v>OK</v>
      </c>
      <c r="E6517" s="4" t="s">
        <v>1991</v>
      </c>
    </row>
    <row r="6518" spans="1:5" x14ac:dyDescent="0.2">
      <c r="A6518" s="126">
        <v>6457</v>
      </c>
      <c r="B6518" s="1763"/>
      <c r="D6518" s="2" t="str">
        <f t="shared" si="100"/>
        <v>OK</v>
      </c>
      <c r="E6518" s="4" t="s">
        <v>1991</v>
      </c>
    </row>
    <row r="6519" spans="1:5" x14ac:dyDescent="0.2">
      <c r="A6519" s="126">
        <v>6458</v>
      </c>
      <c r="B6519" s="1763"/>
      <c r="D6519" s="2" t="str">
        <f t="shared" si="100"/>
        <v>OK</v>
      </c>
      <c r="E6519" s="4" t="s">
        <v>1991</v>
      </c>
    </row>
    <row r="6520" spans="1:5" x14ac:dyDescent="0.2">
      <c r="A6520" s="126">
        <v>6459</v>
      </c>
      <c r="B6520" s="1763"/>
      <c r="D6520" s="2" t="str">
        <f t="shared" si="100"/>
        <v>OK</v>
      </c>
      <c r="E6520" s="4" t="s">
        <v>1991</v>
      </c>
    </row>
    <row r="6521" spans="1:5" x14ac:dyDescent="0.2">
      <c r="A6521" s="126">
        <v>6460</v>
      </c>
      <c r="B6521" s="1763"/>
      <c r="D6521" s="2" t="str">
        <f t="shared" si="100"/>
        <v>OK</v>
      </c>
      <c r="E6521" s="4" t="s">
        <v>1991</v>
      </c>
    </row>
    <row r="6522" spans="1:5" x14ac:dyDescent="0.2">
      <c r="A6522" s="126">
        <v>6461</v>
      </c>
      <c r="B6522" s="1763"/>
      <c r="D6522" s="2" t="str">
        <f t="shared" si="100"/>
        <v>OK</v>
      </c>
      <c r="E6522" s="4" t="s">
        <v>1991</v>
      </c>
    </row>
    <row r="6523" spans="1:5" x14ac:dyDescent="0.2">
      <c r="A6523" s="126">
        <v>6462</v>
      </c>
      <c r="B6523" s="1763"/>
      <c r="D6523" s="2" t="str">
        <f t="shared" si="100"/>
        <v>OK</v>
      </c>
      <c r="E6523" s="4" t="s">
        <v>1991</v>
      </c>
    </row>
    <row r="6524" spans="1:5" x14ac:dyDescent="0.2">
      <c r="A6524" s="126">
        <v>6463</v>
      </c>
      <c r="B6524" s="1763"/>
      <c r="D6524" s="2" t="str">
        <f t="shared" si="100"/>
        <v>OK</v>
      </c>
      <c r="E6524" s="4" t="s">
        <v>1991</v>
      </c>
    </row>
    <row r="6525" spans="1:5" x14ac:dyDescent="0.2">
      <c r="A6525" s="126">
        <v>6464</v>
      </c>
      <c r="B6525" s="1763"/>
      <c r="D6525" s="2" t="str">
        <f t="shared" si="100"/>
        <v>OK</v>
      </c>
      <c r="E6525" s="4" t="s">
        <v>1991</v>
      </c>
    </row>
    <row r="6526" spans="1:5" x14ac:dyDescent="0.2">
      <c r="A6526" s="126">
        <v>6465</v>
      </c>
      <c r="B6526" s="1763"/>
      <c r="D6526" s="2" t="str">
        <f t="shared" si="100"/>
        <v>OK</v>
      </c>
      <c r="E6526" s="4" t="s">
        <v>1991</v>
      </c>
    </row>
    <row r="6527" spans="1:5" x14ac:dyDescent="0.2">
      <c r="A6527" s="126">
        <v>6466</v>
      </c>
      <c r="B6527" s="1763"/>
      <c r="D6527" s="2" t="str">
        <f t="shared" ref="D6527:D6590" si="101">IF(ISBLANK(B6527),"OK",IF(A6527-B6527=0,"OK","Error?"))</f>
        <v>OK</v>
      </c>
      <c r="E6527" s="4" t="s">
        <v>1991</v>
      </c>
    </row>
    <row r="6528" spans="1:5" x14ac:dyDescent="0.2">
      <c r="A6528" s="126">
        <v>6467</v>
      </c>
      <c r="B6528" s="1763"/>
      <c r="D6528" s="2" t="str">
        <f t="shared" si="101"/>
        <v>OK</v>
      </c>
      <c r="E6528" s="4" t="s">
        <v>1991</v>
      </c>
    </row>
    <row r="6529" spans="1:5" x14ac:dyDescent="0.2">
      <c r="A6529" s="126">
        <v>6468</v>
      </c>
      <c r="B6529" s="1763"/>
      <c r="D6529" s="2" t="str">
        <f t="shared" si="101"/>
        <v>OK</v>
      </c>
      <c r="E6529" s="4" t="s">
        <v>1991</v>
      </c>
    </row>
    <row r="6530" spans="1:5" x14ac:dyDescent="0.2">
      <c r="A6530" s="126">
        <v>6469</v>
      </c>
      <c r="B6530" s="1763"/>
      <c r="D6530" s="2" t="str">
        <f t="shared" si="101"/>
        <v>OK</v>
      </c>
      <c r="E6530" s="4" t="s">
        <v>1991</v>
      </c>
    </row>
    <row r="6531" spans="1:5" x14ac:dyDescent="0.2">
      <c r="A6531" s="126">
        <v>6470</v>
      </c>
      <c r="B6531" s="1763"/>
      <c r="D6531" s="2" t="str">
        <f t="shared" si="101"/>
        <v>OK</v>
      </c>
      <c r="E6531" s="4" t="s">
        <v>1991</v>
      </c>
    </row>
    <row r="6532" spans="1:5" x14ac:dyDescent="0.2">
      <c r="A6532" s="126">
        <v>6471</v>
      </c>
      <c r="B6532" s="1763"/>
      <c r="D6532" s="2" t="str">
        <f t="shared" si="101"/>
        <v>OK</v>
      </c>
      <c r="E6532" s="4" t="s">
        <v>1991</v>
      </c>
    </row>
    <row r="6533" spans="1:5" x14ac:dyDescent="0.2">
      <c r="A6533" s="126">
        <v>6472</v>
      </c>
      <c r="B6533" s="1763"/>
      <c r="D6533" s="2" t="str">
        <f t="shared" si="101"/>
        <v>OK</v>
      </c>
      <c r="E6533" s="4" t="s">
        <v>1991</v>
      </c>
    </row>
    <row r="6534" spans="1:5" x14ac:dyDescent="0.2">
      <c r="A6534" s="126">
        <v>6473</v>
      </c>
      <c r="B6534" s="1763"/>
      <c r="D6534" s="2" t="str">
        <f t="shared" si="101"/>
        <v>OK</v>
      </c>
      <c r="E6534" s="4" t="s">
        <v>1991</v>
      </c>
    </row>
    <row r="6535" spans="1:5" x14ac:dyDescent="0.2">
      <c r="A6535" s="126">
        <v>6474</v>
      </c>
      <c r="B6535" s="1763"/>
      <c r="D6535" s="2" t="str">
        <f t="shared" si="101"/>
        <v>OK</v>
      </c>
      <c r="E6535" s="4" t="s">
        <v>1991</v>
      </c>
    </row>
    <row r="6536" spans="1:5" x14ac:dyDescent="0.2">
      <c r="A6536" s="126">
        <v>6475</v>
      </c>
      <c r="B6536" s="1763"/>
      <c r="D6536" s="2" t="str">
        <f t="shared" si="101"/>
        <v>OK</v>
      </c>
      <c r="E6536" s="4" t="s">
        <v>1991</v>
      </c>
    </row>
    <row r="6537" spans="1:5" x14ac:dyDescent="0.2">
      <c r="A6537" s="126">
        <v>6476</v>
      </c>
      <c r="B6537" s="1763"/>
      <c r="D6537" s="2" t="str">
        <f t="shared" si="101"/>
        <v>OK</v>
      </c>
      <c r="E6537" s="4" t="s">
        <v>1991</v>
      </c>
    </row>
    <row r="6538" spans="1:5" x14ac:dyDescent="0.2">
      <c r="A6538" s="126">
        <v>6477</v>
      </c>
      <c r="B6538" s="1763"/>
      <c r="D6538" s="2" t="str">
        <f t="shared" si="101"/>
        <v>OK</v>
      </c>
      <c r="E6538" s="4" t="s">
        <v>1991</v>
      </c>
    </row>
    <row r="6539" spans="1:5" x14ac:dyDescent="0.2">
      <c r="A6539" s="126">
        <v>6478</v>
      </c>
      <c r="B6539" s="1763"/>
      <c r="D6539" s="2" t="str">
        <f t="shared" si="101"/>
        <v>OK</v>
      </c>
      <c r="E6539" s="4" t="s">
        <v>1991</v>
      </c>
    </row>
    <row r="6540" spans="1:5" x14ac:dyDescent="0.2">
      <c r="A6540" s="126">
        <v>6479</v>
      </c>
      <c r="B6540" s="1763"/>
      <c r="D6540" s="2" t="str">
        <f t="shared" si="101"/>
        <v>OK</v>
      </c>
      <c r="E6540" s="4" t="s">
        <v>1991</v>
      </c>
    </row>
    <row r="6541" spans="1:5" x14ac:dyDescent="0.2">
      <c r="A6541" s="126">
        <v>6480</v>
      </c>
      <c r="B6541" s="1763"/>
      <c r="D6541" s="2" t="str">
        <f t="shared" si="101"/>
        <v>OK</v>
      </c>
      <c r="E6541" s="4" t="s">
        <v>1991</v>
      </c>
    </row>
    <row r="6542" spans="1:5" x14ac:dyDescent="0.2">
      <c r="A6542" s="126">
        <v>6481</v>
      </c>
      <c r="B6542" s="1763"/>
      <c r="D6542" s="2" t="str">
        <f t="shared" si="101"/>
        <v>OK</v>
      </c>
      <c r="E6542" s="4" t="s">
        <v>1991</v>
      </c>
    </row>
    <row r="6543" spans="1:5" x14ac:dyDescent="0.2">
      <c r="A6543" s="126">
        <v>6482</v>
      </c>
      <c r="B6543" s="1763"/>
      <c r="D6543" s="2" t="str">
        <f t="shared" si="101"/>
        <v>OK</v>
      </c>
      <c r="E6543" s="4" t="s">
        <v>1991</v>
      </c>
    </row>
    <row r="6544" spans="1:5" x14ac:dyDescent="0.2">
      <c r="A6544" s="126">
        <v>6483</v>
      </c>
      <c r="B6544" s="1763"/>
      <c r="D6544" s="2" t="str">
        <f t="shared" si="101"/>
        <v>OK</v>
      </c>
      <c r="E6544" s="4" t="s">
        <v>1991</v>
      </c>
    </row>
    <row r="6545" spans="1:5" x14ac:dyDescent="0.2">
      <c r="A6545" s="126">
        <v>6484</v>
      </c>
      <c r="B6545" s="1763"/>
      <c r="D6545" s="2" t="str">
        <f t="shared" si="101"/>
        <v>OK</v>
      </c>
      <c r="E6545" s="4" t="s">
        <v>1991</v>
      </c>
    </row>
    <row r="6546" spans="1:5" x14ac:dyDescent="0.2">
      <c r="A6546" s="126">
        <v>6485</v>
      </c>
      <c r="B6546" s="1763"/>
      <c r="D6546" s="2" t="str">
        <f t="shared" si="101"/>
        <v>OK</v>
      </c>
      <c r="E6546" s="4" t="s">
        <v>1991</v>
      </c>
    </row>
    <row r="6547" spans="1:5" x14ac:dyDescent="0.2">
      <c r="A6547" s="126">
        <v>6486</v>
      </c>
      <c r="B6547" s="1763"/>
      <c r="D6547" s="2" t="str">
        <f t="shared" si="101"/>
        <v>OK</v>
      </c>
      <c r="E6547" s="4" t="s">
        <v>1991</v>
      </c>
    </row>
    <row r="6548" spans="1:5" x14ac:dyDescent="0.2">
      <c r="A6548" s="126">
        <v>6487</v>
      </c>
      <c r="B6548" s="1763"/>
      <c r="D6548" s="2" t="str">
        <f t="shared" si="101"/>
        <v>OK</v>
      </c>
      <c r="E6548" s="4" t="s">
        <v>1991</v>
      </c>
    </row>
    <row r="6549" spans="1:5" x14ac:dyDescent="0.2">
      <c r="A6549" s="126">
        <v>6488</v>
      </c>
      <c r="B6549" s="1763"/>
      <c r="D6549" s="2" t="str">
        <f t="shared" si="101"/>
        <v>OK</v>
      </c>
      <c r="E6549" s="4" t="s">
        <v>1991</v>
      </c>
    </row>
    <row r="6550" spans="1:5" x14ac:dyDescent="0.2">
      <c r="A6550" s="126">
        <v>6489</v>
      </c>
      <c r="B6550" s="1763"/>
      <c r="D6550" s="2" t="str">
        <f t="shared" si="101"/>
        <v>OK</v>
      </c>
      <c r="E6550" s="4" t="s">
        <v>1991</v>
      </c>
    </row>
    <row r="6551" spans="1:5" x14ac:dyDescent="0.2">
      <c r="A6551" s="126">
        <v>6490</v>
      </c>
      <c r="B6551" s="1763"/>
      <c r="D6551" s="2" t="str">
        <f t="shared" si="101"/>
        <v>OK</v>
      </c>
      <c r="E6551" s="4" t="s">
        <v>1991</v>
      </c>
    </row>
    <row r="6552" spans="1:5" x14ac:dyDescent="0.2">
      <c r="A6552" s="126">
        <v>6491</v>
      </c>
      <c r="B6552" s="1763"/>
      <c r="D6552" s="2" t="str">
        <f t="shared" si="101"/>
        <v>OK</v>
      </c>
      <c r="E6552" s="4" t="s">
        <v>1991</v>
      </c>
    </row>
    <row r="6553" spans="1:5" x14ac:dyDescent="0.2">
      <c r="A6553" s="126">
        <v>6492</v>
      </c>
      <c r="B6553" s="1763"/>
      <c r="D6553" s="2" t="str">
        <f t="shared" si="101"/>
        <v>OK</v>
      </c>
      <c r="E6553" s="4" t="s">
        <v>1991</v>
      </c>
    </row>
    <row r="6554" spans="1:5" x14ac:dyDescent="0.2">
      <c r="A6554" s="126">
        <v>6493</v>
      </c>
      <c r="B6554" s="1763"/>
      <c r="D6554" s="2" t="str">
        <f t="shared" si="101"/>
        <v>OK</v>
      </c>
      <c r="E6554" s="4" t="s">
        <v>1991</v>
      </c>
    </row>
    <row r="6555" spans="1:5" x14ac:dyDescent="0.2">
      <c r="A6555" s="126">
        <v>6494</v>
      </c>
      <c r="B6555" s="1763"/>
      <c r="D6555" s="2" t="str">
        <f t="shared" si="101"/>
        <v>OK</v>
      </c>
      <c r="E6555" s="4" t="s">
        <v>1991</v>
      </c>
    </row>
    <row r="6556" spans="1:5" x14ac:dyDescent="0.2">
      <c r="A6556" s="126">
        <v>6495</v>
      </c>
      <c r="B6556" s="1763"/>
      <c r="D6556" s="2" t="str">
        <f t="shared" si="101"/>
        <v>OK</v>
      </c>
      <c r="E6556" s="4" t="s">
        <v>1991</v>
      </c>
    </row>
    <row r="6557" spans="1:5" x14ac:dyDescent="0.2">
      <c r="A6557" s="126">
        <v>6496</v>
      </c>
      <c r="B6557" s="1763"/>
      <c r="D6557" s="2" t="str">
        <f t="shared" si="101"/>
        <v>OK</v>
      </c>
      <c r="E6557" s="4" t="s">
        <v>1991</v>
      </c>
    </row>
    <row r="6558" spans="1:5" x14ac:dyDescent="0.2">
      <c r="A6558" s="126">
        <v>6497</v>
      </c>
      <c r="B6558" s="1763"/>
      <c r="D6558" s="2" t="str">
        <f t="shared" si="101"/>
        <v>OK</v>
      </c>
      <c r="E6558" s="4" t="s">
        <v>1991</v>
      </c>
    </row>
    <row r="6559" spans="1:5" x14ac:dyDescent="0.2">
      <c r="A6559" s="126">
        <v>6498</v>
      </c>
      <c r="B6559" s="1763"/>
      <c r="D6559" s="2" t="str">
        <f t="shared" si="101"/>
        <v>OK</v>
      </c>
      <c r="E6559" s="4" t="s">
        <v>1991</v>
      </c>
    </row>
    <row r="6560" spans="1:5" x14ac:dyDescent="0.2">
      <c r="A6560" s="126">
        <v>6499</v>
      </c>
      <c r="B6560" s="1763"/>
      <c r="D6560" s="2" t="str">
        <f t="shared" si="101"/>
        <v>OK</v>
      </c>
      <c r="E6560" s="4" t="s">
        <v>1991</v>
      </c>
    </row>
    <row r="6561" spans="1:5" x14ac:dyDescent="0.2">
      <c r="A6561" s="126">
        <v>6500</v>
      </c>
      <c r="B6561" s="1763"/>
      <c r="D6561" s="2" t="str">
        <f t="shared" si="101"/>
        <v>OK</v>
      </c>
      <c r="E6561" s="4" t="s">
        <v>1991</v>
      </c>
    </row>
    <row r="6562" spans="1:5" x14ac:dyDescent="0.2">
      <c r="A6562" s="126">
        <v>6501</v>
      </c>
      <c r="B6562" s="1763"/>
      <c r="D6562" s="2" t="str">
        <f t="shared" si="101"/>
        <v>OK</v>
      </c>
      <c r="E6562" s="4" t="s">
        <v>1991</v>
      </c>
    </row>
    <row r="6563" spans="1:5" x14ac:dyDescent="0.2">
      <c r="A6563" s="126">
        <v>6502</v>
      </c>
      <c r="B6563" s="1763"/>
      <c r="D6563" s="2" t="str">
        <f t="shared" si="101"/>
        <v>OK</v>
      </c>
      <c r="E6563" s="4" t="s">
        <v>1991</v>
      </c>
    </row>
    <row r="6564" spans="1:5" x14ac:dyDescent="0.2">
      <c r="A6564" s="126">
        <v>6503</v>
      </c>
      <c r="B6564" s="1763"/>
      <c r="D6564" s="2" t="str">
        <f t="shared" si="101"/>
        <v>OK</v>
      </c>
      <c r="E6564" s="4" t="s">
        <v>1991</v>
      </c>
    </row>
    <row r="6565" spans="1:5" x14ac:dyDescent="0.2">
      <c r="A6565" s="126">
        <v>6504</v>
      </c>
      <c r="B6565" s="1763"/>
      <c r="D6565" s="2" t="str">
        <f t="shared" si="101"/>
        <v>OK</v>
      </c>
      <c r="E6565" s="4" t="s">
        <v>1991</v>
      </c>
    </row>
    <row r="6566" spans="1:5" x14ac:dyDescent="0.2">
      <c r="A6566" s="126">
        <v>6505</v>
      </c>
      <c r="B6566" s="1763"/>
      <c r="D6566" s="2" t="str">
        <f t="shared" si="101"/>
        <v>OK</v>
      </c>
      <c r="E6566" s="4" t="s">
        <v>1991</v>
      </c>
    </row>
    <row r="6567" spans="1:5" x14ac:dyDescent="0.2">
      <c r="A6567" s="126">
        <v>6506</v>
      </c>
      <c r="B6567" s="1763"/>
      <c r="D6567" s="2" t="str">
        <f t="shared" si="101"/>
        <v>OK</v>
      </c>
      <c r="E6567" s="4" t="s">
        <v>1991</v>
      </c>
    </row>
    <row r="6568" spans="1:5" x14ac:dyDescent="0.2">
      <c r="A6568" s="126">
        <v>6507</v>
      </c>
      <c r="B6568" s="1763"/>
      <c r="D6568" s="2" t="str">
        <f t="shared" si="101"/>
        <v>OK</v>
      </c>
      <c r="E6568" s="4" t="s">
        <v>1991</v>
      </c>
    </row>
    <row r="6569" spans="1:5" x14ac:dyDescent="0.2">
      <c r="A6569" s="126">
        <v>6508</v>
      </c>
      <c r="B6569" s="1763"/>
      <c r="D6569" s="2" t="str">
        <f t="shared" si="101"/>
        <v>OK</v>
      </c>
      <c r="E6569" s="4" t="s">
        <v>1991</v>
      </c>
    </row>
    <row r="6570" spans="1:5" x14ac:dyDescent="0.2">
      <c r="A6570" s="126">
        <v>6509</v>
      </c>
      <c r="B6570" s="1763"/>
      <c r="D6570" s="2" t="str">
        <f t="shared" si="101"/>
        <v>OK</v>
      </c>
      <c r="E6570" s="4" t="s">
        <v>1991</v>
      </c>
    </row>
    <row r="6571" spans="1:5" x14ac:dyDescent="0.2">
      <c r="A6571" s="126">
        <v>6510</v>
      </c>
      <c r="B6571" s="1763"/>
      <c r="D6571" s="2" t="str">
        <f t="shared" si="101"/>
        <v>OK</v>
      </c>
      <c r="E6571" s="4" t="s">
        <v>1991</v>
      </c>
    </row>
    <row r="6572" spans="1:5" x14ac:dyDescent="0.2">
      <c r="A6572" s="126">
        <v>6511</v>
      </c>
      <c r="B6572" s="1763"/>
      <c r="D6572" s="2" t="str">
        <f t="shared" si="101"/>
        <v>OK</v>
      </c>
      <c r="E6572" s="4" t="s">
        <v>1991</v>
      </c>
    </row>
    <row r="6573" spans="1:5" x14ac:dyDescent="0.2">
      <c r="A6573" s="126">
        <v>6512</v>
      </c>
      <c r="B6573" s="1763"/>
      <c r="D6573" s="2" t="str">
        <f t="shared" si="101"/>
        <v>OK</v>
      </c>
      <c r="E6573" s="4" t="s">
        <v>1991</v>
      </c>
    </row>
    <row r="6574" spans="1:5" x14ac:dyDescent="0.2">
      <c r="A6574" s="126">
        <v>6513</v>
      </c>
      <c r="B6574" s="1763"/>
      <c r="D6574" s="2" t="str">
        <f t="shared" si="101"/>
        <v>OK</v>
      </c>
      <c r="E6574" s="4" t="s">
        <v>1991</v>
      </c>
    </row>
    <row r="6575" spans="1:5" x14ac:dyDescent="0.2">
      <c r="A6575" s="126">
        <v>6514</v>
      </c>
      <c r="B6575" s="1763"/>
      <c r="D6575" s="2" t="str">
        <f t="shared" si="101"/>
        <v>OK</v>
      </c>
      <c r="E6575" s="4" t="s">
        <v>1991</v>
      </c>
    </row>
    <row r="6576" spans="1:5" x14ac:dyDescent="0.2">
      <c r="A6576" s="126">
        <v>6515</v>
      </c>
      <c r="B6576" s="1763"/>
      <c r="D6576" s="2" t="str">
        <f t="shared" si="101"/>
        <v>OK</v>
      </c>
      <c r="E6576" s="4" t="s">
        <v>1991</v>
      </c>
    </row>
    <row r="6577" spans="1:5" x14ac:dyDescent="0.2">
      <c r="A6577" s="126">
        <v>6516</v>
      </c>
      <c r="B6577" s="1763"/>
      <c r="D6577" s="2" t="str">
        <f t="shared" si="101"/>
        <v>OK</v>
      </c>
      <c r="E6577" s="4" t="s">
        <v>1991</v>
      </c>
    </row>
    <row r="6578" spans="1:5" x14ac:dyDescent="0.2">
      <c r="A6578" s="126">
        <v>6517</v>
      </c>
      <c r="B6578" s="1763"/>
      <c r="D6578" s="2" t="str">
        <f t="shared" si="101"/>
        <v>OK</v>
      </c>
      <c r="E6578" s="4" t="s">
        <v>1991</v>
      </c>
    </row>
    <row r="6579" spans="1:5" x14ac:dyDescent="0.2">
      <c r="A6579" s="126">
        <v>6518</v>
      </c>
      <c r="B6579" s="1763"/>
      <c r="D6579" s="2" t="str">
        <f t="shared" si="101"/>
        <v>OK</v>
      </c>
      <c r="E6579" s="4" t="s">
        <v>1991</v>
      </c>
    </row>
    <row r="6580" spans="1:5" x14ac:dyDescent="0.2">
      <c r="A6580" s="126">
        <v>6519</v>
      </c>
      <c r="B6580" s="1763"/>
      <c r="D6580" s="2" t="str">
        <f t="shared" si="101"/>
        <v>OK</v>
      </c>
      <c r="E6580" s="4" t="s">
        <v>1991</v>
      </c>
    </row>
    <row r="6581" spans="1:5" x14ac:dyDescent="0.2">
      <c r="A6581" s="126">
        <v>6520</v>
      </c>
      <c r="B6581" s="1763"/>
      <c r="D6581" s="2" t="str">
        <f t="shared" si="101"/>
        <v>OK</v>
      </c>
      <c r="E6581" s="4" t="s">
        <v>1991</v>
      </c>
    </row>
    <row r="6582" spans="1:5" x14ac:dyDescent="0.2">
      <c r="A6582" s="126">
        <v>6521</v>
      </c>
      <c r="B6582" s="1763"/>
      <c r="D6582" s="2" t="str">
        <f t="shared" si="101"/>
        <v>OK</v>
      </c>
      <c r="E6582" s="4" t="s">
        <v>1991</v>
      </c>
    </row>
    <row r="6583" spans="1:5" x14ac:dyDescent="0.2">
      <c r="A6583" s="126">
        <v>6522</v>
      </c>
      <c r="B6583" s="1763"/>
      <c r="D6583" s="2" t="str">
        <f t="shared" si="101"/>
        <v>OK</v>
      </c>
      <c r="E6583" s="4" t="s">
        <v>1991</v>
      </c>
    </row>
    <row r="6584" spans="1:5" x14ac:dyDescent="0.2">
      <c r="A6584" s="126">
        <v>6523</v>
      </c>
      <c r="B6584" s="1763"/>
      <c r="D6584" s="2" t="str">
        <f t="shared" si="101"/>
        <v>OK</v>
      </c>
      <c r="E6584" s="4" t="s">
        <v>1991</v>
      </c>
    </row>
    <row r="6585" spans="1:5" x14ac:dyDescent="0.2">
      <c r="A6585" s="126">
        <v>6524</v>
      </c>
      <c r="B6585" s="1763"/>
      <c r="D6585" s="2" t="str">
        <f t="shared" si="101"/>
        <v>OK</v>
      </c>
      <c r="E6585" s="4" t="s">
        <v>1991</v>
      </c>
    </row>
    <row r="6586" spans="1:5" x14ac:dyDescent="0.2">
      <c r="A6586" s="126">
        <v>6525</v>
      </c>
      <c r="B6586" s="1763"/>
      <c r="D6586" s="2" t="str">
        <f t="shared" si="101"/>
        <v>OK</v>
      </c>
      <c r="E6586" s="4" t="s">
        <v>1991</v>
      </c>
    </row>
    <row r="6587" spans="1:5" x14ac:dyDescent="0.2">
      <c r="A6587" s="126">
        <v>6526</v>
      </c>
      <c r="B6587" s="1763"/>
      <c r="D6587" s="2" t="str">
        <f t="shared" si="101"/>
        <v>OK</v>
      </c>
      <c r="E6587" s="4" t="s">
        <v>1991</v>
      </c>
    </row>
    <row r="6588" spans="1:5" x14ac:dyDescent="0.2">
      <c r="A6588" s="126">
        <v>6527</v>
      </c>
      <c r="B6588" s="1763"/>
      <c r="D6588" s="2" t="str">
        <f t="shared" si="101"/>
        <v>OK</v>
      </c>
      <c r="E6588" s="4" t="s">
        <v>1991</v>
      </c>
    </row>
    <row r="6589" spans="1:5" x14ac:dyDescent="0.2">
      <c r="A6589" s="126">
        <v>6528</v>
      </c>
      <c r="B6589" s="1763"/>
      <c r="D6589" s="2" t="str">
        <f t="shared" si="101"/>
        <v>OK</v>
      </c>
      <c r="E6589" s="4" t="s">
        <v>1991</v>
      </c>
    </row>
    <row r="6590" spans="1:5" x14ac:dyDescent="0.2">
      <c r="A6590" s="126">
        <v>6529</v>
      </c>
      <c r="B6590" s="1763"/>
      <c r="D6590" s="2" t="str">
        <f t="shared" si="101"/>
        <v>OK</v>
      </c>
      <c r="E6590" s="4" t="s">
        <v>1991</v>
      </c>
    </row>
    <row r="6591" spans="1:5" x14ac:dyDescent="0.2">
      <c r="A6591" s="126">
        <v>6530</v>
      </c>
      <c r="B6591" s="1763"/>
      <c r="D6591" s="2" t="str">
        <f t="shared" ref="D6591:D6654" si="102">IF(ISBLANK(B6591),"OK",IF(A6591-B6591=0,"OK","Error?"))</f>
        <v>OK</v>
      </c>
      <c r="E6591" s="4" t="s">
        <v>1991</v>
      </c>
    </row>
    <row r="6592" spans="1:5" x14ac:dyDescent="0.2">
      <c r="A6592" s="126">
        <v>6531</v>
      </c>
      <c r="B6592" s="1763"/>
      <c r="D6592" s="2" t="str">
        <f t="shared" si="102"/>
        <v>OK</v>
      </c>
      <c r="E6592" s="4" t="s">
        <v>1991</v>
      </c>
    </row>
    <row r="6593" spans="1:5" x14ac:dyDescent="0.2">
      <c r="A6593" s="126">
        <v>6532</v>
      </c>
      <c r="B6593" s="1763"/>
      <c r="D6593" s="2" t="str">
        <f t="shared" si="102"/>
        <v>OK</v>
      </c>
      <c r="E6593" s="4" t="s">
        <v>1991</v>
      </c>
    </row>
    <row r="6594" spans="1:5" x14ac:dyDescent="0.2">
      <c r="A6594" s="126">
        <v>6533</v>
      </c>
      <c r="B6594" s="1763"/>
      <c r="D6594" s="2" t="str">
        <f t="shared" si="102"/>
        <v>OK</v>
      </c>
      <c r="E6594" s="4" t="s">
        <v>1991</v>
      </c>
    </row>
    <row r="6595" spans="1:5" x14ac:dyDescent="0.2">
      <c r="A6595" s="126">
        <v>6534</v>
      </c>
      <c r="B6595" s="1763"/>
      <c r="D6595" s="2" t="str">
        <f t="shared" si="102"/>
        <v>OK</v>
      </c>
      <c r="E6595" s="4" t="s">
        <v>1991</v>
      </c>
    </row>
    <row r="6596" spans="1:5" x14ac:dyDescent="0.2">
      <c r="A6596" s="126">
        <v>6535</v>
      </c>
      <c r="B6596" s="1763"/>
      <c r="D6596" s="2" t="str">
        <f t="shared" si="102"/>
        <v>OK</v>
      </c>
      <c r="E6596" s="4" t="s">
        <v>1991</v>
      </c>
    </row>
    <row r="6597" spans="1:5" x14ac:dyDescent="0.2">
      <c r="A6597" s="126">
        <v>6536</v>
      </c>
      <c r="B6597" s="1763"/>
      <c r="D6597" s="2" t="str">
        <f t="shared" si="102"/>
        <v>OK</v>
      </c>
      <c r="E6597" s="4" t="s">
        <v>1991</v>
      </c>
    </row>
    <row r="6598" spans="1:5" x14ac:dyDescent="0.2">
      <c r="A6598" s="126">
        <v>6537</v>
      </c>
      <c r="B6598" s="1763"/>
      <c r="D6598" s="2" t="str">
        <f t="shared" si="102"/>
        <v>OK</v>
      </c>
      <c r="E6598" s="4" t="s">
        <v>1991</v>
      </c>
    </row>
    <row r="6599" spans="1:5" x14ac:dyDescent="0.2">
      <c r="A6599" s="126">
        <v>6538</v>
      </c>
      <c r="B6599" s="1763"/>
      <c r="D6599" s="2" t="str">
        <f t="shared" si="102"/>
        <v>OK</v>
      </c>
      <c r="E6599" s="4" t="s">
        <v>1991</v>
      </c>
    </row>
    <row r="6600" spans="1:5" x14ac:dyDescent="0.2">
      <c r="A6600" s="126">
        <v>6539</v>
      </c>
      <c r="B6600" s="1763"/>
      <c r="D6600" s="2" t="str">
        <f t="shared" si="102"/>
        <v>OK</v>
      </c>
      <c r="E6600" s="4" t="s">
        <v>1991</v>
      </c>
    </row>
    <row r="6601" spans="1:5" x14ac:dyDescent="0.2">
      <c r="A6601" s="126">
        <v>6540</v>
      </c>
      <c r="B6601" s="1763"/>
      <c r="D6601" s="2" t="str">
        <f t="shared" si="102"/>
        <v>OK</v>
      </c>
      <c r="E6601" s="4" t="s">
        <v>1991</v>
      </c>
    </row>
    <row r="6602" spans="1:5" x14ac:dyDescent="0.2">
      <c r="A6602" s="126">
        <v>6541</v>
      </c>
      <c r="B6602" s="1763"/>
      <c r="D6602" s="2" t="str">
        <f t="shared" si="102"/>
        <v>OK</v>
      </c>
      <c r="E6602" s="4" t="s">
        <v>1991</v>
      </c>
    </row>
    <row r="6603" spans="1:5" x14ac:dyDescent="0.2">
      <c r="A6603" s="126">
        <v>6542</v>
      </c>
      <c r="B6603" s="1763"/>
      <c r="D6603" s="2" t="str">
        <f t="shared" si="102"/>
        <v>OK</v>
      </c>
      <c r="E6603" s="4" t="s">
        <v>1991</v>
      </c>
    </row>
    <row r="6604" spans="1:5" x14ac:dyDescent="0.2">
      <c r="A6604" s="126">
        <v>6543</v>
      </c>
      <c r="B6604" s="1763"/>
      <c r="D6604" s="2" t="str">
        <f t="shared" si="102"/>
        <v>OK</v>
      </c>
      <c r="E6604" s="4" t="s">
        <v>1991</v>
      </c>
    </row>
    <row r="6605" spans="1:5" x14ac:dyDescent="0.2">
      <c r="A6605" s="126">
        <v>6544</v>
      </c>
      <c r="B6605" s="1763"/>
      <c r="D6605" s="2" t="str">
        <f t="shared" si="102"/>
        <v>OK</v>
      </c>
      <c r="E6605" s="4" t="s">
        <v>1991</v>
      </c>
    </row>
    <row r="6606" spans="1:5" x14ac:dyDescent="0.2">
      <c r="A6606" s="126">
        <v>6545</v>
      </c>
      <c r="B6606" s="1763"/>
      <c r="D6606" s="2" t="str">
        <f t="shared" si="102"/>
        <v>OK</v>
      </c>
      <c r="E6606" s="4" t="s">
        <v>1991</v>
      </c>
    </row>
    <row r="6607" spans="1:5" x14ac:dyDescent="0.2">
      <c r="A6607" s="126">
        <v>6546</v>
      </c>
      <c r="B6607" s="1763"/>
      <c r="D6607" s="2" t="str">
        <f t="shared" si="102"/>
        <v>OK</v>
      </c>
      <c r="E6607" s="4" t="s">
        <v>1991</v>
      </c>
    </row>
    <row r="6608" spans="1:5" x14ac:dyDescent="0.2">
      <c r="A6608" s="126">
        <v>6547</v>
      </c>
      <c r="B6608" s="1763"/>
      <c r="D6608" s="2" t="str">
        <f t="shared" si="102"/>
        <v>OK</v>
      </c>
      <c r="E6608" s="4" t="s">
        <v>1991</v>
      </c>
    </row>
    <row r="6609" spans="1:5" x14ac:dyDescent="0.2">
      <c r="A6609" s="126">
        <v>6548</v>
      </c>
      <c r="B6609" s="1763"/>
      <c r="D6609" s="2" t="str">
        <f t="shared" si="102"/>
        <v>OK</v>
      </c>
      <c r="E6609" s="4" t="s">
        <v>1991</v>
      </c>
    </row>
    <row r="6610" spans="1:5" x14ac:dyDescent="0.2">
      <c r="A6610" s="126">
        <v>6549</v>
      </c>
      <c r="B6610" s="1763"/>
      <c r="D6610" s="2" t="str">
        <f t="shared" si="102"/>
        <v>OK</v>
      </c>
      <c r="E6610" s="4" t="s">
        <v>1991</v>
      </c>
    </row>
    <row r="6611" spans="1:5" x14ac:dyDescent="0.2">
      <c r="A6611" s="126">
        <v>6550</v>
      </c>
      <c r="B6611" s="1763"/>
      <c r="D6611" s="2" t="str">
        <f t="shared" si="102"/>
        <v>OK</v>
      </c>
      <c r="E6611" s="4" t="s">
        <v>1991</v>
      </c>
    </row>
    <row r="6612" spans="1:5" x14ac:dyDescent="0.2">
      <c r="A6612" s="126">
        <v>6551</v>
      </c>
      <c r="B6612" s="1763"/>
      <c r="D6612" s="2" t="str">
        <f t="shared" si="102"/>
        <v>OK</v>
      </c>
      <c r="E6612" s="4" t="s">
        <v>1991</v>
      </c>
    </row>
    <row r="6613" spans="1:5" x14ac:dyDescent="0.2">
      <c r="A6613" s="126">
        <v>6552</v>
      </c>
      <c r="B6613" s="1763"/>
      <c r="D6613" s="2" t="str">
        <f t="shared" si="102"/>
        <v>OK</v>
      </c>
      <c r="E6613" s="4" t="s">
        <v>1991</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0</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1895</v>
      </c>
    </row>
    <row r="6842" spans="1:5" x14ac:dyDescent="0.2">
      <c r="A6842" s="126">
        <v>6781</v>
      </c>
      <c r="B6842" s="1763"/>
      <c r="D6842" s="2" t="str">
        <f t="shared" si="105"/>
        <v>OK</v>
      </c>
      <c r="E6842" s="1" t="s">
        <v>1895</v>
      </c>
    </row>
    <row r="6843" spans="1:5" x14ac:dyDescent="0.2">
      <c r="A6843" s="126">
        <v>6782</v>
      </c>
      <c r="B6843" s="1763"/>
      <c r="D6843" s="2" t="str">
        <f t="shared" si="105"/>
        <v>OK</v>
      </c>
      <c r="E6843" s="1" t="s">
        <v>1895</v>
      </c>
    </row>
    <row r="6844" spans="1:5" x14ac:dyDescent="0.2">
      <c r="A6844">
        <v>6783</v>
      </c>
      <c r="B6844" s="1763">
        <f>'Expenditures 15-22'!I5</f>
        <v>0</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0</v>
      </c>
      <c r="D6848" s="2" t="str">
        <f t="shared" si="106"/>
        <v>Error?</v>
      </c>
    </row>
    <row r="6849" spans="1:4" x14ac:dyDescent="0.2">
      <c r="A6849">
        <v>6788</v>
      </c>
      <c r="B6849" s="1763">
        <f>'Expenditures 15-22'!I8</f>
        <v>0</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100669</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78028</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236483</v>
      </c>
      <c r="D6880" s="2" t="str">
        <f t="shared" si="106"/>
        <v>Error?</v>
      </c>
    </row>
    <row r="6881" spans="1:4" x14ac:dyDescent="0.2">
      <c r="A6881">
        <v>6820</v>
      </c>
      <c r="B6881" s="1763">
        <f>'Expenditures 15-22'!K22</f>
        <v>236483</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0</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0</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0</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0</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0</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0</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0</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0</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0</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0</v>
      </c>
      <c r="D6983" s="2" t="str">
        <f t="shared" si="108"/>
        <v>Error?</v>
      </c>
    </row>
    <row r="6984" spans="1:4" x14ac:dyDescent="0.2">
      <c r="A6984">
        <v>6923</v>
      </c>
      <c r="B6984" s="1763">
        <f>'Expenditures 15-22'!K86</f>
        <v>0</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0</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0</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0</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0</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0</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0</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0</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0</v>
      </c>
      <c r="D7073" s="2" t="str">
        <f t="shared" si="109"/>
        <v>Error?</v>
      </c>
    </row>
    <row r="7074" spans="1:4" x14ac:dyDescent="0.2">
      <c r="A7074">
        <v>7013</v>
      </c>
      <c r="B7074" s="1763">
        <f>'Expenditures 15-22'!K216</f>
        <v>0</v>
      </c>
      <c r="D7074" s="2" t="str">
        <f t="shared" si="109"/>
        <v>Error?</v>
      </c>
    </row>
    <row r="7075" spans="1:4" x14ac:dyDescent="0.2">
      <c r="A7075">
        <v>7014</v>
      </c>
      <c r="B7075" s="1763">
        <f>'Expenditures 15-22'!D218</f>
        <v>4856</v>
      </c>
      <c r="D7075" s="2" t="str">
        <f t="shared" si="109"/>
        <v>Error?</v>
      </c>
    </row>
    <row r="7076" spans="1:4" x14ac:dyDescent="0.2">
      <c r="A7076">
        <v>7015</v>
      </c>
      <c r="B7076" s="1763">
        <f>'Expenditures 15-22'!K218</f>
        <v>4856</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0</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0</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0</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0</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0</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0</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0</v>
      </c>
      <c r="D7224" s="2" t="str">
        <f t="shared" si="111"/>
        <v>Error?</v>
      </c>
    </row>
    <row r="7225" spans="1:4" x14ac:dyDescent="0.2">
      <c r="A7225">
        <v>7164</v>
      </c>
      <c r="B7225" s="1763">
        <f>'Expenditures 15-22'!K343</f>
        <v>0</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0</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91018</v>
      </c>
      <c r="D7251" s="2" t="str">
        <f t="shared" si="112"/>
        <v>Error?</v>
      </c>
    </row>
    <row r="7252" spans="1:4" x14ac:dyDescent="0.2">
      <c r="A7252">
        <f t="shared" si="113"/>
        <v>7191</v>
      </c>
      <c r="B7252" s="1763">
        <f>'Expenditures 15-22'!D9</f>
        <v>7756</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1895</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68065</v>
      </c>
      <c r="D7257" s="2" t="str">
        <f t="shared" si="112"/>
        <v>Error?</v>
      </c>
    </row>
    <row r="7258" spans="1:4" x14ac:dyDescent="0.2">
      <c r="A7258">
        <f t="shared" si="113"/>
        <v>7197</v>
      </c>
      <c r="B7258" s="1763">
        <f>'Expenditures 15-22'!D11</f>
        <v>9454</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509</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0</v>
      </c>
      <c r="D7624" s="2" t="str">
        <f t="shared" si="124"/>
        <v>Error?</v>
      </c>
      <c r="E7624" s="2" t="s">
        <v>19</v>
      </c>
    </row>
    <row r="7625" spans="1:5" x14ac:dyDescent="0.2">
      <c r="A7625">
        <f t="shared" si="123"/>
        <v>7564</v>
      </c>
      <c r="B7625" s="1763">
        <f>'Cap Outlay Deprec 26'!I17</f>
        <v>0</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748461</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1992</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1992</v>
      </c>
    </row>
    <row r="7641" spans="1:6" x14ac:dyDescent="0.2">
      <c r="A7641" s="126">
        <f t="shared" si="125"/>
        <v>7580</v>
      </c>
      <c r="B7641" s="1764"/>
      <c r="D7641" s="2" t="str">
        <f t="shared" si="124"/>
        <v>OK</v>
      </c>
      <c r="E7641" s="4" t="s">
        <v>1992</v>
      </c>
    </row>
    <row r="7642" spans="1:6" x14ac:dyDescent="0.2">
      <c r="A7642" s="126">
        <f t="shared" si="125"/>
        <v>7581</v>
      </c>
      <c r="B7642" s="1764"/>
      <c r="D7642" s="2" t="str">
        <f t="shared" si="124"/>
        <v>OK</v>
      </c>
      <c r="E7642" s="4" t="s">
        <v>1992</v>
      </c>
    </row>
    <row r="7643" spans="1:6" x14ac:dyDescent="0.2">
      <c r="A7643" s="126">
        <f t="shared" si="125"/>
        <v>7582</v>
      </c>
      <c r="B7643" s="1764"/>
      <c r="D7643" s="2" t="str">
        <f t="shared" si="124"/>
        <v>OK</v>
      </c>
      <c r="E7643" s="4" t="s">
        <v>1992</v>
      </c>
    </row>
    <row r="7644" spans="1:6" x14ac:dyDescent="0.2">
      <c r="A7644" s="126">
        <f t="shared" si="125"/>
        <v>7583</v>
      </c>
      <c r="B7644" s="1764"/>
      <c r="D7644" s="2" t="str">
        <f t="shared" si="124"/>
        <v>OK</v>
      </c>
      <c r="E7644" s="4" t="s">
        <v>1992</v>
      </c>
    </row>
    <row r="7645" spans="1:6" x14ac:dyDescent="0.2">
      <c r="A7645" s="126">
        <f t="shared" si="125"/>
        <v>7584</v>
      </c>
      <c r="B7645" s="1764"/>
      <c r="D7645" s="2" t="str">
        <f t="shared" si="124"/>
        <v>OK</v>
      </c>
      <c r="E7645" s="4" t="s">
        <v>1992</v>
      </c>
    </row>
    <row r="7646" spans="1:6" x14ac:dyDescent="0.2">
      <c r="A7646" s="126">
        <f t="shared" si="125"/>
        <v>7585</v>
      </c>
      <c r="B7646" s="1764"/>
      <c r="D7646" s="2" t="str">
        <f t="shared" si="124"/>
        <v>OK</v>
      </c>
      <c r="E7646" s="4" t="s">
        <v>1992</v>
      </c>
    </row>
    <row r="7647" spans="1:6" x14ac:dyDescent="0.2">
      <c r="A7647" s="126">
        <f t="shared" si="125"/>
        <v>7586</v>
      </c>
      <c r="B7647" s="1764"/>
      <c r="D7647" s="2" t="str">
        <f t="shared" si="124"/>
        <v>OK</v>
      </c>
      <c r="E7647" s="4" t="s">
        <v>1992</v>
      </c>
    </row>
    <row r="7648" spans="1:6" x14ac:dyDescent="0.2">
      <c r="A7648" s="126">
        <f t="shared" si="125"/>
        <v>7587</v>
      </c>
      <c r="B7648" s="1764"/>
      <c r="D7648" s="2" t="str">
        <f t="shared" si="124"/>
        <v>OK</v>
      </c>
      <c r="E7648" s="4" t="s">
        <v>1992</v>
      </c>
    </row>
    <row r="7649" spans="1:5" x14ac:dyDescent="0.2">
      <c r="A7649" s="126">
        <f t="shared" si="125"/>
        <v>7588</v>
      </c>
      <c r="B7649" s="1764"/>
      <c r="D7649" s="2" t="str">
        <f t="shared" si="124"/>
        <v>OK</v>
      </c>
      <c r="E7649" s="4" t="s">
        <v>1992</v>
      </c>
    </row>
    <row r="7650" spans="1:5" x14ac:dyDescent="0.2">
      <c r="A7650" s="126">
        <f t="shared" si="125"/>
        <v>7589</v>
      </c>
      <c r="B7650" s="1764"/>
      <c r="D7650" s="2" t="str">
        <f t="shared" si="124"/>
        <v>OK</v>
      </c>
      <c r="E7650" s="4" t="s">
        <v>1992</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0</v>
      </c>
      <c r="D7685" s="2" t="str">
        <f t="shared" si="126"/>
        <v>Error?</v>
      </c>
      <c r="E7685" s="2" t="s">
        <v>822</v>
      </c>
    </row>
    <row r="7686" spans="1:5" x14ac:dyDescent="0.2">
      <c r="A7686">
        <v>7625</v>
      </c>
      <c r="B7686" s="1763">
        <f>'Acct Summary 7-8'!D73</f>
        <v>0</v>
      </c>
      <c r="D7686" s="2" t="str">
        <f t="shared" si="126"/>
        <v>Error?</v>
      </c>
      <c r="E7686" s="2" t="s">
        <v>822</v>
      </c>
    </row>
    <row r="7687" spans="1:5" x14ac:dyDescent="0.2">
      <c r="A7687">
        <v>7626</v>
      </c>
      <c r="B7687" s="1763">
        <f>'Revenues 9-14'!C196</f>
        <v>0</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0</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0</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0</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0</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0</v>
      </c>
      <c r="D7719" s="2" t="str">
        <f t="shared" si="126"/>
        <v>Error?</v>
      </c>
      <c r="E7719" s="2" t="s">
        <v>822</v>
      </c>
    </row>
    <row r="7720" spans="1:6" x14ac:dyDescent="0.2">
      <c r="A7720">
        <v>7659</v>
      </c>
      <c r="B7720" s="1763">
        <f>'Rest Tax Levies-Tort Im 25'!H14</f>
        <v>103861</v>
      </c>
      <c r="D7720" s="2" t="str">
        <f t="shared" si="126"/>
        <v>Error?</v>
      </c>
      <c r="E7720" s="2" t="s">
        <v>822</v>
      </c>
    </row>
    <row r="7721" spans="1:6" x14ac:dyDescent="0.2">
      <c r="A7721">
        <v>7660</v>
      </c>
      <c r="B7721" s="1763">
        <f>'Rest Tax Levies-Tort Im 25'!K14</f>
        <v>0</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0</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34936</v>
      </c>
      <c r="D7758" s="2" t="str">
        <f t="shared" si="127"/>
        <v>Error?</v>
      </c>
      <c r="E7758" s="4" t="s">
        <v>1322</v>
      </c>
    </row>
    <row r="7759" spans="1:6" x14ac:dyDescent="0.2">
      <c r="A7759">
        <v>7698</v>
      </c>
      <c r="B7759" s="1763">
        <f>'Aud Quest 2'!J88</f>
        <v>495581</v>
      </c>
      <c r="D7759" s="2" t="str">
        <f t="shared" si="127"/>
        <v>Error?</v>
      </c>
      <c r="E7759" s="4" t="s">
        <v>1322</v>
      </c>
    </row>
    <row r="7760" spans="1:6" x14ac:dyDescent="0.2">
      <c r="A7760">
        <v>7699</v>
      </c>
      <c r="B7760" s="1763">
        <f>'Aud Quest 2'!J90</f>
        <v>530517</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1994</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1823</v>
      </c>
    </row>
    <row r="7775" spans="1:5" x14ac:dyDescent="0.2">
      <c r="A7775">
        <v>7714</v>
      </c>
      <c r="B7775" s="1763">
        <f>'Expenditures 15-22'!H133</f>
        <v>0</v>
      </c>
      <c r="D7775" s="2" t="str">
        <f t="shared" si="127"/>
        <v>Error?</v>
      </c>
      <c r="E7775" s="4" t="s">
        <v>1823</v>
      </c>
    </row>
    <row r="7776" spans="1:5" x14ac:dyDescent="0.2">
      <c r="A7776">
        <v>7715</v>
      </c>
      <c r="B7776" s="1763">
        <f>'Expenditures 15-22'!K133</f>
        <v>0</v>
      </c>
      <c r="D7776" s="2" t="str">
        <f t="shared" si="127"/>
        <v>Error?</v>
      </c>
      <c r="E7776" s="4" t="s">
        <v>1823</v>
      </c>
    </row>
    <row r="7777" spans="1:5" x14ac:dyDescent="0.2">
      <c r="A7777">
        <v>7716</v>
      </c>
      <c r="B7777" s="1763">
        <f>'Expenditures 15-22'!H157</f>
        <v>0</v>
      </c>
      <c r="D7777" s="2" t="str">
        <f t="shared" si="127"/>
        <v>Error?</v>
      </c>
      <c r="E7777" s="4" t="s">
        <v>1823</v>
      </c>
    </row>
    <row r="7778" spans="1:5" x14ac:dyDescent="0.2">
      <c r="A7778">
        <v>7717</v>
      </c>
      <c r="B7778" s="1763">
        <f>'Expenditures 15-22'!K157</f>
        <v>0</v>
      </c>
      <c r="D7778" s="2" t="str">
        <f t="shared" si="127"/>
        <v>Error?</v>
      </c>
      <c r="E7778" s="4" t="s">
        <v>1823</v>
      </c>
    </row>
    <row r="7779" spans="1:5" x14ac:dyDescent="0.2">
      <c r="A7779">
        <v>7718</v>
      </c>
      <c r="B7779" s="1763">
        <f>'Expenditures 15-22'!H158</f>
        <v>0</v>
      </c>
      <c r="D7779" s="2" t="str">
        <f t="shared" si="127"/>
        <v>Error?</v>
      </c>
      <c r="E7779" s="4" t="s">
        <v>1823</v>
      </c>
    </row>
    <row r="7780" spans="1:5" x14ac:dyDescent="0.2">
      <c r="A7780">
        <v>7719</v>
      </c>
      <c r="B7780" s="1763">
        <f>'Expenditures 15-22'!K158</f>
        <v>0</v>
      </c>
      <c r="D7780" s="2" t="str">
        <f t="shared" si="127"/>
        <v>Error?</v>
      </c>
      <c r="E7780" s="4" t="s">
        <v>1823</v>
      </c>
    </row>
    <row r="7781" spans="1:5" x14ac:dyDescent="0.2">
      <c r="A7781">
        <v>7720</v>
      </c>
      <c r="B7781" s="1763">
        <f>'Expenditures 15-22'!H159</f>
        <v>0</v>
      </c>
      <c r="D7781" s="2" t="str">
        <f t="shared" si="127"/>
        <v>Error?</v>
      </c>
      <c r="E7781" s="4" t="s">
        <v>1823</v>
      </c>
    </row>
    <row r="7782" spans="1:5" x14ac:dyDescent="0.2">
      <c r="A7782">
        <v>7721</v>
      </c>
      <c r="B7782" s="1763">
        <f>'Expenditures 15-22'!K159</f>
        <v>0</v>
      </c>
      <c r="D7782" s="2" t="str">
        <f t="shared" si="127"/>
        <v>Error?</v>
      </c>
      <c r="E7782" s="4" t="s">
        <v>1823</v>
      </c>
    </row>
    <row r="7783" spans="1:5" x14ac:dyDescent="0.2">
      <c r="A7783">
        <v>7722</v>
      </c>
      <c r="B7783" s="1763">
        <f>'Expenditures 15-22'!D282</f>
        <v>0</v>
      </c>
      <c r="D7783" s="2" t="str">
        <f t="shared" si="127"/>
        <v>Error?</v>
      </c>
      <c r="E7783" s="4" t="s">
        <v>1823</v>
      </c>
    </row>
    <row r="7784" spans="1:5" x14ac:dyDescent="0.2">
      <c r="A7784">
        <v>7723</v>
      </c>
      <c r="B7784" s="1763">
        <f>'Expenditures 15-22'!K282</f>
        <v>0</v>
      </c>
      <c r="D7784" s="2" t="str">
        <f t="shared" si="127"/>
        <v>Error?</v>
      </c>
      <c r="E7784" s="4" t="s">
        <v>1823</v>
      </c>
    </row>
    <row r="7785" spans="1:5" x14ac:dyDescent="0.2">
      <c r="A7785">
        <v>7724</v>
      </c>
      <c r="B7785" s="1763">
        <f>'Expenditures 15-22'!H332</f>
        <v>0</v>
      </c>
      <c r="D7785" s="2" t="str">
        <f t="shared" si="127"/>
        <v>Error?</v>
      </c>
      <c r="E7785" s="4" t="s">
        <v>1823</v>
      </c>
    </row>
    <row r="7786" spans="1:5" x14ac:dyDescent="0.2">
      <c r="A7786">
        <v>7725</v>
      </c>
      <c r="B7786" s="1763">
        <f>'Expenditures 15-22'!K332</f>
        <v>0</v>
      </c>
      <c r="D7786" s="2" t="str">
        <f t="shared" si="127"/>
        <v>Error?</v>
      </c>
      <c r="E7786" s="4" t="s">
        <v>1823</v>
      </c>
    </row>
    <row r="7787" spans="1:5" x14ac:dyDescent="0.2">
      <c r="A7787">
        <v>7726</v>
      </c>
      <c r="B7787" s="1763">
        <f>'Expenditures 15-22'!H333</f>
        <v>0</v>
      </c>
      <c r="D7787" s="2" t="str">
        <f t="shared" si="127"/>
        <v>Error?</v>
      </c>
      <c r="E7787" s="4" t="s">
        <v>1823</v>
      </c>
    </row>
    <row r="7788" spans="1:5" x14ac:dyDescent="0.2">
      <c r="A7788">
        <v>7727</v>
      </c>
      <c r="B7788" s="1763">
        <f>'Expenditures 15-22'!K333</f>
        <v>0</v>
      </c>
      <c r="D7788" s="2" t="str">
        <f t="shared" si="127"/>
        <v>Error?</v>
      </c>
      <c r="E7788" s="4" t="s">
        <v>1823</v>
      </c>
    </row>
    <row r="7789" spans="1:5" x14ac:dyDescent="0.2">
      <c r="A7789">
        <v>7728</v>
      </c>
      <c r="B7789" s="1763">
        <f>'Expenditures 15-22'!H334</f>
        <v>0</v>
      </c>
      <c r="D7789" s="2" t="str">
        <f t="shared" si="127"/>
        <v>Error?</v>
      </c>
      <c r="E7789" s="4" t="s">
        <v>1823</v>
      </c>
    </row>
    <row r="7790" spans="1:5" x14ac:dyDescent="0.2">
      <c r="A7790">
        <v>7729</v>
      </c>
      <c r="B7790" s="1763">
        <f>'Expenditures 15-22'!K334</f>
        <v>0</v>
      </c>
      <c r="D7790" s="2" t="str">
        <f t="shared" si="127"/>
        <v>Error?</v>
      </c>
      <c r="E7790" s="4" t="s">
        <v>1823</v>
      </c>
    </row>
    <row r="7791" spans="1:5" x14ac:dyDescent="0.2">
      <c r="A7791">
        <v>7730</v>
      </c>
      <c r="B7791" s="1763">
        <f>'Expenditures 15-22'!H354</f>
        <v>0</v>
      </c>
      <c r="D7791" s="2" t="str">
        <f t="shared" si="127"/>
        <v>Error?</v>
      </c>
      <c r="E7791" s="4" t="s">
        <v>1823</v>
      </c>
    </row>
    <row r="7792" spans="1:5" x14ac:dyDescent="0.2">
      <c r="A7792">
        <v>7731</v>
      </c>
      <c r="B7792" s="1763">
        <f>'Expenditures 15-22'!K354</f>
        <v>0</v>
      </c>
      <c r="D7792" s="2" t="str">
        <f t="shared" si="127"/>
        <v>Error?</v>
      </c>
      <c r="E7792" s="4" t="s">
        <v>1823</v>
      </c>
    </row>
    <row r="7793" spans="1:5" x14ac:dyDescent="0.2">
      <c r="A7793">
        <v>7732</v>
      </c>
      <c r="B7793" s="1763">
        <f>'Expenditures 15-22'!H355</f>
        <v>0</v>
      </c>
      <c r="D7793" s="2" t="str">
        <f t="shared" si="127"/>
        <v>Error?</v>
      </c>
      <c r="E7793" s="4" t="s">
        <v>1823</v>
      </c>
    </row>
    <row r="7794" spans="1:5" x14ac:dyDescent="0.2">
      <c r="A7794">
        <v>7733</v>
      </c>
      <c r="B7794" s="1763">
        <f>'Expenditures 15-22'!K355</f>
        <v>0</v>
      </c>
      <c r="D7794" s="2" t="str">
        <f t="shared" si="127"/>
        <v>Error?</v>
      </c>
      <c r="E7794" s="4" t="s">
        <v>1823</v>
      </c>
    </row>
    <row r="7795" spans="1:5" x14ac:dyDescent="0.2">
      <c r="A7795">
        <v>7734</v>
      </c>
      <c r="B7795" s="1763">
        <f>'Expenditures 15-22'!E138</f>
        <v>0</v>
      </c>
      <c r="D7795" s="2" t="str">
        <f t="shared" si="127"/>
        <v>Error?</v>
      </c>
      <c r="E7795" s="4" t="s">
        <v>1823</v>
      </c>
    </row>
    <row r="7796" spans="1:5" x14ac:dyDescent="0.2">
      <c r="A7796">
        <v>7735</v>
      </c>
      <c r="B7796" s="1763">
        <f>'Acct Summary 7-8'!J15</f>
        <v>0</v>
      </c>
      <c r="D7796" s="2" t="str">
        <f t="shared" si="127"/>
        <v>Error?</v>
      </c>
      <c r="E7796" s="4" t="s">
        <v>1823</v>
      </c>
    </row>
    <row r="7797" spans="1:5" x14ac:dyDescent="0.2">
      <c r="A7797" s="126">
        <v>7736</v>
      </c>
      <c r="B7797" s="1763"/>
      <c r="D7797" s="2" t="str">
        <f t="shared" si="127"/>
        <v>OK</v>
      </c>
      <c r="E7797" s="4" t="s">
        <v>1976</v>
      </c>
    </row>
    <row r="7798" spans="1:5" x14ac:dyDescent="0.2">
      <c r="A7798" s="126">
        <v>7737</v>
      </c>
      <c r="B7798" s="1763"/>
      <c r="D7798" s="2" t="str">
        <f t="shared" si="127"/>
        <v>OK</v>
      </c>
      <c r="E7798" s="4" t="s">
        <v>1976</v>
      </c>
    </row>
    <row r="7799" spans="1:5" x14ac:dyDescent="0.2">
      <c r="A7799" s="126">
        <v>7738</v>
      </c>
      <c r="B7799" s="1763"/>
      <c r="D7799" s="2" t="str">
        <f t="shared" si="127"/>
        <v>OK</v>
      </c>
      <c r="E7799" s="4" t="s">
        <v>1976</v>
      </c>
    </row>
    <row r="7800" spans="1:5" x14ac:dyDescent="0.2">
      <c r="A7800">
        <v>7739</v>
      </c>
      <c r="B7800" s="1763">
        <f>'Rest Tax Levies-Tort Im 25'!K23</f>
        <v>0</v>
      </c>
      <c r="D7800" s="2" t="str">
        <f t="shared" si="127"/>
        <v>Error?</v>
      </c>
      <c r="E7800" s="4" t="s">
        <v>1963</v>
      </c>
    </row>
    <row r="7801" spans="1:5" x14ac:dyDescent="0.2">
      <c r="A7801">
        <v>7740</v>
      </c>
      <c r="B7801" s="1763">
        <f>'Revenues 9-14'!C120</f>
        <v>0</v>
      </c>
      <c r="D7801" s="2" t="str">
        <f t="shared" si="127"/>
        <v>Error?</v>
      </c>
      <c r="E7801" s="4" t="s">
        <v>1897</v>
      </c>
    </row>
    <row r="7802" spans="1:5" x14ac:dyDescent="0.2">
      <c r="A7802">
        <v>7741</v>
      </c>
      <c r="B7802" s="1763">
        <f>'Revenues 9-14'!D120</f>
        <v>0</v>
      </c>
      <c r="D7802" s="2" t="str">
        <f t="shared" si="127"/>
        <v>Error?</v>
      </c>
      <c r="E7802" s="4" t="s">
        <v>1897</v>
      </c>
    </row>
    <row r="7803" spans="1:5" x14ac:dyDescent="0.2">
      <c r="A7803">
        <v>7742</v>
      </c>
      <c r="B7803" s="1763">
        <f>'Revenues 9-14'!E120</f>
        <v>0</v>
      </c>
      <c r="D7803" s="2" t="str">
        <f t="shared" si="127"/>
        <v>Error?</v>
      </c>
      <c r="E7803" s="4" t="s">
        <v>1897</v>
      </c>
    </row>
    <row r="7804" spans="1:5" x14ac:dyDescent="0.2">
      <c r="A7804">
        <v>7743</v>
      </c>
      <c r="B7804" s="1763">
        <f>'Revenues 9-14'!F120</f>
        <v>0</v>
      </c>
      <c r="D7804" s="2" t="str">
        <f t="shared" si="127"/>
        <v>Error?</v>
      </c>
      <c r="E7804" s="4" t="s">
        <v>1897</v>
      </c>
    </row>
    <row r="7805" spans="1:5" x14ac:dyDescent="0.2">
      <c r="A7805">
        <v>7744</v>
      </c>
      <c r="B7805" s="1763">
        <f>'Revenues 9-14'!G120</f>
        <v>0</v>
      </c>
      <c r="D7805" s="2" t="str">
        <f t="shared" si="127"/>
        <v>Error?</v>
      </c>
      <c r="E7805" s="4" t="s">
        <v>1897</v>
      </c>
    </row>
    <row r="7806" spans="1:5" x14ac:dyDescent="0.2">
      <c r="A7806">
        <v>7745</v>
      </c>
      <c r="B7806" s="1763">
        <f>'Revenues 9-14'!H120</f>
        <v>0</v>
      </c>
      <c r="D7806" s="2" t="str">
        <f t="shared" si="127"/>
        <v>Error?</v>
      </c>
      <c r="E7806" s="4" t="s">
        <v>1897</v>
      </c>
    </row>
    <row r="7807" spans="1:5" x14ac:dyDescent="0.2">
      <c r="A7807">
        <v>7746</v>
      </c>
      <c r="B7807" s="1763">
        <f>'Revenues 9-14'!J120</f>
        <v>0</v>
      </c>
      <c r="D7807" s="2" t="str">
        <f t="shared" ref="D7807:D7821" si="128">IF(ISBLANK(B7807),"OK",IF(A7807-B7807=0,"OK","Error?"))</f>
        <v>Error?</v>
      </c>
      <c r="E7807" s="4" t="s">
        <v>1897</v>
      </c>
    </row>
    <row r="7808" spans="1:5" x14ac:dyDescent="0.2">
      <c r="A7808">
        <v>7747</v>
      </c>
      <c r="B7808" s="1763">
        <f>'Revenues 9-14'!K120</f>
        <v>0</v>
      </c>
      <c r="D7808" s="2" t="str">
        <f t="shared" si="128"/>
        <v>Error?</v>
      </c>
      <c r="E7808" s="4" t="s">
        <v>1897</v>
      </c>
    </row>
    <row r="7809" spans="1:5" x14ac:dyDescent="0.2">
      <c r="A7809">
        <v>7748</v>
      </c>
      <c r="B7809" s="1763">
        <f>'Revenues 9-14'!C261</f>
        <v>0</v>
      </c>
      <c r="D7809" s="2" t="str">
        <f t="shared" si="128"/>
        <v>Error?</v>
      </c>
      <c r="E7809" s="4" t="s">
        <v>1898</v>
      </c>
    </row>
    <row r="7810" spans="1:5" x14ac:dyDescent="0.2">
      <c r="A7810">
        <v>7749</v>
      </c>
      <c r="B7810" s="1763">
        <f>'Revenues 9-14'!D261</f>
        <v>0</v>
      </c>
      <c r="D7810" s="2" t="str">
        <f t="shared" si="128"/>
        <v>Error?</v>
      </c>
      <c r="E7810" s="4" t="s">
        <v>1898</v>
      </c>
    </row>
    <row r="7811" spans="1:5" x14ac:dyDescent="0.2">
      <c r="A7811">
        <v>7750</v>
      </c>
      <c r="B7811" s="1763">
        <f>'Revenues 9-14'!F261</f>
        <v>0</v>
      </c>
      <c r="D7811" s="2" t="str">
        <f t="shared" si="128"/>
        <v>Error?</v>
      </c>
      <c r="E7811" s="4" t="s">
        <v>1898</v>
      </c>
    </row>
    <row r="7812" spans="1:5" x14ac:dyDescent="0.2">
      <c r="A7812">
        <v>7751</v>
      </c>
      <c r="B7812" s="1763">
        <f>'Revenues 9-14'!G261</f>
        <v>0</v>
      </c>
      <c r="D7812" s="2" t="str">
        <f t="shared" si="128"/>
        <v>Error?</v>
      </c>
      <c r="E7812" s="4" t="s">
        <v>1898</v>
      </c>
    </row>
    <row r="7813" spans="1:5" x14ac:dyDescent="0.2">
      <c r="A7813">
        <v>7752</v>
      </c>
      <c r="B7813" s="1763">
        <f>'Revenues 9-14'!C262</f>
        <v>0</v>
      </c>
      <c r="D7813" s="2" t="str">
        <f t="shared" si="128"/>
        <v>Error?</v>
      </c>
      <c r="E7813" s="4" t="s">
        <v>1899</v>
      </c>
    </row>
    <row r="7814" spans="1:5" x14ac:dyDescent="0.2">
      <c r="A7814">
        <v>7753</v>
      </c>
      <c r="B7814" s="1763">
        <f>'Revenues 9-14'!D262</f>
        <v>0</v>
      </c>
      <c r="D7814" s="2" t="str">
        <f t="shared" si="128"/>
        <v>Error?</v>
      </c>
      <c r="E7814" s="4" t="s">
        <v>1899</v>
      </c>
    </row>
    <row r="7815" spans="1:5" x14ac:dyDescent="0.2">
      <c r="A7815">
        <v>7754</v>
      </c>
      <c r="B7815" s="1763">
        <f>'Revenues 9-14'!F262</f>
        <v>0</v>
      </c>
      <c r="D7815" s="2" t="str">
        <f t="shared" si="128"/>
        <v>Error?</v>
      </c>
      <c r="E7815" s="4" t="s">
        <v>1899</v>
      </c>
    </row>
    <row r="7816" spans="1:5" x14ac:dyDescent="0.2">
      <c r="A7816">
        <v>7755</v>
      </c>
      <c r="B7816" s="1763">
        <f>'Revenues 9-14'!G262</f>
        <v>0</v>
      </c>
      <c r="D7816" s="2" t="str">
        <f t="shared" si="128"/>
        <v>Error?</v>
      </c>
      <c r="E7816" s="4" t="s">
        <v>1899</v>
      </c>
    </row>
    <row r="7817" spans="1:5" x14ac:dyDescent="0.2">
      <c r="A7817">
        <v>7756</v>
      </c>
      <c r="B7817" s="1763">
        <f>'Short-Term Long-Term Debt 24'!C49</f>
        <v>5525000</v>
      </c>
      <c r="D7817" s="2" t="str">
        <f t="shared" si="128"/>
        <v>Error?</v>
      </c>
      <c r="E7817" s="4" t="s">
        <v>1963</v>
      </c>
    </row>
    <row r="7818" spans="1:5" x14ac:dyDescent="0.2">
      <c r="A7818">
        <v>7757</v>
      </c>
      <c r="B7818" s="1763">
        <f>'PCTC-OEPP 27-28'!F172</f>
        <v>506657.12</v>
      </c>
      <c r="D7818" s="2" t="str">
        <f t="shared" si="128"/>
        <v>Error?</v>
      </c>
      <c r="E7818" s="4" t="s">
        <v>1977</v>
      </c>
    </row>
    <row r="7819" spans="1:5" x14ac:dyDescent="0.2">
      <c r="A7819">
        <v>7758</v>
      </c>
      <c r="B7819" s="1763">
        <f>'PCTC-OEPP 27-28'!F173</f>
        <v>77559.03</v>
      </c>
      <c r="D7819" s="2" t="str">
        <f t="shared" si="128"/>
        <v>Error?</v>
      </c>
      <c r="E7819" s="4" t="s">
        <v>1977</v>
      </c>
    </row>
    <row r="7820" spans="1:5" x14ac:dyDescent="0.2">
      <c r="A7820">
        <v>7759</v>
      </c>
      <c r="B7820" s="1763">
        <f>'ICR Computation 30'!E40</f>
        <v>-844009.5</v>
      </c>
      <c r="D7820" s="2" t="str">
        <f t="shared" si="128"/>
        <v>Error?</v>
      </c>
    </row>
    <row r="7821" spans="1:5" x14ac:dyDescent="0.2">
      <c r="A7821">
        <v>7760</v>
      </c>
      <c r="B7821" s="1763">
        <f>'ICR Computation 30'!G40</f>
        <v>-844009.5</v>
      </c>
      <c r="D7821" s="2" t="str">
        <f t="shared" si="128"/>
        <v>Error?</v>
      </c>
    </row>
    <row r="7822" spans="1:5" x14ac:dyDescent="0.2">
      <c r="A7822" s="1">
        <v>7761</v>
      </c>
      <c r="B7822" s="1763">
        <f>'PCTC-OEPP 27-28'!F14</f>
        <v>19797077</v>
      </c>
      <c r="D7822" s="4" t="s">
        <v>1994</v>
      </c>
      <c r="E7822" s="4" t="s">
        <v>1995</v>
      </c>
    </row>
    <row r="7823" spans="1:5" x14ac:dyDescent="0.2">
      <c r="A7823" s="1">
        <v>7762</v>
      </c>
      <c r="B7823" s="1763">
        <f>'PCTC-OEPP 27-28'!F30</f>
        <v>0</v>
      </c>
      <c r="D7823" s="4" t="s">
        <v>1994</v>
      </c>
      <c r="E7823" s="4" t="s">
        <v>1995</v>
      </c>
    </row>
    <row r="7824" spans="1:5" x14ac:dyDescent="0.2">
      <c r="A7824" s="1">
        <v>7763</v>
      </c>
      <c r="B7824" s="1763">
        <f>'PCTC-OEPP 27-28'!F31</f>
        <v>0</v>
      </c>
      <c r="D7824" s="4" t="s">
        <v>1994</v>
      </c>
      <c r="E7824" s="4" t="s">
        <v>1995</v>
      </c>
    </row>
    <row r="7825" spans="1:5" x14ac:dyDescent="0.2">
      <c r="A7825" s="1">
        <v>7764</v>
      </c>
      <c r="B7825" s="1763">
        <f>'PCTC-OEPP 27-28'!F32</f>
        <v>0</v>
      </c>
      <c r="D7825" s="2" t="str">
        <f t="shared" ref="D7825:D7887" si="129">IF(ISBLANK(B7825),"OK",IF(A7825-B7825=0,"OK","Error?"))</f>
        <v>Error?</v>
      </c>
      <c r="E7825" s="4" t="s">
        <v>1995</v>
      </c>
    </row>
    <row r="7826" spans="1:5" x14ac:dyDescent="0.2">
      <c r="A7826">
        <v>7765</v>
      </c>
      <c r="B7826" s="1763">
        <f>'PCTC-OEPP 27-28'!F34</f>
        <v>0</v>
      </c>
      <c r="D7826" s="2" t="str">
        <f t="shared" si="129"/>
        <v>Error?</v>
      </c>
      <c r="E7826" s="4" t="s">
        <v>1995</v>
      </c>
    </row>
    <row r="7827" spans="1:5" x14ac:dyDescent="0.2">
      <c r="A7827">
        <v>7766</v>
      </c>
      <c r="B7827" s="1763">
        <f>'PCTC-OEPP 27-28'!F35</f>
        <v>100669</v>
      </c>
      <c r="D7827" s="2" t="str">
        <f t="shared" si="129"/>
        <v>Error?</v>
      </c>
      <c r="E7827" s="4" t="s">
        <v>1995</v>
      </c>
    </row>
    <row r="7828" spans="1:5" x14ac:dyDescent="0.2">
      <c r="A7828">
        <v>7767</v>
      </c>
      <c r="B7828" s="1763">
        <f>'PCTC-OEPP 27-28'!F36</f>
        <v>78028</v>
      </c>
      <c r="D7828" s="2" t="str">
        <f t="shared" si="129"/>
        <v>Error?</v>
      </c>
      <c r="E7828" s="4" t="s">
        <v>1995</v>
      </c>
    </row>
    <row r="7829" spans="1:5" x14ac:dyDescent="0.2">
      <c r="A7829">
        <v>7768</v>
      </c>
      <c r="B7829" s="1763">
        <f>'PCTC-OEPP 27-28'!F37</f>
        <v>0</v>
      </c>
      <c r="D7829" s="2" t="str">
        <f t="shared" si="129"/>
        <v>Error?</v>
      </c>
      <c r="E7829" s="4" t="s">
        <v>1995</v>
      </c>
    </row>
    <row r="7830" spans="1:5" x14ac:dyDescent="0.2">
      <c r="A7830">
        <v>7769</v>
      </c>
      <c r="B7830" s="1763">
        <f>'PCTC-OEPP 27-28'!F38</f>
        <v>139</v>
      </c>
      <c r="D7830" s="2" t="str">
        <f t="shared" si="129"/>
        <v>Error?</v>
      </c>
      <c r="E7830" s="4" t="s">
        <v>1995</v>
      </c>
    </row>
    <row r="7831" spans="1:5" x14ac:dyDescent="0.2">
      <c r="A7831">
        <v>7770</v>
      </c>
      <c r="B7831" s="1763">
        <f>'PCTC-OEPP 27-28'!F52</f>
        <v>0</v>
      </c>
      <c r="D7831" s="2" t="str">
        <f t="shared" si="129"/>
        <v>Error?</v>
      </c>
      <c r="E7831" s="4" t="s">
        <v>1995</v>
      </c>
    </row>
    <row r="7832" spans="1:5" x14ac:dyDescent="0.2">
      <c r="A7832">
        <v>7771</v>
      </c>
      <c r="B7832" s="1763">
        <f>'PCTC-OEPP 27-28'!F56</f>
        <v>0</v>
      </c>
      <c r="D7832" s="2" t="str">
        <f t="shared" si="129"/>
        <v>Error?</v>
      </c>
      <c r="E7832" s="4" t="s">
        <v>1995</v>
      </c>
    </row>
    <row r="7833" spans="1:5" x14ac:dyDescent="0.2">
      <c r="A7833">
        <v>7772</v>
      </c>
      <c r="B7833" s="1763">
        <f>'PCTC-OEPP 27-28'!F62</f>
        <v>0</v>
      </c>
      <c r="D7833" s="2" t="str">
        <f t="shared" si="129"/>
        <v>Error?</v>
      </c>
      <c r="E7833" s="4" t="s">
        <v>1995</v>
      </c>
    </row>
    <row r="7834" spans="1:5" x14ac:dyDescent="0.2">
      <c r="A7834">
        <v>7773</v>
      </c>
      <c r="B7834" s="1763">
        <f>'PCTC-OEPP 27-28'!F77</f>
        <v>3273516</v>
      </c>
      <c r="D7834" s="2" t="str">
        <f t="shared" si="129"/>
        <v>Error?</v>
      </c>
      <c r="E7834" s="4" t="s">
        <v>1995</v>
      </c>
    </row>
    <row r="7835" spans="1:5" x14ac:dyDescent="0.2">
      <c r="A7835">
        <v>7774</v>
      </c>
      <c r="B7835" s="1763">
        <f>'PCTC-OEPP 27-28'!F78</f>
        <v>16523561</v>
      </c>
      <c r="D7835" s="2" t="str">
        <f t="shared" si="129"/>
        <v>Error?</v>
      </c>
      <c r="E7835" s="4" t="s">
        <v>1995</v>
      </c>
    </row>
    <row r="7836" spans="1:5" x14ac:dyDescent="0.2">
      <c r="A7836" s="126">
        <v>7775</v>
      </c>
      <c r="B7836" s="1763"/>
      <c r="D7836" s="2" t="str">
        <f t="shared" si="129"/>
        <v>OK</v>
      </c>
      <c r="E7836" s="4" t="s">
        <v>1997</v>
      </c>
    </row>
    <row r="7837" spans="1:5" x14ac:dyDescent="0.2">
      <c r="A7837">
        <v>7776</v>
      </c>
      <c r="B7837" s="1763">
        <f>'PCTC-OEPP 27-28'!F80</f>
        <v>37828.665293040292</v>
      </c>
      <c r="D7837" s="2" t="str">
        <f t="shared" si="129"/>
        <v>Error?</v>
      </c>
      <c r="E7837" s="4" t="s">
        <v>1995</v>
      </c>
    </row>
    <row r="7838" spans="1:5" x14ac:dyDescent="0.2">
      <c r="A7838">
        <v>7777</v>
      </c>
      <c r="B7838" s="1763">
        <f>'PCTC-OEPP 27-28'!F96</f>
        <v>80381</v>
      </c>
      <c r="D7838" s="2" t="str">
        <f t="shared" si="129"/>
        <v>Error?</v>
      </c>
      <c r="E7838" s="4" t="s">
        <v>1995</v>
      </c>
    </row>
    <row r="7839" spans="1:5" x14ac:dyDescent="0.2">
      <c r="A7839">
        <v>7778</v>
      </c>
      <c r="B7839" s="1763">
        <f>'PCTC-OEPP 27-28'!F102</f>
        <v>72168</v>
      </c>
      <c r="D7839" s="2" t="str">
        <f t="shared" si="129"/>
        <v>Error?</v>
      </c>
      <c r="E7839" s="4" t="s">
        <v>1995</v>
      </c>
    </row>
    <row r="7840" spans="1:5" x14ac:dyDescent="0.2">
      <c r="A7840">
        <v>7779</v>
      </c>
      <c r="B7840" s="1763">
        <f>'PCTC-OEPP 27-28'!F103</f>
        <v>0</v>
      </c>
      <c r="D7840" s="2" t="str">
        <f t="shared" si="129"/>
        <v>Error?</v>
      </c>
      <c r="E7840" s="4" t="s">
        <v>1995</v>
      </c>
    </row>
    <row r="7841" spans="1:5" x14ac:dyDescent="0.2">
      <c r="A7841">
        <v>7780</v>
      </c>
      <c r="B7841" s="1763">
        <f>'PCTC-OEPP 27-28'!F104</f>
        <v>0</v>
      </c>
      <c r="D7841" s="2" t="str">
        <f t="shared" si="129"/>
        <v>Error?</v>
      </c>
      <c r="E7841" s="4" t="s">
        <v>1995</v>
      </c>
    </row>
    <row r="7842" spans="1:5" x14ac:dyDescent="0.2">
      <c r="A7842">
        <v>7781</v>
      </c>
      <c r="B7842" s="1763">
        <f>'PCTC-OEPP 27-28'!F106</f>
        <v>56391</v>
      </c>
      <c r="D7842" s="2" t="str">
        <f t="shared" si="129"/>
        <v>Error?</v>
      </c>
      <c r="E7842" s="4" t="s">
        <v>1995</v>
      </c>
    </row>
    <row r="7843" spans="1:5" x14ac:dyDescent="0.2">
      <c r="A7843">
        <v>7782</v>
      </c>
      <c r="B7843" s="1763">
        <f>'PCTC-OEPP 27-28'!F107</f>
        <v>0</v>
      </c>
      <c r="D7843" s="2" t="str">
        <f t="shared" si="129"/>
        <v>Error?</v>
      </c>
      <c r="E7843" s="4" t="s">
        <v>1995</v>
      </c>
    </row>
    <row r="7844" spans="1:5" x14ac:dyDescent="0.2">
      <c r="A7844">
        <v>7783</v>
      </c>
      <c r="B7844" s="1763">
        <f>'PCTC-OEPP 27-28'!F108</f>
        <v>0</v>
      </c>
      <c r="D7844" s="2" t="str">
        <f t="shared" si="129"/>
        <v>Error?</v>
      </c>
      <c r="E7844" s="4" t="s">
        <v>1995</v>
      </c>
    </row>
    <row r="7845" spans="1:5" x14ac:dyDescent="0.2">
      <c r="A7845">
        <v>7784</v>
      </c>
      <c r="B7845" s="1763">
        <f>'PCTC-OEPP 27-28'!F110</f>
        <v>0</v>
      </c>
      <c r="D7845" s="2" t="str">
        <f t="shared" si="129"/>
        <v>Error?</v>
      </c>
      <c r="E7845" s="4" t="s">
        <v>1995</v>
      </c>
    </row>
    <row r="7846" spans="1:5" x14ac:dyDescent="0.2">
      <c r="A7846">
        <v>7785</v>
      </c>
      <c r="B7846" s="1763">
        <f>'PCTC-OEPP 27-28'!F111</f>
        <v>0</v>
      </c>
      <c r="D7846" s="2" t="str">
        <f t="shared" si="129"/>
        <v>Error?</v>
      </c>
      <c r="E7846" s="4" t="s">
        <v>1995</v>
      </c>
    </row>
    <row r="7847" spans="1:5" x14ac:dyDescent="0.2">
      <c r="A7847">
        <v>7786</v>
      </c>
      <c r="B7847" s="1763">
        <f>'PCTC-OEPP 27-28'!F112</f>
        <v>462163</v>
      </c>
      <c r="D7847" s="2" t="str">
        <f t="shared" si="129"/>
        <v>Error?</v>
      </c>
      <c r="E7847" s="4" t="s">
        <v>1995</v>
      </c>
    </row>
    <row r="7848" spans="1:5" x14ac:dyDescent="0.2">
      <c r="A7848">
        <v>7787</v>
      </c>
      <c r="B7848" s="1763">
        <f>'PCTC-OEPP 27-28'!F114</f>
        <v>0</v>
      </c>
      <c r="D7848" s="2" t="str">
        <f t="shared" si="129"/>
        <v>Error?</v>
      </c>
      <c r="E7848" s="4" t="s">
        <v>1995</v>
      </c>
    </row>
    <row r="7849" spans="1:5" x14ac:dyDescent="0.2">
      <c r="A7849">
        <v>7788</v>
      </c>
      <c r="B7849" s="1763">
        <f>'PCTC-OEPP 27-28'!F115</f>
        <v>0</v>
      </c>
      <c r="D7849" s="2" t="str">
        <f t="shared" si="129"/>
        <v>Error?</v>
      </c>
      <c r="E7849" s="4" t="s">
        <v>1995</v>
      </c>
    </row>
    <row r="7850" spans="1:5" x14ac:dyDescent="0.2">
      <c r="A7850">
        <v>7789</v>
      </c>
      <c r="B7850" s="1763">
        <f>'PCTC-OEPP 27-28'!F116</f>
        <v>0</v>
      </c>
      <c r="D7850" s="2" t="str">
        <f t="shared" si="129"/>
        <v>Error?</v>
      </c>
      <c r="E7850" s="4" t="s">
        <v>1995</v>
      </c>
    </row>
    <row r="7851" spans="1:5" x14ac:dyDescent="0.2">
      <c r="A7851">
        <v>7790</v>
      </c>
      <c r="B7851" s="1763">
        <f>'PCTC-OEPP 27-28'!F117</f>
        <v>0</v>
      </c>
      <c r="D7851" s="2" t="str">
        <f t="shared" si="129"/>
        <v>Error?</v>
      </c>
      <c r="E7851" s="4" t="s">
        <v>1995</v>
      </c>
    </row>
    <row r="7852" spans="1:5" x14ac:dyDescent="0.2">
      <c r="A7852">
        <v>7791</v>
      </c>
      <c r="B7852" s="1763">
        <f>'PCTC-OEPP 27-28'!F118</f>
        <v>0</v>
      </c>
      <c r="D7852" s="2" t="str">
        <f t="shared" si="129"/>
        <v>Error?</v>
      </c>
      <c r="E7852" s="4" t="s">
        <v>1995</v>
      </c>
    </row>
    <row r="7853" spans="1:5" x14ac:dyDescent="0.2">
      <c r="A7853">
        <v>7792</v>
      </c>
      <c r="B7853" s="1763">
        <f>'PCTC-OEPP 27-28'!F119</f>
        <v>0</v>
      </c>
      <c r="D7853" s="2" t="str">
        <f t="shared" si="129"/>
        <v>Error?</v>
      </c>
      <c r="E7853" s="4" t="s">
        <v>1995</v>
      </c>
    </row>
    <row r="7854" spans="1:5" x14ac:dyDescent="0.2">
      <c r="A7854">
        <v>7793</v>
      </c>
      <c r="B7854" s="1763">
        <f>'PCTC-OEPP 27-28'!F120</f>
        <v>0</v>
      </c>
      <c r="D7854" s="2" t="str">
        <f t="shared" si="129"/>
        <v>Error?</v>
      </c>
      <c r="E7854" s="4" t="s">
        <v>1995</v>
      </c>
    </row>
    <row r="7855" spans="1:5" x14ac:dyDescent="0.2">
      <c r="A7855">
        <v>7794</v>
      </c>
      <c r="B7855" s="1763">
        <f>'PCTC-OEPP 27-28'!F122</f>
        <v>250</v>
      </c>
      <c r="D7855" s="2" t="str">
        <f t="shared" si="129"/>
        <v>Error?</v>
      </c>
      <c r="E7855" s="4" t="s">
        <v>1995</v>
      </c>
    </row>
    <row r="7856" spans="1:5" x14ac:dyDescent="0.2">
      <c r="A7856">
        <v>7795</v>
      </c>
      <c r="B7856" s="1763">
        <f>'PCTC-OEPP 27-28'!F124</f>
        <v>0</v>
      </c>
      <c r="D7856" s="2" t="str">
        <f t="shared" si="129"/>
        <v>Error?</v>
      </c>
      <c r="E7856" s="4" t="s">
        <v>1995</v>
      </c>
    </row>
    <row r="7857" spans="1:5" x14ac:dyDescent="0.2">
      <c r="A7857">
        <v>7796</v>
      </c>
      <c r="B7857" s="1763">
        <f>'PCTC-OEPP 27-28'!F125</f>
        <v>0</v>
      </c>
      <c r="D7857" s="2" t="str">
        <f t="shared" si="129"/>
        <v>Error?</v>
      </c>
      <c r="E7857" s="4" t="s">
        <v>1995</v>
      </c>
    </row>
    <row r="7858" spans="1:5" x14ac:dyDescent="0.2">
      <c r="A7858">
        <v>7797</v>
      </c>
      <c r="B7858" s="1763">
        <f>'PCTC-OEPP 27-28'!F126</f>
        <v>185037</v>
      </c>
      <c r="D7858" s="2" t="str">
        <f t="shared" si="129"/>
        <v>Error?</v>
      </c>
      <c r="E7858" s="4" t="s">
        <v>1995</v>
      </c>
    </row>
    <row r="7859" spans="1:5" x14ac:dyDescent="0.2">
      <c r="A7859">
        <v>7798</v>
      </c>
      <c r="B7859" s="1763">
        <f>'PCTC-OEPP 27-28'!F127</f>
        <v>199193</v>
      </c>
      <c r="D7859" s="2" t="str">
        <f t="shared" si="129"/>
        <v>Error?</v>
      </c>
      <c r="E7859" s="4" t="s">
        <v>1995</v>
      </c>
    </row>
    <row r="7860" spans="1:5" x14ac:dyDescent="0.2">
      <c r="A7860">
        <v>7799</v>
      </c>
      <c r="B7860" s="1763">
        <f>'PCTC-OEPP 27-28'!F128</f>
        <v>24334</v>
      </c>
      <c r="D7860" s="2" t="str">
        <f t="shared" si="129"/>
        <v>Error?</v>
      </c>
      <c r="E7860" s="4" t="s">
        <v>1995</v>
      </c>
    </row>
    <row r="7861" spans="1:5" x14ac:dyDescent="0.2">
      <c r="A7861">
        <v>7800</v>
      </c>
      <c r="B7861" s="1763">
        <f>'PCTC-OEPP 27-28'!F129</f>
        <v>935070</v>
      </c>
      <c r="D7861" s="2" t="str">
        <f t="shared" si="129"/>
        <v>Error?</v>
      </c>
      <c r="E7861" s="4" t="s">
        <v>1995</v>
      </c>
    </row>
    <row r="7862" spans="1:5" x14ac:dyDescent="0.2">
      <c r="A7862">
        <v>7801</v>
      </c>
      <c r="B7862" s="1763">
        <f>'PCTC-OEPP 27-28'!F130</f>
        <v>38956</v>
      </c>
      <c r="D7862" s="2" t="str">
        <f t="shared" si="129"/>
        <v>Error?</v>
      </c>
      <c r="E7862" s="4" t="s">
        <v>1995</v>
      </c>
    </row>
    <row r="7863" spans="1:5" x14ac:dyDescent="0.2">
      <c r="A7863">
        <v>7802</v>
      </c>
      <c r="B7863" s="1763">
        <f>'PCTC-OEPP 27-28'!F131</f>
        <v>0</v>
      </c>
      <c r="D7863" s="2" t="str">
        <f t="shared" si="129"/>
        <v>Error?</v>
      </c>
      <c r="E7863" s="4" t="s">
        <v>1995</v>
      </c>
    </row>
    <row r="7864" spans="1:5" x14ac:dyDescent="0.2">
      <c r="A7864">
        <v>7803</v>
      </c>
      <c r="B7864" s="1763">
        <f>'PCTC-OEPP 27-28'!F132</f>
        <v>0</v>
      </c>
      <c r="D7864" s="2" t="str">
        <f t="shared" si="129"/>
        <v>Error?</v>
      </c>
      <c r="E7864" s="4" t="s">
        <v>1995</v>
      </c>
    </row>
    <row r="7865" spans="1:5" x14ac:dyDescent="0.2">
      <c r="A7865">
        <v>7804</v>
      </c>
      <c r="B7865" s="1763">
        <f>'PCTC-OEPP 27-28'!F133</f>
        <v>0</v>
      </c>
      <c r="D7865" s="2" t="str">
        <f t="shared" si="129"/>
        <v>Error?</v>
      </c>
      <c r="E7865" s="4" t="s">
        <v>1995</v>
      </c>
    </row>
    <row r="7866" spans="1:5" x14ac:dyDescent="0.2">
      <c r="A7866">
        <v>7805</v>
      </c>
      <c r="B7866" s="1763">
        <f>'PCTC-OEPP 27-28'!F158</f>
        <v>0</v>
      </c>
      <c r="D7866" s="2" t="str">
        <f t="shared" si="129"/>
        <v>Error?</v>
      </c>
      <c r="E7866" s="4" t="s">
        <v>1995</v>
      </c>
    </row>
    <row r="7867" spans="1:5" x14ac:dyDescent="0.2">
      <c r="A7867">
        <v>7806</v>
      </c>
      <c r="B7867" s="1763">
        <f>'PCTC-OEPP 27-28'!F160</f>
        <v>0</v>
      </c>
      <c r="D7867" s="2" t="str">
        <f t="shared" si="129"/>
        <v>Error?</v>
      </c>
      <c r="E7867" s="4" t="s">
        <v>1995</v>
      </c>
    </row>
    <row r="7868" spans="1:5" x14ac:dyDescent="0.2">
      <c r="A7868">
        <v>7807</v>
      </c>
      <c r="B7868" s="1763">
        <f>'PCTC-OEPP 27-28'!F161</f>
        <v>0</v>
      </c>
      <c r="D7868" s="2" t="str">
        <f t="shared" si="129"/>
        <v>Error?</v>
      </c>
      <c r="E7868" s="4" t="s">
        <v>1995</v>
      </c>
    </row>
    <row r="7869" spans="1:5" x14ac:dyDescent="0.2">
      <c r="A7869">
        <v>7808</v>
      </c>
      <c r="B7869" s="1763">
        <f>'PCTC-OEPP 27-28'!F162</f>
        <v>20179</v>
      </c>
      <c r="D7869" s="2" t="str">
        <f t="shared" si="129"/>
        <v>Error?</v>
      </c>
      <c r="E7869" s="4" t="s">
        <v>1995</v>
      </c>
    </row>
    <row r="7870" spans="1:5" x14ac:dyDescent="0.2">
      <c r="A7870">
        <v>7809</v>
      </c>
      <c r="B7870" s="1763">
        <f>'PCTC-OEPP 27-28'!F163</f>
        <v>0</v>
      </c>
      <c r="D7870" s="2" t="str">
        <f t="shared" si="129"/>
        <v>Error?</v>
      </c>
      <c r="E7870" s="4" t="s">
        <v>1995</v>
      </c>
    </row>
    <row r="7871" spans="1:5" x14ac:dyDescent="0.2">
      <c r="A7871">
        <v>7810</v>
      </c>
      <c r="B7871" s="1763">
        <f>'PCTC-OEPP 27-28'!F164</f>
        <v>0</v>
      </c>
      <c r="D7871" s="2" t="str">
        <f t="shared" si="129"/>
        <v>Error?</v>
      </c>
      <c r="E7871" s="4" t="s">
        <v>1995</v>
      </c>
    </row>
    <row r="7872" spans="1:5" x14ac:dyDescent="0.2">
      <c r="A7872">
        <v>7811</v>
      </c>
      <c r="B7872" s="1763">
        <f>'PCTC-OEPP 27-28'!F165</f>
        <v>47821</v>
      </c>
      <c r="D7872" s="2" t="str">
        <f t="shared" si="129"/>
        <v>Error?</v>
      </c>
      <c r="E7872" s="4" t="s">
        <v>1995</v>
      </c>
    </row>
    <row r="7873" spans="1:5" x14ac:dyDescent="0.2">
      <c r="A7873">
        <v>7812</v>
      </c>
      <c r="B7873" s="1763">
        <f>'PCTC-OEPP 27-28'!F166</f>
        <v>0</v>
      </c>
      <c r="D7873" s="2" t="str">
        <f t="shared" si="129"/>
        <v>Error?</v>
      </c>
      <c r="E7873" s="4" t="s">
        <v>1995</v>
      </c>
    </row>
    <row r="7874" spans="1:5" x14ac:dyDescent="0.2">
      <c r="A7874">
        <v>7813</v>
      </c>
      <c r="B7874" s="1763">
        <f>'PCTC-OEPP 27-28'!F169</f>
        <v>16014</v>
      </c>
      <c r="D7874" s="2" t="str">
        <f t="shared" si="129"/>
        <v>Error?</v>
      </c>
      <c r="E7874" s="4" t="s">
        <v>1995</v>
      </c>
    </row>
    <row r="7875" spans="1:5" x14ac:dyDescent="0.2">
      <c r="A7875">
        <v>7814</v>
      </c>
      <c r="B7875" s="1763">
        <f>'PCTC-OEPP 27-28'!F170</f>
        <v>70979</v>
      </c>
      <c r="D7875" s="2" t="str">
        <f t="shared" si="129"/>
        <v>Error?</v>
      </c>
      <c r="E7875" s="4" t="s">
        <v>1995</v>
      </c>
    </row>
    <row r="7876" spans="1:5" x14ac:dyDescent="0.2">
      <c r="A7876">
        <v>7815</v>
      </c>
      <c r="B7876" s="1763">
        <f>'PCTC-OEPP 27-28'!F171</f>
        <v>0</v>
      </c>
      <c r="D7876" s="2" t="str">
        <f t="shared" si="129"/>
        <v>Error?</v>
      </c>
      <c r="E7876" s="4" t="s">
        <v>1995</v>
      </c>
    </row>
    <row r="7877" spans="1:5" x14ac:dyDescent="0.2">
      <c r="A7877">
        <v>7816</v>
      </c>
      <c r="B7877" s="1763">
        <f>'PCTC-OEPP 27-28'!F175</f>
        <v>3014677.15</v>
      </c>
      <c r="D7877" s="2" t="str">
        <f t="shared" si="129"/>
        <v>Error?</v>
      </c>
      <c r="E7877" s="4" t="s">
        <v>1995</v>
      </c>
    </row>
    <row r="7878" spans="1:5" x14ac:dyDescent="0.2">
      <c r="A7878">
        <v>7817</v>
      </c>
      <c r="B7878" s="1763">
        <f>'PCTC-OEPP 27-28'!F176</f>
        <v>13508883.85</v>
      </c>
      <c r="D7878" s="2" t="str">
        <f t="shared" si="129"/>
        <v>Error?</v>
      </c>
      <c r="E7878" s="4" t="s">
        <v>1995</v>
      </c>
    </row>
    <row r="7879" spans="1:5" x14ac:dyDescent="0.2">
      <c r="A7879">
        <v>7818</v>
      </c>
      <c r="B7879" s="1763">
        <f>'PCTC-OEPP 27-28'!F178</f>
        <v>14257344.85</v>
      </c>
      <c r="D7879" s="2" t="str">
        <f t="shared" si="129"/>
        <v>Error?</v>
      </c>
      <c r="E7879" s="4" t="s">
        <v>1995</v>
      </c>
    </row>
    <row r="7880" spans="1:5" x14ac:dyDescent="0.2">
      <c r="A7880">
        <v>7819</v>
      </c>
      <c r="B7880" s="1763">
        <f>'PCTC-OEPP 27-28'!F180</f>
        <v>32640.441506410254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19" zoomScale="110" zoomScaleNormal="110" workbookViewId="0">
      <selection activeCell="B128" sqref="B12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1181</v>
      </c>
      <c r="B2" s="2547"/>
      <c r="C2" s="2547"/>
      <c r="D2" s="2547"/>
      <c r="E2" s="2547"/>
      <c r="F2" s="2547"/>
      <c r="G2" s="2547"/>
      <c r="H2" s="2547"/>
      <c r="I2" s="2547"/>
      <c r="J2" s="2547"/>
      <c r="K2" s="2547"/>
      <c r="L2" s="2547"/>
    </row>
    <row r="3" spans="1:29" ht="13.5" customHeight="1" x14ac:dyDescent="0.2">
      <c r="A3" s="2533" t="s">
        <v>1180</v>
      </c>
      <c r="B3" s="2533"/>
      <c r="C3" s="2533"/>
      <c r="D3" s="2533"/>
      <c r="E3" s="2533"/>
      <c r="F3" s="2533"/>
      <c r="G3" s="2533"/>
      <c r="H3" s="2533"/>
      <c r="I3" s="2533"/>
      <c r="J3" s="2533"/>
      <c r="K3" s="2533"/>
      <c r="L3" s="2533"/>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7" t="str">
        <f>COVER!A17</f>
        <v xml:space="preserve">  Darien SD 61</v>
      </c>
      <c r="B7" s="2528"/>
      <c r="C7" s="2528"/>
      <c r="D7" s="2566"/>
      <c r="E7" s="2567">
        <f>COVER!A13</f>
        <v>19022061002</v>
      </c>
      <c r="F7" s="2568"/>
      <c r="G7" s="2534" t="str">
        <f>COVER!T23</f>
        <v>065-037815</v>
      </c>
      <c r="H7" s="2535"/>
      <c r="I7" s="2535"/>
      <c r="J7" s="2535"/>
      <c r="K7" s="2535"/>
      <c r="L7" s="253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7"/>
      <c r="B9" s="2538"/>
      <c r="C9" s="2538"/>
      <c r="D9" s="2538"/>
      <c r="E9" s="2538"/>
      <c r="F9" s="2539"/>
      <c r="G9" s="2540" t="str">
        <f>COVER!T13</f>
        <v>Lauterbach &amp; Amen, LLP</v>
      </c>
      <c r="H9" s="2541"/>
      <c r="I9" s="2541"/>
      <c r="J9" s="2541"/>
      <c r="K9" s="2541"/>
      <c r="L9" s="2542"/>
    </row>
    <row r="10" spans="1:29" ht="13.5" customHeight="1" x14ac:dyDescent="0.2">
      <c r="A10" s="2524" t="str">
        <f>COVER!A38</f>
        <v>Dr. Robert M. Carlo</v>
      </c>
      <c r="B10" s="2525"/>
      <c r="C10" s="2525"/>
      <c r="D10" s="2525"/>
      <c r="E10" s="2525"/>
      <c r="F10" s="2526"/>
      <c r="G10" s="2540" t="str">
        <f>COVER!T17</f>
        <v>668 N. River Road</v>
      </c>
      <c r="H10" s="2553"/>
      <c r="I10" s="2553"/>
      <c r="J10" s="2553"/>
      <c r="K10" s="2553"/>
      <c r="L10" s="2554"/>
    </row>
    <row r="11" spans="1:29" ht="13.5" customHeight="1" x14ac:dyDescent="0.2">
      <c r="A11" s="963" t="s">
        <v>1502</v>
      </c>
      <c r="B11" s="964"/>
      <c r="C11" s="965"/>
      <c r="D11" s="970"/>
      <c r="E11" s="965"/>
      <c r="F11" s="969"/>
      <c r="G11" s="2540" t="str">
        <f>COVER!T19</f>
        <v>Naperville</v>
      </c>
      <c r="H11" s="2553"/>
      <c r="I11" s="2553"/>
      <c r="J11" s="2553"/>
      <c r="K11" s="2553"/>
      <c r="L11" s="2554"/>
    </row>
    <row r="12" spans="1:29" ht="13.5" customHeight="1" x14ac:dyDescent="0.2">
      <c r="A12" s="2558" t="s">
        <v>1501</v>
      </c>
      <c r="B12" s="2559"/>
      <c r="C12" s="2559"/>
      <c r="D12" s="2559"/>
      <c r="E12" s="2559"/>
      <c r="F12" s="2560"/>
      <c r="G12" s="2555"/>
      <c r="H12" s="2556"/>
      <c r="I12" s="2556"/>
      <c r="J12" s="2556"/>
      <c r="K12" s="2556"/>
      <c r="L12" s="2557"/>
    </row>
    <row r="13" spans="1:29" ht="13.5" customHeight="1" x14ac:dyDescent="0.2">
      <c r="A13" s="2540"/>
      <c r="B13" s="2553"/>
      <c r="C13" s="2553"/>
      <c r="D13" s="2553"/>
      <c r="E13" s="2553"/>
      <c r="F13" s="2554"/>
      <c r="G13" s="2548" t="s">
        <v>1503</v>
      </c>
      <c r="H13" s="2549"/>
      <c r="I13" s="2561" t="str">
        <f>COVER!T25</f>
        <v>dshaw@lauterbachamen.com</v>
      </c>
      <c r="J13" s="2562"/>
      <c r="K13" s="2562"/>
      <c r="L13" s="2563"/>
    </row>
    <row r="14" spans="1:29" ht="13.5" customHeight="1" x14ac:dyDescent="0.2">
      <c r="A14" s="2540" t="str">
        <f>COVER!A19</f>
        <v>7414 Cass Avenue</v>
      </c>
      <c r="B14" s="2553"/>
      <c r="C14" s="2553"/>
      <c r="D14" s="2553"/>
      <c r="E14" s="2553"/>
      <c r="F14" s="2554"/>
      <c r="G14" s="974" t="s">
        <v>1175</v>
      </c>
      <c r="H14" s="972"/>
      <c r="I14" s="972"/>
      <c r="J14" s="972"/>
      <c r="K14" s="972"/>
      <c r="L14" s="973"/>
    </row>
    <row r="15" spans="1:29" ht="13.5" customHeight="1" x14ac:dyDescent="0.2">
      <c r="A15" s="2540" t="str">
        <f>COVER!A21</f>
        <v>Darien</v>
      </c>
      <c r="B15" s="2553"/>
      <c r="C15" s="2553"/>
      <c r="D15" s="2553"/>
      <c r="E15" s="2553"/>
      <c r="F15" s="2554"/>
      <c r="G15" s="2550" t="str">
        <f>COVER!T15</f>
        <v>Don Shaw</v>
      </c>
      <c r="H15" s="2551"/>
      <c r="I15" s="2551"/>
      <c r="J15" s="2551"/>
      <c r="K15" s="2551"/>
      <c r="L15" s="2552"/>
    </row>
    <row r="16" spans="1:29" ht="12.2" customHeight="1" x14ac:dyDescent="0.2">
      <c r="A16" s="2530">
        <f>COVER!A25</f>
        <v>60561</v>
      </c>
      <c r="B16" s="2531"/>
      <c r="C16" s="2531"/>
      <c r="D16" s="2531"/>
      <c r="E16" s="2531"/>
      <c r="F16" s="2532"/>
      <c r="G16" s="2543"/>
      <c r="H16" s="2544"/>
      <c r="I16" s="2544"/>
      <c r="J16" s="2544"/>
      <c r="K16" s="2544"/>
      <c r="L16" s="2545"/>
    </row>
    <row r="17" spans="1:13" ht="12.2" customHeight="1" x14ac:dyDescent="0.2">
      <c r="A17" s="2546"/>
      <c r="B17" s="2531"/>
      <c r="C17" s="2531"/>
      <c r="D17" s="2531"/>
      <c r="E17" s="2531"/>
      <c r="F17" s="2532"/>
      <c r="G17" s="974" t="s">
        <v>1174</v>
      </c>
      <c r="H17" s="972"/>
      <c r="I17" s="972"/>
      <c r="J17" s="972"/>
      <c r="K17" s="976" t="s">
        <v>1173</v>
      </c>
      <c r="L17" s="969"/>
      <c r="M17" s="962"/>
    </row>
    <row r="18" spans="1:13" ht="12.2" customHeight="1" x14ac:dyDescent="0.2">
      <c r="A18" s="2524"/>
      <c r="B18" s="2525"/>
      <c r="C18" s="2525"/>
      <c r="D18" s="2525"/>
      <c r="E18" s="2525"/>
      <c r="F18" s="2526"/>
      <c r="G18" s="2527" t="str">
        <f>COVER!T21</f>
        <v>630-393-1483</v>
      </c>
      <c r="H18" s="2528"/>
      <c r="I18" s="2528"/>
      <c r="J18" s="2528"/>
      <c r="K18" s="2527" t="str">
        <f>COVER!X21</f>
        <v>(630) 393-2516</v>
      </c>
      <c r="L18" s="25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2063</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2063</v>
      </c>
      <c r="C26" s="981" t="s">
        <v>1677</v>
      </c>
    </row>
    <row r="27" spans="1:13" s="977" customFormat="1" ht="9" customHeight="1" x14ac:dyDescent="0.2">
      <c r="B27" s="982"/>
      <c r="C27" s="981"/>
    </row>
    <row r="28" spans="1:13" s="977" customFormat="1" ht="12.2" customHeight="1" x14ac:dyDescent="0.2">
      <c r="A28" s="984"/>
      <c r="B28" s="980" t="s">
        <v>2063</v>
      </c>
      <c r="C28" s="981" t="s">
        <v>1678</v>
      </c>
    </row>
    <row r="29" spans="1:13" s="977" customFormat="1" ht="9" customHeight="1" x14ac:dyDescent="0.2">
      <c r="A29" s="984"/>
      <c r="B29" s="982"/>
      <c r="C29" s="981"/>
    </row>
    <row r="30" spans="1:13" s="977" customFormat="1" ht="12.2" customHeight="1" x14ac:dyDescent="0.2">
      <c r="B30" s="980" t="s">
        <v>2063</v>
      </c>
      <c r="C30" s="981" t="s">
        <v>1545</v>
      </c>
      <c r="D30" s="975"/>
      <c r="E30" s="975"/>
    </row>
    <row r="31" spans="1:13" s="977" customFormat="1" ht="9" customHeight="1" x14ac:dyDescent="0.2">
      <c r="B31" s="982"/>
      <c r="C31" s="981"/>
      <c r="D31" s="975"/>
      <c r="E31" s="975"/>
    </row>
    <row r="32" spans="1:13" s="977" customFormat="1" ht="12.2" customHeight="1" x14ac:dyDescent="0.2">
      <c r="B32" s="980" t="s">
        <v>2063</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2063</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2063</v>
      </c>
      <c r="C38" s="981" t="s">
        <v>1549</v>
      </c>
    </row>
    <row r="39" spans="1:8" ht="9" customHeight="1" x14ac:dyDescent="0.2">
      <c r="B39" s="982"/>
      <c r="C39" s="985"/>
    </row>
    <row r="40" spans="1:8" s="977" customFormat="1" ht="13.5" customHeight="1" x14ac:dyDescent="0.2">
      <c r="B40" s="980" t="s">
        <v>2063</v>
      </c>
      <c r="C40" s="981" t="s">
        <v>1550</v>
      </c>
    </row>
    <row r="41" spans="1:8" ht="9" customHeight="1" x14ac:dyDescent="0.2">
      <c r="A41" s="986"/>
      <c r="B41" s="982"/>
      <c r="C41" s="985"/>
    </row>
    <row r="42" spans="1:8" s="977" customFormat="1" ht="13.5" customHeight="1" x14ac:dyDescent="0.2">
      <c r="B42" s="980" t="s">
        <v>2063</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6" zoomScale="125" zoomScaleNormal="125" workbookViewId="0">
      <selection activeCell="B128" sqref="B12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Darien SD 61</v>
      </c>
      <c r="B1" s="2570"/>
      <c r="C1" s="2570"/>
      <c r="D1" s="2570"/>
    </row>
    <row r="2" spans="1:11" s="991" customFormat="1" ht="12.75" x14ac:dyDescent="0.2">
      <c r="A2" s="2571">
        <f>'Single Audit Cover'!E7</f>
        <v>19022061002</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2063</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2063</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2063</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2063</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2063</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2063</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2063</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2063</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2063</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2063</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2063</v>
      </c>
      <c r="C42" s="1008">
        <v>11</v>
      </c>
      <c r="D42" s="1019" t="s">
        <v>1557</v>
      </c>
      <c r="E42" s="290"/>
    </row>
    <row r="43" spans="1:5" ht="3" customHeight="1" x14ac:dyDescent="0.2">
      <c r="A43" s="998"/>
      <c r="B43" s="1015"/>
      <c r="C43" s="1016"/>
      <c r="D43" s="997"/>
    </row>
    <row r="44" spans="1:5" x14ac:dyDescent="0.2">
      <c r="A44" s="998"/>
      <c r="B44" s="1001" t="s">
        <v>2063</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2063</v>
      </c>
      <c r="C48" s="1002">
        <f>C44+1</f>
        <v>13</v>
      </c>
      <c r="D48" s="1013" t="s">
        <v>1558</v>
      </c>
    </row>
    <row r="49" spans="1:4" ht="3" customHeight="1" x14ac:dyDescent="0.2">
      <c r="A49" s="998"/>
      <c r="B49" s="1005"/>
      <c r="C49" s="1002"/>
      <c r="D49" s="1013"/>
    </row>
    <row r="50" spans="1:4" x14ac:dyDescent="0.2">
      <c r="A50" s="998"/>
      <c r="B50" s="1001" t="s">
        <v>2063</v>
      </c>
      <c r="C50" s="1002">
        <f>C48+1</f>
        <v>14</v>
      </c>
      <c r="D50" s="1013" t="s">
        <v>1202</v>
      </c>
    </row>
    <row r="51" spans="1:4" ht="3" customHeight="1" x14ac:dyDescent="0.2">
      <c r="A51" s="998"/>
      <c r="B51" s="1005"/>
      <c r="C51" s="1002"/>
      <c r="D51" s="1013"/>
    </row>
    <row r="52" spans="1:4" x14ac:dyDescent="0.2">
      <c r="A52" s="998"/>
      <c r="B52" s="1001" t="s">
        <v>2063</v>
      </c>
      <c r="C52" s="1002">
        <f>C50+1</f>
        <v>15</v>
      </c>
      <c r="D52" s="1013" t="s">
        <v>1201</v>
      </c>
    </row>
    <row r="53" spans="1:4" ht="3" customHeight="1" x14ac:dyDescent="0.2">
      <c r="A53" s="998"/>
      <c r="B53" s="1005"/>
      <c r="C53" s="1002"/>
      <c r="D53" s="1013"/>
    </row>
    <row r="54" spans="1:4" x14ac:dyDescent="0.2">
      <c r="A54" s="998"/>
      <c r="B54" s="1001" t="s">
        <v>2063</v>
      </c>
      <c r="C54" s="1002">
        <f>C52+1</f>
        <v>16</v>
      </c>
      <c r="D54" s="1013" t="s">
        <v>1200</v>
      </c>
    </row>
    <row r="55" spans="1:4" ht="3" customHeight="1" x14ac:dyDescent="0.2">
      <c r="A55" s="998"/>
      <c r="B55" s="1005"/>
      <c r="C55" s="1002"/>
      <c r="D55" s="1013"/>
    </row>
    <row r="56" spans="1:4" x14ac:dyDescent="0.2">
      <c r="A56" s="998"/>
      <c r="B56" s="1001" t="s">
        <v>2063</v>
      </c>
      <c r="C56" s="1002">
        <f>C54+1</f>
        <v>17</v>
      </c>
      <c r="D56" s="997" t="s">
        <v>1686</v>
      </c>
    </row>
    <row r="57" spans="1:4" ht="10.5" customHeight="1" x14ac:dyDescent="0.2">
      <c r="A57" s="998"/>
      <c r="D57" s="1013" t="s">
        <v>1687</v>
      </c>
    </row>
    <row r="58" spans="1:4" x14ac:dyDescent="0.2">
      <c r="A58" s="998"/>
      <c r="C58" s="1020" t="s">
        <v>2063</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2063</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2063</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2063</v>
      </c>
      <c r="D69" s="1013" t="s">
        <v>1691</v>
      </c>
    </row>
    <row r="70" spans="1:4" x14ac:dyDescent="0.2">
      <c r="A70" s="998"/>
      <c r="D70" s="1022" t="s">
        <v>1196</v>
      </c>
    </row>
    <row r="71" spans="1:4" ht="3" customHeight="1" x14ac:dyDescent="0.2">
      <c r="A71" s="998"/>
      <c r="D71" s="997"/>
    </row>
    <row r="72" spans="1:4" x14ac:dyDescent="0.2">
      <c r="A72" s="998"/>
      <c r="B72" s="1001" t="s">
        <v>2063</v>
      </c>
      <c r="C72" s="1002">
        <f>C56+1</f>
        <v>18</v>
      </c>
      <c r="D72" s="1023" t="s">
        <v>1692</v>
      </c>
    </row>
    <row r="73" spans="1:4" ht="3" customHeight="1" x14ac:dyDescent="0.2">
      <c r="A73" s="998"/>
      <c r="B73" s="1005"/>
      <c r="C73" s="1002"/>
      <c r="D73" s="1023"/>
    </row>
    <row r="74" spans="1:4" x14ac:dyDescent="0.2">
      <c r="A74" s="998"/>
      <c r="B74" s="1001" t="s">
        <v>2063</v>
      </c>
      <c r="C74" s="1002">
        <f>C72+1</f>
        <v>19</v>
      </c>
      <c r="D74" s="1013" t="s">
        <v>1195</v>
      </c>
    </row>
    <row r="75" spans="1:4" ht="3" customHeight="1" x14ac:dyDescent="0.2">
      <c r="A75" s="998"/>
      <c r="B75" s="1005"/>
      <c r="C75" s="1002"/>
      <c r="D75" s="1013"/>
    </row>
    <row r="76" spans="1:4" x14ac:dyDescent="0.2">
      <c r="A76" s="998"/>
      <c r="B76" s="1001" t="s">
        <v>2063</v>
      </c>
      <c r="C76" s="1002">
        <f>C74+1</f>
        <v>20</v>
      </c>
      <c r="D76" s="1024" t="s">
        <v>1693</v>
      </c>
    </row>
    <row r="77" spans="1:4" ht="3" customHeight="1" x14ac:dyDescent="0.2">
      <c r="A77" s="998"/>
      <c r="B77" s="1005"/>
      <c r="C77" s="1002"/>
      <c r="D77" s="1024"/>
    </row>
    <row r="78" spans="1:4" x14ac:dyDescent="0.2">
      <c r="A78" s="998"/>
      <c r="B78" s="1001" t="s">
        <v>2063</v>
      </c>
      <c r="C78" s="1002">
        <f>C76+1</f>
        <v>21</v>
      </c>
      <c r="D78" s="997" t="s">
        <v>1694</v>
      </c>
    </row>
    <row r="79" spans="1:4" ht="3" customHeight="1" x14ac:dyDescent="0.2">
      <c r="A79" s="998"/>
      <c r="B79" s="1005"/>
      <c r="C79" s="1002"/>
      <c r="D79" s="997"/>
    </row>
    <row r="80" spans="1:4" x14ac:dyDescent="0.2">
      <c r="A80" s="998"/>
      <c r="B80" s="1001" t="s">
        <v>2063</v>
      </c>
      <c r="C80" s="1002">
        <f>C78+1</f>
        <v>22</v>
      </c>
      <c r="D80" s="1025" t="s">
        <v>1695</v>
      </c>
    </row>
    <row r="81" spans="1:4" ht="3" customHeight="1" x14ac:dyDescent="0.2">
      <c r="A81" s="998"/>
      <c r="B81" s="1005"/>
      <c r="C81" s="1002"/>
      <c r="D81" s="1025"/>
    </row>
    <row r="82" spans="1:4" x14ac:dyDescent="0.2">
      <c r="A82" s="998"/>
      <c r="B82" s="1001" t="s">
        <v>2063</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2063</v>
      </c>
      <c r="C85" s="1002">
        <f>C82+1</f>
        <v>24</v>
      </c>
      <c r="D85" s="1013" t="s">
        <v>1193</v>
      </c>
    </row>
    <row r="86" spans="1:4" ht="3" customHeight="1" x14ac:dyDescent="0.2">
      <c r="A86" s="998"/>
      <c r="B86" s="1005"/>
      <c r="C86" s="1002"/>
      <c r="D86" s="1013"/>
    </row>
    <row r="87" spans="1:4" x14ac:dyDescent="0.2">
      <c r="A87" s="998"/>
      <c r="B87" s="1001" t="s">
        <v>2063</v>
      </c>
      <c r="C87" s="1002">
        <f>C85+1</f>
        <v>25</v>
      </c>
      <c r="D87" s="1013" t="s">
        <v>1192</v>
      </c>
    </row>
    <row r="88" spans="1:4" ht="3" customHeight="1" x14ac:dyDescent="0.2">
      <c r="A88" s="998"/>
      <c r="B88" s="1005"/>
      <c r="C88" s="1002"/>
      <c r="D88" s="1013"/>
    </row>
    <row r="89" spans="1:4" x14ac:dyDescent="0.2">
      <c r="A89" s="998"/>
      <c r="B89" s="1001" t="s">
        <v>2063</v>
      </c>
      <c r="C89" s="1002">
        <f>C87+1</f>
        <v>26</v>
      </c>
      <c r="D89" s="1013" t="s">
        <v>1191</v>
      </c>
    </row>
    <row r="90" spans="1:4" ht="3" customHeight="1" x14ac:dyDescent="0.2">
      <c r="A90" s="998"/>
      <c r="B90" s="1005"/>
      <c r="C90" s="1002"/>
      <c r="D90" s="1013"/>
    </row>
    <row r="91" spans="1:4" x14ac:dyDescent="0.2">
      <c r="A91" s="998"/>
      <c r="B91" s="1001" t="s">
        <v>2092</v>
      </c>
      <c r="C91" s="1002">
        <f>C89+1</f>
        <v>27</v>
      </c>
      <c r="D91" s="1013" t="s">
        <v>1697</v>
      </c>
    </row>
    <row r="92" spans="1:4" x14ac:dyDescent="0.2">
      <c r="A92" s="998"/>
      <c r="B92" s="1026"/>
      <c r="C92" s="1020" t="s">
        <v>2092</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2063</v>
      </c>
      <c r="C96" s="1002">
        <f>C91+1</f>
        <v>28</v>
      </c>
      <c r="D96" s="1013" t="s">
        <v>1698</v>
      </c>
    </row>
    <row r="97" spans="1:4" ht="3" customHeight="1" x14ac:dyDescent="0.2">
      <c r="A97" s="998"/>
      <c r="B97" s="1005"/>
      <c r="C97" s="1002"/>
      <c r="D97" s="1013"/>
    </row>
    <row r="98" spans="1:4" x14ac:dyDescent="0.2">
      <c r="A98" s="998"/>
      <c r="B98" s="1001" t="s">
        <v>2063</v>
      </c>
      <c r="C98" s="1002">
        <f>C96+1</f>
        <v>29</v>
      </c>
      <c r="D98" s="1027" t="s">
        <v>1699</v>
      </c>
    </row>
    <row r="99" spans="1:4" ht="3" customHeight="1" x14ac:dyDescent="0.2">
      <c r="A99" s="998"/>
      <c r="B99" s="1005"/>
      <c r="C99" s="1002"/>
      <c r="D99" s="1027"/>
    </row>
    <row r="100" spans="1:4" x14ac:dyDescent="0.2">
      <c r="A100" s="998"/>
      <c r="B100" s="1001" t="s">
        <v>2063</v>
      </c>
      <c r="C100" s="1002">
        <f>C98+1</f>
        <v>30</v>
      </c>
      <c r="D100" s="1013" t="s">
        <v>1700</v>
      </c>
    </row>
    <row r="101" spans="1:4" ht="3" customHeight="1" x14ac:dyDescent="0.2">
      <c r="A101" s="998"/>
      <c r="B101" s="1005"/>
      <c r="C101" s="1002"/>
      <c r="D101" s="1028"/>
    </row>
    <row r="102" spans="1:4" x14ac:dyDescent="0.2">
      <c r="A102" s="998"/>
      <c r="B102" s="1001" t="s">
        <v>2063</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2092</v>
      </c>
      <c r="C106" s="1002">
        <f>C102+1</f>
        <v>32</v>
      </c>
      <c r="D106" s="997" t="s">
        <v>1563</v>
      </c>
    </row>
    <row r="107" spans="1:4" ht="3" customHeight="1" x14ac:dyDescent="0.2">
      <c r="A107" s="998"/>
      <c r="B107" s="1005"/>
      <c r="C107" s="1002"/>
      <c r="D107" s="997"/>
    </row>
    <row r="108" spans="1:4" x14ac:dyDescent="0.2">
      <c r="A108" s="998"/>
      <c r="B108" s="1001" t="s">
        <v>2092</v>
      </c>
      <c r="C108" s="1002">
        <v>33</v>
      </c>
      <c r="D108" s="997" t="s">
        <v>1701</v>
      </c>
    </row>
    <row r="109" spans="1:4" ht="3" customHeight="1" x14ac:dyDescent="0.2">
      <c r="A109" s="998"/>
      <c r="B109" s="1005"/>
      <c r="C109" s="1002"/>
      <c r="D109" s="997"/>
    </row>
    <row r="110" spans="1:4" x14ac:dyDescent="0.2">
      <c r="A110" s="998"/>
      <c r="B110" s="1001" t="s">
        <v>2092</v>
      </c>
      <c r="C110" s="1002">
        <f>C108+1</f>
        <v>34</v>
      </c>
      <c r="D110" s="997" t="s">
        <v>1188</v>
      </c>
    </row>
    <row r="111" spans="1:4" ht="3" customHeight="1" x14ac:dyDescent="0.2">
      <c r="A111" s="998"/>
      <c r="B111" s="1005"/>
      <c r="C111" s="1002"/>
      <c r="D111" s="997"/>
    </row>
    <row r="112" spans="1:4" x14ac:dyDescent="0.2">
      <c r="A112" s="998"/>
      <c r="B112" s="1001" t="s">
        <v>2092</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2092</v>
      </c>
      <c r="C115" s="1002">
        <f>C112+1</f>
        <v>36</v>
      </c>
      <c r="D115" s="1013" t="s">
        <v>1185</v>
      </c>
    </row>
    <row r="116" spans="1:4" ht="3" customHeight="1" x14ac:dyDescent="0.2">
      <c r="A116" s="998"/>
      <c r="B116" s="1005"/>
      <c r="C116" s="1002"/>
      <c r="D116" s="1013"/>
    </row>
    <row r="117" spans="1:4" x14ac:dyDescent="0.2">
      <c r="A117" s="998"/>
      <c r="B117" s="1001" t="s">
        <v>2092</v>
      </c>
      <c r="C117" s="1002">
        <f>C115+1</f>
        <v>37</v>
      </c>
      <c r="D117" s="1013" t="s">
        <v>1702</v>
      </c>
    </row>
    <row r="118" spans="1:4" ht="3" customHeight="1" x14ac:dyDescent="0.2">
      <c r="A118" s="998"/>
      <c r="B118" s="1005"/>
      <c r="C118" s="1002"/>
      <c r="D118" s="1013"/>
    </row>
    <row r="119" spans="1:4" x14ac:dyDescent="0.2">
      <c r="A119" s="998"/>
      <c r="B119" s="1001" t="s">
        <v>2092</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2092</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H40" sqref="H4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Darien SD 61</v>
      </c>
      <c r="B1" s="2574"/>
      <c r="C1" s="2574"/>
      <c r="D1" s="2574"/>
      <c r="E1" s="2574"/>
    </row>
    <row r="2" spans="1:5" x14ac:dyDescent="0.2">
      <c r="A2" s="2575">
        <f>'Single Audit Cover'!E7</f>
        <v>19022061002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1553095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29432</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-70979</v>
      </c>
    </row>
    <row r="19" spans="1:4" ht="13.5" thickBot="1" x14ac:dyDescent="0.25">
      <c r="A19" s="1041" t="s">
        <v>1224</v>
      </c>
      <c r="D19" s="1042">
        <f>SUM(D10:D17)</f>
        <v>1511548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1511548</v>
      </c>
    </row>
    <row r="33" spans="1:4" x14ac:dyDescent="0.2">
      <c r="D33" s="1045"/>
    </row>
    <row r="34" spans="1:4" x14ac:dyDescent="0.2">
      <c r="A34" s="295" t="s">
        <v>1221</v>
      </c>
    </row>
    <row r="35" spans="1:4" x14ac:dyDescent="0.2">
      <c r="A35" s="295" t="s">
        <v>1220</v>
      </c>
      <c r="B35" s="1034" t="s">
        <v>1219</v>
      </c>
      <c r="D35" s="1046">
        <f>' SEFA'!F60</f>
        <v>1511548</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1511548</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5BB9-E8BD-4036-822F-035FA3F61BD9}">
  <sheetPr>
    <tabColor rgb="FF00B050"/>
  </sheetPr>
  <dimension ref="B1:N185"/>
  <sheetViews>
    <sheetView showGridLines="0" topLeftCell="A46" zoomScale="115" zoomScaleNormal="115" workbookViewId="0">
      <selection activeCell="H40" sqref="H40"/>
    </sheetView>
  </sheetViews>
  <sheetFormatPr defaultColWidth="33.5703125" defaultRowHeight="12.75" x14ac:dyDescent="0.2"/>
  <cols>
    <col min="1" max="1" width="0.28515625" style="294" customWidth="1"/>
    <col min="2" max="2" width="32.7109375" style="294" customWidth="1"/>
    <col min="3" max="3" width="8.7109375" style="2034" customWidth="1"/>
    <col min="4" max="4" width="12.7109375" style="2035" customWidth="1"/>
    <col min="5" max="6" width="11.7109375" style="294" customWidth="1"/>
    <col min="7" max="7" width="11.7109375" style="2032" customWidth="1"/>
    <col min="8" max="8" width="13.7109375" style="2032" bestFit="1" customWidth="1"/>
    <col min="9" max="9" width="11.7109375" style="2032" customWidth="1"/>
    <col min="10" max="10" width="13.7109375" style="2032" customWidth="1"/>
    <col min="11" max="12" width="11.7109375" style="2032" customWidth="1"/>
    <col min="13" max="13" width="11.7109375" style="294" customWidth="1"/>
    <col min="14" max="14" width="2.7109375" style="294" customWidth="1"/>
    <col min="15" max="16384" width="33.5703125" style="294"/>
  </cols>
  <sheetData>
    <row r="1" spans="2:14" ht="11.85" customHeight="1" x14ac:dyDescent="0.2">
      <c r="B1" s="2578" t="e">
        <f>'[1]Single Audit Cover'!A7</f>
        <v>#REF!</v>
      </c>
      <c r="C1" s="2578"/>
      <c r="D1" s="2578"/>
      <c r="E1" s="2578"/>
      <c r="F1" s="2578"/>
      <c r="G1" s="2578"/>
      <c r="H1" s="2578"/>
      <c r="I1" s="2578"/>
      <c r="J1" s="2578"/>
      <c r="K1" s="2578"/>
      <c r="L1" s="2578"/>
      <c r="M1" s="2578"/>
    </row>
    <row r="2" spans="2:14" ht="15" x14ac:dyDescent="0.2">
      <c r="B2" s="2579" t="e">
        <f>'[1]Single Audit Cover'!E7</f>
        <v>#REF!</v>
      </c>
      <c r="C2" s="2579"/>
      <c r="D2" s="2579"/>
      <c r="E2" s="2579"/>
      <c r="F2" s="2579"/>
      <c r="G2" s="2579"/>
      <c r="H2" s="2579"/>
      <c r="I2" s="2579"/>
      <c r="J2" s="2579"/>
      <c r="K2" s="2579"/>
      <c r="L2" s="2579"/>
      <c r="M2" s="2579"/>
      <c r="N2" s="1965"/>
    </row>
    <row r="3" spans="2:14" ht="15" x14ac:dyDescent="0.2">
      <c r="B3" s="2580" t="s">
        <v>1208</v>
      </c>
      <c r="C3" s="2580"/>
      <c r="D3" s="2580"/>
      <c r="E3" s="2580"/>
      <c r="F3" s="2580"/>
      <c r="G3" s="2580"/>
      <c r="H3" s="2580"/>
      <c r="I3" s="2580"/>
      <c r="J3" s="2580"/>
      <c r="K3" s="2580"/>
      <c r="L3" s="2580"/>
      <c r="M3" s="2580"/>
      <c r="N3" s="1965"/>
    </row>
    <row r="4" spans="2:14" ht="15" x14ac:dyDescent="0.2">
      <c r="B4" s="2569" t="e">
        <f>'[1]Single Audit Cover'!A4</f>
        <v>#REF!</v>
      </c>
      <c r="C4" s="2569"/>
      <c r="D4" s="2569"/>
      <c r="E4" s="2569"/>
      <c r="F4" s="2569"/>
      <c r="G4" s="2569"/>
      <c r="H4" s="2569"/>
      <c r="I4" s="2569"/>
      <c r="J4" s="2569"/>
      <c r="K4" s="2569"/>
      <c r="L4" s="2569"/>
      <c r="M4" s="2569"/>
      <c r="N4" s="1965"/>
    </row>
    <row r="6" spans="2:14" x14ac:dyDescent="0.2">
      <c r="B6" s="1966"/>
      <c r="C6" s="1967"/>
      <c r="D6" s="1968" t="s">
        <v>1254</v>
      </c>
      <c r="E6" s="1969" t="s">
        <v>524</v>
      </c>
      <c r="F6" s="1970"/>
      <c r="G6" s="1971" t="s">
        <v>1708</v>
      </c>
      <c r="H6" s="1969"/>
      <c r="I6" s="1969"/>
      <c r="J6" s="1969"/>
      <c r="K6" s="1972"/>
      <c r="L6" s="1973"/>
      <c r="M6" s="1974"/>
    </row>
    <row r="7" spans="2:14" x14ac:dyDescent="0.2">
      <c r="B7" s="1975" t="s">
        <v>1564</v>
      </c>
      <c r="C7" s="1976"/>
      <c r="D7" s="1977"/>
      <c r="E7" s="1978"/>
      <c r="F7" s="1979"/>
      <c r="G7" s="1978"/>
      <c r="H7" s="1980" t="s">
        <v>1251</v>
      </c>
      <c r="I7" s="1978"/>
      <c r="J7" s="1981" t="s">
        <v>1251</v>
      </c>
      <c r="K7" s="1982"/>
      <c r="L7" s="1983" t="s">
        <v>1249</v>
      </c>
      <c r="M7" s="1984"/>
    </row>
    <row r="8" spans="2:14" x14ac:dyDescent="0.2">
      <c r="B8" s="1985"/>
      <c r="C8" s="1976" t="s">
        <v>1253</v>
      </c>
      <c r="D8" s="1977" t="s">
        <v>1252</v>
      </c>
      <c r="E8" s="1986" t="s">
        <v>1251</v>
      </c>
      <c r="F8" s="1987" t="s">
        <v>1251</v>
      </c>
      <c r="G8" s="1988" t="s">
        <v>1251</v>
      </c>
      <c r="H8" s="1980" t="s">
        <v>2094</v>
      </c>
      <c r="I8" s="1982" t="s">
        <v>1251</v>
      </c>
      <c r="J8" s="1981" t="s">
        <v>2095</v>
      </c>
      <c r="K8" s="1982" t="s">
        <v>1250</v>
      </c>
      <c r="L8" s="1983" t="s">
        <v>1246</v>
      </c>
      <c r="M8" s="1984" t="s">
        <v>30</v>
      </c>
    </row>
    <row r="9" spans="2:14" ht="14.25" x14ac:dyDescent="0.2">
      <c r="B9" s="1989" t="s">
        <v>1248</v>
      </c>
      <c r="C9" s="1976" t="s">
        <v>1709</v>
      </c>
      <c r="D9" s="1977" t="s">
        <v>1710</v>
      </c>
      <c r="E9" s="1986" t="s">
        <v>2094</v>
      </c>
      <c r="F9" s="1987" t="s">
        <v>2095</v>
      </c>
      <c r="G9" s="1988" t="s">
        <v>2094</v>
      </c>
      <c r="H9" s="1980" t="s">
        <v>1565</v>
      </c>
      <c r="I9" s="1982" t="s">
        <v>2095</v>
      </c>
      <c r="J9" s="1981" t="s">
        <v>1565</v>
      </c>
      <c r="K9" s="1982" t="s">
        <v>1247</v>
      </c>
      <c r="L9" s="1990" t="s">
        <v>1566</v>
      </c>
      <c r="M9" s="1984"/>
    </row>
    <row r="10" spans="2:14" ht="11.85" customHeight="1" x14ac:dyDescent="0.2">
      <c r="B10" s="1989" t="s">
        <v>1245</v>
      </c>
      <c r="C10" s="1991" t="s">
        <v>1244</v>
      </c>
      <c r="D10" s="1992" t="s">
        <v>1243</v>
      </c>
      <c r="E10" s="1993" t="s">
        <v>1242</v>
      </c>
      <c r="F10" s="1994" t="s">
        <v>1241</v>
      </c>
      <c r="G10" s="1995" t="s">
        <v>1240</v>
      </c>
      <c r="H10" s="1996" t="s">
        <v>1255</v>
      </c>
      <c r="I10" s="1997" t="s">
        <v>1239</v>
      </c>
      <c r="J10" s="1998" t="s">
        <v>1255</v>
      </c>
      <c r="K10" s="1999" t="s">
        <v>1238</v>
      </c>
      <c r="L10" s="1999" t="s">
        <v>1237</v>
      </c>
      <c r="M10" s="2000" t="s">
        <v>1236</v>
      </c>
    </row>
    <row r="11" spans="2:14" ht="20.100000000000001" customHeight="1" x14ac:dyDescent="0.2">
      <c r="B11" s="1078" t="s">
        <v>2096</v>
      </c>
      <c r="C11" s="2001"/>
      <c r="D11" s="2002"/>
      <c r="E11" s="2003"/>
      <c r="F11" s="2003"/>
      <c r="G11" s="2003"/>
      <c r="H11" s="2003"/>
      <c r="I11" s="2003"/>
      <c r="J11" s="2003"/>
      <c r="K11" s="2003"/>
      <c r="L11" s="2003"/>
      <c r="M11" s="2003"/>
    </row>
    <row r="12" spans="2:14" ht="20.100000000000001" customHeight="1" x14ac:dyDescent="0.2">
      <c r="B12" s="2004" t="s">
        <v>2097</v>
      </c>
      <c r="C12" s="2001"/>
      <c r="D12" s="2002"/>
      <c r="E12" s="2003"/>
      <c r="F12" s="2003"/>
      <c r="G12" s="2003"/>
      <c r="H12" s="2003"/>
      <c r="I12" s="2003"/>
      <c r="J12" s="2003"/>
      <c r="K12" s="2003"/>
      <c r="L12" s="2003"/>
      <c r="M12" s="2003"/>
    </row>
    <row r="13" spans="2:14" ht="20.100000000000001" customHeight="1" x14ac:dyDescent="0.2">
      <c r="B13" s="2005" t="s">
        <v>2098</v>
      </c>
      <c r="C13" s="2006"/>
      <c r="D13" s="2007"/>
      <c r="E13" s="2008"/>
      <c r="F13" s="2008"/>
      <c r="G13" s="2008"/>
      <c r="H13" s="2008"/>
      <c r="I13" s="2008"/>
      <c r="J13" s="2008"/>
      <c r="K13" s="2008"/>
      <c r="L13" s="2003"/>
      <c r="M13" s="2008"/>
    </row>
    <row r="14" spans="2:14" ht="20.100000000000001" customHeight="1" x14ac:dyDescent="0.2">
      <c r="B14" s="2009" t="s">
        <v>1050</v>
      </c>
      <c r="C14" s="2006">
        <v>10.553000000000001</v>
      </c>
      <c r="D14" s="2007" t="s">
        <v>2099</v>
      </c>
      <c r="E14" s="2008"/>
      <c r="F14" s="2008">
        <v>6071</v>
      </c>
      <c r="G14" s="2008"/>
      <c r="H14" s="2008"/>
      <c r="I14" s="2008">
        <v>6071</v>
      </c>
      <c r="J14" s="2008"/>
      <c r="K14" s="2008"/>
      <c r="L14" s="2003">
        <f t="shared" ref="L14:L60" si="0">+G14+I14+K14</f>
        <v>6071</v>
      </c>
      <c r="M14" s="2008"/>
    </row>
    <row r="15" spans="2:14" ht="20.100000000000001" customHeight="1" x14ac:dyDescent="0.2">
      <c r="B15" s="2009" t="s">
        <v>1050</v>
      </c>
      <c r="C15" s="2006">
        <v>10.553000000000001</v>
      </c>
      <c r="D15" s="2007" t="s">
        <v>2100</v>
      </c>
      <c r="E15" s="2008"/>
      <c r="F15" s="2008">
        <v>22536</v>
      </c>
      <c r="G15" s="2008"/>
      <c r="H15" s="2008"/>
      <c r="I15" s="2008">
        <v>22536</v>
      </c>
      <c r="J15" s="2008"/>
      <c r="K15" s="2008"/>
      <c r="L15" s="2003">
        <f t="shared" si="0"/>
        <v>22536</v>
      </c>
      <c r="M15" s="2008"/>
    </row>
    <row r="16" spans="2:14" ht="20.100000000000001" customHeight="1" x14ac:dyDescent="0.2">
      <c r="B16" s="2009" t="s">
        <v>1049</v>
      </c>
      <c r="C16" s="2006">
        <v>10.555</v>
      </c>
      <c r="D16" s="2007" t="s">
        <v>2101</v>
      </c>
      <c r="E16" s="2008"/>
      <c r="F16" s="2008">
        <v>25837</v>
      </c>
      <c r="G16" s="2008"/>
      <c r="H16" s="2008"/>
      <c r="I16" s="2008">
        <v>25837</v>
      </c>
      <c r="J16" s="2008"/>
      <c r="K16" s="2008"/>
      <c r="L16" s="2003">
        <f t="shared" si="0"/>
        <v>25837</v>
      </c>
      <c r="M16" s="2008"/>
    </row>
    <row r="17" spans="2:13" ht="20.100000000000001" customHeight="1" x14ac:dyDescent="0.2">
      <c r="B17" s="2009" t="s">
        <v>1049</v>
      </c>
      <c r="C17" s="2006">
        <v>10.555</v>
      </c>
      <c r="D17" s="2007" t="s">
        <v>2102</v>
      </c>
      <c r="E17" s="2008"/>
      <c r="F17" s="2008">
        <v>95670</v>
      </c>
      <c r="G17" s="2008"/>
      <c r="H17" s="2008"/>
      <c r="I17" s="2008">
        <v>95670</v>
      </c>
      <c r="J17" s="2008"/>
      <c r="K17" s="2008"/>
      <c r="L17" s="2003">
        <f t="shared" si="0"/>
        <v>95670</v>
      </c>
      <c r="M17" s="2008"/>
    </row>
    <row r="18" spans="2:13" ht="20.100000000000001" customHeight="1" x14ac:dyDescent="0.2">
      <c r="B18" s="2009" t="s">
        <v>2103</v>
      </c>
      <c r="C18" s="2006">
        <v>10.555</v>
      </c>
      <c r="D18" s="2007" t="s">
        <v>2092</v>
      </c>
      <c r="E18" s="2008"/>
      <c r="F18" s="2008">
        <v>20834</v>
      </c>
      <c r="G18" s="2008"/>
      <c r="H18" s="2008"/>
      <c r="I18" s="2008">
        <v>20834</v>
      </c>
      <c r="J18" s="2008"/>
      <c r="K18" s="2008"/>
      <c r="L18" s="2003">
        <f t="shared" si="0"/>
        <v>20834</v>
      </c>
      <c r="M18" s="2008"/>
    </row>
    <row r="19" spans="2:13" ht="20.100000000000001" customHeight="1" x14ac:dyDescent="0.2">
      <c r="B19" s="2009" t="s">
        <v>2104</v>
      </c>
      <c r="C19" s="2006"/>
      <c r="D19" s="2007" t="s">
        <v>2092</v>
      </c>
      <c r="E19" s="2008"/>
      <c r="F19" s="2008">
        <v>8598</v>
      </c>
      <c r="G19" s="2008"/>
      <c r="H19" s="2008"/>
      <c r="I19" s="2008">
        <v>8598</v>
      </c>
      <c r="J19" s="2008"/>
      <c r="K19" s="2008"/>
      <c r="L19" s="2003">
        <f t="shared" si="0"/>
        <v>8598</v>
      </c>
      <c r="M19" s="2008"/>
    </row>
    <row r="20" spans="2:13" ht="20.100000000000001" customHeight="1" x14ac:dyDescent="0.2">
      <c r="B20" s="2009" t="s">
        <v>1434</v>
      </c>
      <c r="C20" s="2006">
        <v>10.558999999999999</v>
      </c>
      <c r="D20" s="2007" t="s">
        <v>2105</v>
      </c>
      <c r="E20" s="2008"/>
      <c r="F20" s="2008">
        <v>34923</v>
      </c>
      <c r="G20" s="2008"/>
      <c r="H20" s="2008"/>
      <c r="I20" s="2008">
        <v>34923</v>
      </c>
      <c r="J20" s="2008"/>
      <c r="K20" s="2008"/>
      <c r="L20" s="2003">
        <f t="shared" si="0"/>
        <v>34923</v>
      </c>
      <c r="M20" s="2008"/>
    </row>
    <row r="21" spans="2:13" ht="4.9000000000000004" customHeight="1" x14ac:dyDescent="0.2">
      <c r="B21" s="2009"/>
      <c r="C21" s="2006"/>
      <c r="D21" s="2007"/>
      <c r="E21" s="2008"/>
      <c r="F21" s="2008"/>
      <c r="G21" s="2008"/>
      <c r="H21" s="2008"/>
      <c r="I21" s="2008"/>
      <c r="J21" s="2008"/>
      <c r="K21" s="2008"/>
      <c r="L21" s="2003"/>
      <c r="M21" s="2008"/>
    </row>
    <row r="22" spans="2:13" ht="20.100000000000001" customHeight="1" x14ac:dyDescent="0.2">
      <c r="B22" s="2010" t="s">
        <v>2106</v>
      </c>
      <c r="C22" s="2006"/>
      <c r="D22" s="2007"/>
      <c r="E22" s="2011">
        <f>SUM(E14:E21)</f>
        <v>0</v>
      </c>
      <c r="F22" s="2011">
        <f t="shared" ref="F22:K22" si="1">SUM(F14:F21)</f>
        <v>214469</v>
      </c>
      <c r="G22" s="2011">
        <f t="shared" si="1"/>
        <v>0</v>
      </c>
      <c r="H22" s="2011">
        <f t="shared" si="1"/>
        <v>0</v>
      </c>
      <c r="I22" s="2011">
        <f t="shared" si="1"/>
        <v>214469</v>
      </c>
      <c r="J22" s="2011">
        <f t="shared" si="1"/>
        <v>0</v>
      </c>
      <c r="K22" s="2011">
        <f t="shared" si="1"/>
        <v>0</v>
      </c>
      <c r="L22" s="2012">
        <f>+G22+I22+K22</f>
        <v>214469</v>
      </c>
      <c r="M22" s="2008"/>
    </row>
    <row r="23" spans="2:13" s="2016" customFormat="1" ht="20.100000000000001" customHeight="1" x14ac:dyDescent="0.2">
      <c r="B23" s="2013" t="s">
        <v>2107</v>
      </c>
      <c r="C23" s="2014"/>
      <c r="D23" s="2015"/>
      <c r="E23" s="2011">
        <f>+E22</f>
        <v>0</v>
      </c>
      <c r="F23" s="2011">
        <f t="shared" ref="F23:K23" si="2">+F22</f>
        <v>214469</v>
      </c>
      <c r="G23" s="2011">
        <f t="shared" si="2"/>
        <v>0</v>
      </c>
      <c r="H23" s="2011">
        <f t="shared" si="2"/>
        <v>0</v>
      </c>
      <c r="I23" s="2011">
        <f t="shared" si="2"/>
        <v>214469</v>
      </c>
      <c r="J23" s="2011">
        <f t="shared" si="2"/>
        <v>0</v>
      </c>
      <c r="K23" s="2011">
        <f t="shared" si="2"/>
        <v>0</v>
      </c>
      <c r="L23" s="2012">
        <f t="shared" si="0"/>
        <v>214469</v>
      </c>
      <c r="M23" s="2011"/>
    </row>
    <row r="24" spans="2:13" ht="20.100000000000001" customHeight="1" x14ac:dyDescent="0.2">
      <c r="B24" s="1078"/>
      <c r="C24" s="2006"/>
      <c r="D24" s="2007"/>
      <c r="E24" s="2008"/>
      <c r="F24" s="2008"/>
      <c r="G24" s="2008"/>
      <c r="H24" s="2008"/>
      <c r="I24" s="2008"/>
      <c r="J24" s="2008"/>
      <c r="K24" s="2008"/>
      <c r="L24" s="2003"/>
      <c r="M24" s="2008"/>
    </row>
    <row r="25" spans="2:13" ht="20.100000000000001" customHeight="1" x14ac:dyDescent="0.2">
      <c r="B25" s="1078" t="s">
        <v>2108</v>
      </c>
      <c r="C25" s="2006"/>
      <c r="D25" s="2007"/>
      <c r="E25" s="2008"/>
      <c r="F25" s="2008"/>
      <c r="G25" s="2008"/>
      <c r="H25" s="2008"/>
      <c r="I25" s="2008"/>
      <c r="J25" s="2008"/>
      <c r="K25" s="2008"/>
      <c r="L25" s="2003"/>
      <c r="M25" s="2008"/>
    </row>
    <row r="26" spans="2:13" s="2020" customFormat="1" ht="20.100000000000001" customHeight="1" x14ac:dyDescent="0.2">
      <c r="B26" s="2004" t="s">
        <v>2109</v>
      </c>
      <c r="C26" s="2017"/>
      <c r="D26" s="2018"/>
      <c r="E26" s="2019"/>
      <c r="F26" s="2019"/>
      <c r="G26" s="2019"/>
      <c r="H26" s="2019"/>
      <c r="I26" s="2019"/>
      <c r="J26" s="2019"/>
      <c r="K26" s="2019"/>
      <c r="L26" s="2003"/>
      <c r="M26" s="2019"/>
    </row>
    <row r="27" spans="2:13" ht="20.100000000000001" customHeight="1" x14ac:dyDescent="0.2">
      <c r="B27" s="2005" t="s">
        <v>2110</v>
      </c>
      <c r="C27" s="2006"/>
      <c r="D27" s="2007"/>
      <c r="E27" s="2008"/>
      <c r="F27" s="2008"/>
      <c r="G27" s="2008"/>
      <c r="H27" s="2008"/>
      <c r="I27" s="2008"/>
      <c r="J27" s="2008"/>
      <c r="K27" s="2008"/>
      <c r="L27" s="2003"/>
      <c r="M27" s="2008"/>
    </row>
    <row r="28" spans="2:13" ht="20.100000000000001" customHeight="1" x14ac:dyDescent="0.2">
      <c r="B28" s="2009" t="s">
        <v>2111</v>
      </c>
      <c r="C28" s="2006">
        <v>84.027000000000001</v>
      </c>
      <c r="D28" s="2007" t="s">
        <v>2112</v>
      </c>
      <c r="E28" s="2008"/>
      <c r="F28" s="2008">
        <v>390226</v>
      </c>
      <c r="G28" s="2008"/>
      <c r="H28" s="2008"/>
      <c r="I28" s="2008">
        <v>390226</v>
      </c>
      <c r="J28" s="2008"/>
      <c r="K28" s="2008"/>
      <c r="L28" s="2003">
        <f t="shared" ref="L28:L31" si="3">+G28+I28+K28</f>
        <v>390226</v>
      </c>
      <c r="M28" s="2008"/>
    </row>
    <row r="29" spans="2:13" ht="20.100000000000001" customHeight="1" x14ac:dyDescent="0.2">
      <c r="B29" s="2009" t="s">
        <v>2111</v>
      </c>
      <c r="C29" s="2006">
        <v>84.027000000000001</v>
      </c>
      <c r="D29" s="2007" t="s">
        <v>2141</v>
      </c>
      <c r="E29" s="2008"/>
      <c r="F29" s="2008">
        <v>544844</v>
      </c>
      <c r="G29" s="2008"/>
      <c r="H29" s="2008"/>
      <c r="I29" s="2008">
        <v>544844</v>
      </c>
      <c r="J29" s="2008"/>
      <c r="K29" s="2008"/>
      <c r="L29" s="2003"/>
      <c r="M29" s="2008"/>
    </row>
    <row r="30" spans="2:13" ht="20.100000000000001" customHeight="1" x14ac:dyDescent="0.2">
      <c r="B30" s="2009" t="s">
        <v>2113</v>
      </c>
      <c r="C30" s="2006">
        <v>84.027000000000001</v>
      </c>
      <c r="D30" s="2007" t="s">
        <v>2114</v>
      </c>
      <c r="E30" s="2008"/>
      <c r="F30" s="2008">
        <v>38956</v>
      </c>
      <c r="G30" s="2008"/>
      <c r="H30" s="2008"/>
      <c r="I30" s="2008">
        <v>38956</v>
      </c>
      <c r="J30" s="2008"/>
      <c r="K30" s="2008"/>
      <c r="L30" s="2003">
        <f t="shared" si="3"/>
        <v>38956</v>
      </c>
      <c r="M30" s="2008"/>
    </row>
    <row r="31" spans="2:13" ht="20.100000000000001" customHeight="1" x14ac:dyDescent="0.2">
      <c r="B31" s="2009" t="s">
        <v>2115</v>
      </c>
      <c r="C31" s="2006">
        <v>84.173000000000002</v>
      </c>
      <c r="D31" s="2007" t="s">
        <v>2116</v>
      </c>
      <c r="E31" s="2008"/>
      <c r="F31" s="2008">
        <v>15512</v>
      </c>
      <c r="G31" s="2008"/>
      <c r="H31" s="2008"/>
      <c r="I31" s="2008">
        <v>15512</v>
      </c>
      <c r="J31" s="2008"/>
      <c r="K31" s="2008"/>
      <c r="L31" s="2003">
        <f t="shared" si="3"/>
        <v>15512</v>
      </c>
      <c r="M31" s="2008"/>
    </row>
    <row r="32" spans="2:13" ht="4.9000000000000004" customHeight="1" x14ac:dyDescent="0.2">
      <c r="B32" s="2009"/>
      <c r="C32" s="2006"/>
      <c r="D32" s="2007"/>
      <c r="E32" s="2008"/>
      <c r="F32" s="2008"/>
      <c r="G32" s="2008"/>
      <c r="H32" s="2008"/>
      <c r="I32" s="2008"/>
      <c r="J32" s="2008"/>
      <c r="K32" s="2008"/>
      <c r="L32" s="2003"/>
      <c r="M32" s="2008"/>
    </row>
    <row r="33" spans="2:13" s="2016" customFormat="1" ht="20.100000000000001" customHeight="1" x14ac:dyDescent="0.2">
      <c r="B33" s="2010" t="s">
        <v>2117</v>
      </c>
      <c r="C33" s="2014"/>
      <c r="D33" s="2015"/>
      <c r="E33" s="2011">
        <f t="shared" ref="E33:K33" si="4">SUM(E28:E32)</f>
        <v>0</v>
      </c>
      <c r="F33" s="2011">
        <f t="shared" si="4"/>
        <v>989538</v>
      </c>
      <c r="G33" s="2011">
        <f t="shared" si="4"/>
        <v>0</v>
      </c>
      <c r="H33" s="2011">
        <f t="shared" si="4"/>
        <v>0</v>
      </c>
      <c r="I33" s="2011">
        <f t="shared" si="4"/>
        <v>989538</v>
      </c>
      <c r="J33" s="2011">
        <f t="shared" si="4"/>
        <v>0</v>
      </c>
      <c r="K33" s="2011">
        <f t="shared" si="4"/>
        <v>0</v>
      </c>
      <c r="L33" s="2012">
        <f t="shared" ref="L33:L34" si="5">+G33+I33+K33</f>
        <v>989538</v>
      </c>
      <c r="M33" s="2011"/>
    </row>
    <row r="34" spans="2:13" s="2016" customFormat="1" ht="20.100000000000001" customHeight="1" x14ac:dyDescent="0.2">
      <c r="B34" s="2013" t="s">
        <v>2118</v>
      </c>
      <c r="C34" s="2014"/>
      <c r="D34" s="2015"/>
      <c r="E34" s="2011">
        <f>+E33</f>
        <v>0</v>
      </c>
      <c r="F34" s="2011">
        <f t="shared" ref="F34:K34" si="6">+F33</f>
        <v>989538</v>
      </c>
      <c r="G34" s="2011">
        <f t="shared" si="6"/>
        <v>0</v>
      </c>
      <c r="H34" s="2011">
        <f t="shared" si="6"/>
        <v>0</v>
      </c>
      <c r="I34" s="2011">
        <f t="shared" si="6"/>
        <v>989538</v>
      </c>
      <c r="J34" s="2011">
        <f t="shared" si="6"/>
        <v>0</v>
      </c>
      <c r="K34" s="2011">
        <f t="shared" si="6"/>
        <v>0</v>
      </c>
      <c r="L34" s="2003">
        <f t="shared" si="5"/>
        <v>989538</v>
      </c>
      <c r="M34" s="2011"/>
    </row>
    <row r="35" spans="2:13" ht="20.100000000000001" customHeight="1" x14ac:dyDescent="0.2">
      <c r="B35" s="2009"/>
      <c r="C35" s="2006"/>
      <c r="D35" s="2007"/>
      <c r="E35" s="2008"/>
      <c r="F35" s="2008"/>
      <c r="G35" s="2008"/>
      <c r="H35" s="2008"/>
      <c r="I35" s="2008"/>
      <c r="J35" s="2008"/>
      <c r="K35" s="2008"/>
      <c r="L35" s="2003"/>
      <c r="M35" s="2008"/>
    </row>
    <row r="36" spans="2:13" ht="20.100000000000001" customHeight="1" x14ac:dyDescent="0.2">
      <c r="B36" s="1078" t="s">
        <v>2119</v>
      </c>
      <c r="C36" s="2006"/>
      <c r="D36" s="2007"/>
      <c r="E36" s="2008"/>
      <c r="F36" s="2008"/>
      <c r="G36" s="2008"/>
      <c r="H36" s="2008"/>
      <c r="I36" s="2008"/>
      <c r="J36" s="2008"/>
      <c r="K36" s="2008"/>
      <c r="L36" s="2003"/>
      <c r="M36" s="2008"/>
    </row>
    <row r="37" spans="2:13" ht="20.100000000000001" customHeight="1" x14ac:dyDescent="0.2">
      <c r="B37" s="2004" t="s">
        <v>2109</v>
      </c>
      <c r="C37" s="2006"/>
      <c r="D37" s="2007"/>
      <c r="E37" s="2008"/>
      <c r="F37" s="2008"/>
      <c r="G37" s="2008"/>
      <c r="H37" s="2008"/>
      <c r="I37" s="2008"/>
      <c r="J37" s="2008"/>
      <c r="K37" s="2008"/>
      <c r="L37" s="2003"/>
      <c r="M37" s="2008"/>
    </row>
    <row r="38" spans="2:13" ht="20.100000000000001" customHeight="1" x14ac:dyDescent="0.2">
      <c r="B38" s="2005" t="s">
        <v>2098</v>
      </c>
      <c r="C38" s="2006"/>
      <c r="D38" s="2007"/>
      <c r="E38" s="2008"/>
      <c r="F38" s="2008"/>
      <c r="G38" s="2008"/>
      <c r="H38" s="2008"/>
      <c r="I38" s="2008"/>
      <c r="J38" s="2008"/>
      <c r="K38" s="2008"/>
      <c r="L38" s="2003"/>
      <c r="M38" s="2008"/>
    </row>
    <row r="39" spans="2:13" ht="20.100000000000001" customHeight="1" x14ac:dyDescent="0.2">
      <c r="B39" s="2009" t="s">
        <v>912</v>
      </c>
      <c r="C39" s="2006">
        <v>84.01</v>
      </c>
      <c r="D39" s="2007" t="s">
        <v>2120</v>
      </c>
      <c r="E39" s="2008"/>
      <c r="F39" s="2008">
        <v>75215</v>
      </c>
      <c r="G39" s="2008"/>
      <c r="H39" s="2008"/>
      <c r="I39" s="2008">
        <v>75215</v>
      </c>
      <c r="J39" s="2008"/>
      <c r="K39" s="2008"/>
      <c r="L39" s="2003">
        <f t="shared" ref="L39:L41" si="7">+G39+I39+K39</f>
        <v>75215</v>
      </c>
      <c r="M39" s="2008"/>
    </row>
    <row r="40" spans="2:13" ht="20.100000000000001" customHeight="1" x14ac:dyDescent="0.2">
      <c r="B40" s="2009" t="s">
        <v>912</v>
      </c>
      <c r="C40" s="2006">
        <v>84.01</v>
      </c>
      <c r="D40" s="2007" t="s">
        <v>2121</v>
      </c>
      <c r="E40" s="2008"/>
      <c r="F40" s="2008">
        <v>123978</v>
      </c>
      <c r="G40" s="2008"/>
      <c r="H40" s="2008"/>
      <c r="I40" s="2008">
        <v>123978</v>
      </c>
      <c r="J40" s="2008"/>
      <c r="K40" s="2008"/>
      <c r="L40" s="2003">
        <f t="shared" si="7"/>
        <v>123978</v>
      </c>
      <c r="M40" s="2008"/>
    </row>
    <row r="41" spans="2:13" ht="20.100000000000001" customHeight="1" x14ac:dyDescent="0.2">
      <c r="B41" s="2009" t="s">
        <v>2122</v>
      </c>
      <c r="C41" s="2006">
        <v>84.01</v>
      </c>
      <c r="D41" s="2007" t="s">
        <v>2123</v>
      </c>
      <c r="E41" s="2008"/>
      <c r="F41" s="2008"/>
      <c r="G41" s="2008"/>
      <c r="H41" s="2008"/>
      <c r="I41" s="2008"/>
      <c r="J41" s="2008"/>
      <c r="K41" s="2008"/>
      <c r="L41" s="2003">
        <f t="shared" si="7"/>
        <v>0</v>
      </c>
      <c r="M41" s="2008"/>
    </row>
    <row r="42" spans="2:13" ht="20.100000000000001" customHeight="1" x14ac:dyDescent="0.2">
      <c r="B42" s="2009" t="s">
        <v>753</v>
      </c>
      <c r="C42" s="2006">
        <v>84.367000000000004</v>
      </c>
      <c r="D42" s="2007" t="s">
        <v>2124</v>
      </c>
      <c r="E42" s="2008"/>
      <c r="F42" s="2008">
        <v>12996</v>
      </c>
      <c r="G42" s="2008"/>
      <c r="H42" s="2008"/>
      <c r="I42" s="2008">
        <v>12996</v>
      </c>
      <c r="J42" s="2008"/>
      <c r="K42" s="2008"/>
      <c r="L42" s="2003">
        <f t="shared" si="0"/>
        <v>12996</v>
      </c>
      <c r="M42" s="2008"/>
    </row>
    <row r="43" spans="2:13" ht="20.100000000000001" customHeight="1" x14ac:dyDescent="0.2">
      <c r="B43" s="2009" t="s">
        <v>753</v>
      </c>
      <c r="C43" s="2006">
        <v>84.367000000000004</v>
      </c>
      <c r="D43" s="2007" t="s">
        <v>2125</v>
      </c>
      <c r="E43" s="2008"/>
      <c r="F43" s="2008">
        <v>34825</v>
      </c>
      <c r="G43" s="2008"/>
      <c r="H43" s="2008"/>
      <c r="I43" s="2008">
        <v>34825</v>
      </c>
      <c r="J43" s="2008"/>
      <c r="K43" s="2008"/>
      <c r="L43" s="2003">
        <f t="shared" si="0"/>
        <v>34825</v>
      </c>
      <c r="M43" s="2008"/>
    </row>
    <row r="44" spans="2:13" ht="20.100000000000001" customHeight="1" x14ac:dyDescent="0.2">
      <c r="B44" s="2009" t="s">
        <v>1439</v>
      </c>
      <c r="C44" s="2006">
        <v>84.364999999999995</v>
      </c>
      <c r="D44" s="2007" t="s">
        <v>2126</v>
      </c>
      <c r="E44" s="2008"/>
      <c r="F44" s="2008">
        <v>3498</v>
      </c>
      <c r="G44" s="2008"/>
      <c r="H44" s="2008"/>
      <c r="I44" s="2008">
        <v>3498</v>
      </c>
      <c r="J44" s="2008"/>
      <c r="K44" s="2008"/>
      <c r="L44" s="2003">
        <f t="shared" si="0"/>
        <v>3498</v>
      </c>
      <c r="M44" s="2008"/>
    </row>
    <row r="45" spans="2:13" ht="20.100000000000001" customHeight="1" x14ac:dyDescent="0.2">
      <c r="B45" s="2009" t="s">
        <v>2127</v>
      </c>
      <c r="C45" s="2006">
        <v>84.364999999999995</v>
      </c>
      <c r="D45" s="2007" t="s">
        <v>2128</v>
      </c>
      <c r="E45" s="2008"/>
      <c r="F45" s="2008">
        <v>1479</v>
      </c>
      <c r="G45" s="2008"/>
      <c r="H45" s="2008"/>
      <c r="I45" s="2008">
        <v>1479</v>
      </c>
      <c r="J45" s="2008"/>
      <c r="K45" s="2008"/>
      <c r="L45" s="2003">
        <f t="shared" si="0"/>
        <v>1479</v>
      </c>
      <c r="M45" s="2008"/>
    </row>
    <row r="46" spans="2:13" ht="20.100000000000001" customHeight="1" x14ac:dyDescent="0.2">
      <c r="B46" s="2009" t="s">
        <v>2127</v>
      </c>
      <c r="C46" s="2006">
        <v>84.364999999999995</v>
      </c>
      <c r="D46" s="2007" t="s">
        <v>2129</v>
      </c>
      <c r="E46" s="2008"/>
      <c r="F46" s="2008">
        <v>15202</v>
      </c>
      <c r="G46" s="2008"/>
      <c r="H46" s="2008"/>
      <c r="I46" s="2008">
        <v>15202</v>
      </c>
      <c r="J46" s="2008"/>
      <c r="K46" s="2008"/>
      <c r="L46" s="2003">
        <f t="shared" si="0"/>
        <v>15202</v>
      </c>
      <c r="M46" s="2008"/>
    </row>
    <row r="47" spans="2:13" ht="21" customHeight="1" x14ac:dyDescent="0.2">
      <c r="B47" s="2009" t="s">
        <v>2130</v>
      </c>
      <c r="C47" s="2006" t="s">
        <v>2131</v>
      </c>
      <c r="D47" s="2007" t="s">
        <v>2132</v>
      </c>
      <c r="E47" s="2008"/>
      <c r="F47" s="2008">
        <v>11915</v>
      </c>
      <c r="G47" s="2008"/>
      <c r="H47" s="2008"/>
      <c r="I47" s="2008">
        <v>11915</v>
      </c>
      <c r="J47" s="2008"/>
      <c r="K47" s="2008"/>
      <c r="L47" s="2003">
        <f t="shared" si="0"/>
        <v>11915</v>
      </c>
      <c r="M47" s="2008"/>
    </row>
    <row r="48" spans="2:13" ht="21" customHeight="1" x14ac:dyDescent="0.2">
      <c r="B48" s="2009" t="s">
        <v>2130</v>
      </c>
      <c r="C48" s="2006" t="s">
        <v>2131</v>
      </c>
      <c r="D48" s="2007" t="s">
        <v>2133</v>
      </c>
      <c r="E48" s="2008"/>
      <c r="F48" s="2008">
        <v>12419</v>
      </c>
      <c r="G48" s="2008"/>
      <c r="H48" s="2008"/>
      <c r="I48" s="2008">
        <v>12419</v>
      </c>
      <c r="J48" s="2008"/>
      <c r="K48" s="2008"/>
      <c r="L48" s="2003">
        <f t="shared" si="0"/>
        <v>12419</v>
      </c>
      <c r="M48" s="2008"/>
    </row>
    <row r="49" spans="2:14" ht="21" customHeight="1" x14ac:dyDescent="0.2">
      <c r="B49" s="2009" t="s">
        <v>2134</v>
      </c>
      <c r="C49" s="2006">
        <v>84.424999999999997</v>
      </c>
      <c r="D49" s="2007" t="s">
        <v>2092</v>
      </c>
      <c r="E49" s="2008"/>
      <c r="F49" s="2008"/>
      <c r="G49" s="2008"/>
      <c r="H49" s="2008"/>
      <c r="I49" s="2008"/>
      <c r="J49" s="2008"/>
      <c r="K49" s="2008"/>
      <c r="L49" s="2003">
        <f t="shared" si="0"/>
        <v>0</v>
      </c>
      <c r="M49" s="2008"/>
    </row>
    <row r="50" spans="2:14" ht="4.9000000000000004" customHeight="1" x14ac:dyDescent="0.2">
      <c r="B50" s="2009"/>
      <c r="C50" s="2006"/>
      <c r="D50" s="2007"/>
      <c r="E50" s="2008"/>
      <c r="F50" s="2008"/>
      <c r="G50" s="2008"/>
      <c r="H50" s="2008"/>
      <c r="I50" s="2008"/>
      <c r="J50" s="2008"/>
      <c r="K50" s="2008"/>
      <c r="L50" s="2003"/>
      <c r="M50" s="2008"/>
    </row>
    <row r="51" spans="2:14" s="2016" customFormat="1" ht="20.100000000000001" customHeight="1" x14ac:dyDescent="0.2">
      <c r="B51" s="2010" t="s">
        <v>2117</v>
      </c>
      <c r="C51" s="2014"/>
      <c r="D51" s="2015"/>
      <c r="E51" s="2011">
        <f t="shared" ref="E51:K51" si="8">SUM(E39:E50)</f>
        <v>0</v>
      </c>
      <c r="F51" s="2011">
        <f t="shared" si="8"/>
        <v>291527</v>
      </c>
      <c r="G51" s="2011">
        <f t="shared" si="8"/>
        <v>0</v>
      </c>
      <c r="H51" s="2011">
        <f t="shared" si="8"/>
        <v>0</v>
      </c>
      <c r="I51" s="2011">
        <f>SUM(I39:I50)</f>
        <v>291527</v>
      </c>
      <c r="J51" s="2011">
        <f t="shared" si="8"/>
        <v>0</v>
      </c>
      <c r="K51" s="2011">
        <f t="shared" si="8"/>
        <v>0</v>
      </c>
      <c r="L51" s="2012">
        <f t="shared" si="0"/>
        <v>291527</v>
      </c>
      <c r="M51" s="2011"/>
    </row>
    <row r="52" spans="2:14" ht="20.100000000000001" customHeight="1" x14ac:dyDescent="0.2">
      <c r="B52" s="1078"/>
      <c r="C52" s="2006"/>
      <c r="D52" s="2007"/>
      <c r="E52" s="2008"/>
      <c r="F52" s="2008"/>
      <c r="G52" s="2008"/>
      <c r="H52" s="2008"/>
      <c r="I52" s="2008"/>
      <c r="J52" s="2008"/>
      <c r="K52" s="2008"/>
      <c r="L52" s="2003"/>
      <c r="M52" s="2008"/>
    </row>
    <row r="53" spans="2:14" ht="20.100000000000001" customHeight="1" x14ac:dyDescent="0.2">
      <c r="B53" s="2004" t="s">
        <v>2135</v>
      </c>
      <c r="C53" s="2006"/>
      <c r="D53" s="2007"/>
      <c r="E53" s="2008"/>
      <c r="F53" s="2008"/>
      <c r="G53" s="2008"/>
      <c r="H53" s="2008"/>
      <c r="I53" s="2008"/>
      <c r="J53" s="2008"/>
      <c r="K53" s="2008"/>
      <c r="L53" s="2003"/>
      <c r="M53" s="2008"/>
    </row>
    <row r="54" spans="2:14" ht="20.100000000000001" customHeight="1" x14ac:dyDescent="0.2">
      <c r="B54" s="2005" t="s">
        <v>2136</v>
      </c>
      <c r="C54" s="2006"/>
      <c r="D54" s="2007"/>
      <c r="E54" s="2008"/>
      <c r="F54" s="2008"/>
      <c r="G54" s="2008"/>
      <c r="H54" s="2008"/>
      <c r="I54" s="2008"/>
      <c r="J54" s="2008"/>
      <c r="K54" s="2008"/>
      <c r="L54" s="2003"/>
      <c r="M54" s="2008"/>
    </row>
    <row r="55" spans="2:14" ht="20.100000000000001" customHeight="1" x14ac:dyDescent="0.2">
      <c r="B55" s="2009" t="s">
        <v>2137</v>
      </c>
      <c r="C55" s="2006">
        <v>93.778000000000006</v>
      </c>
      <c r="D55" s="2007" t="s">
        <v>2092</v>
      </c>
      <c r="E55" s="2008"/>
      <c r="F55" s="2008">
        <v>16014</v>
      </c>
      <c r="G55" s="2008"/>
      <c r="H55" s="2008"/>
      <c r="I55" s="2008">
        <v>16014</v>
      </c>
      <c r="J55" s="2008"/>
      <c r="K55" s="2008"/>
      <c r="L55" s="2003">
        <f t="shared" si="0"/>
        <v>16014</v>
      </c>
      <c r="M55" s="2008"/>
    </row>
    <row r="56" spans="2:14" ht="4.9000000000000004" customHeight="1" x14ac:dyDescent="0.2">
      <c r="B56" s="2009"/>
      <c r="C56" s="2006"/>
      <c r="D56" s="2007"/>
      <c r="E56" s="2008"/>
      <c r="F56" s="2008"/>
      <c r="G56" s="2008"/>
      <c r="H56" s="2008"/>
      <c r="I56" s="2008"/>
      <c r="J56" s="2008"/>
      <c r="K56" s="2008"/>
      <c r="L56" s="2003"/>
      <c r="M56" s="2008"/>
    </row>
    <row r="57" spans="2:14" s="2016" customFormat="1" ht="20.100000000000001" customHeight="1" x14ac:dyDescent="0.2">
      <c r="B57" s="2010" t="s">
        <v>2138</v>
      </c>
      <c r="C57" s="2014"/>
      <c r="D57" s="2015"/>
      <c r="E57" s="2011">
        <f>SUM(E55:E56)</f>
        <v>0</v>
      </c>
      <c r="F57" s="2011">
        <f t="shared" ref="F57:K57" si="9">SUM(F55:F56)</f>
        <v>16014</v>
      </c>
      <c r="G57" s="2011">
        <f t="shared" si="9"/>
        <v>0</v>
      </c>
      <c r="H57" s="2011">
        <f t="shared" si="9"/>
        <v>0</v>
      </c>
      <c r="I57" s="2011">
        <f t="shared" si="9"/>
        <v>16014</v>
      </c>
      <c r="J57" s="2011">
        <f t="shared" si="9"/>
        <v>0</v>
      </c>
      <c r="K57" s="2011">
        <f t="shared" si="9"/>
        <v>0</v>
      </c>
      <c r="L57" s="2003">
        <f t="shared" si="0"/>
        <v>16014</v>
      </c>
      <c r="M57" s="2011"/>
    </row>
    <row r="58" spans="2:14" s="2016" customFormat="1" ht="20.100000000000001" customHeight="1" x14ac:dyDescent="0.2">
      <c r="B58" s="2013" t="s">
        <v>2139</v>
      </c>
      <c r="C58" s="2014"/>
      <c r="D58" s="2015"/>
      <c r="E58" s="2011">
        <f>+E51+E57</f>
        <v>0</v>
      </c>
      <c r="F58" s="2011">
        <f t="shared" ref="F58:K58" si="10">+F51+F57</f>
        <v>307541</v>
      </c>
      <c r="G58" s="2011">
        <f t="shared" si="10"/>
        <v>0</v>
      </c>
      <c r="H58" s="2011">
        <f t="shared" si="10"/>
        <v>0</v>
      </c>
      <c r="I58" s="2011">
        <f t="shared" si="10"/>
        <v>307541</v>
      </c>
      <c r="J58" s="2011">
        <f t="shared" si="10"/>
        <v>0</v>
      </c>
      <c r="K58" s="2011">
        <f t="shared" si="10"/>
        <v>0</v>
      </c>
      <c r="L58" s="2003">
        <f t="shared" si="0"/>
        <v>307541</v>
      </c>
      <c r="M58" s="2011"/>
    </row>
    <row r="59" spans="2:14" ht="20.100000000000001" customHeight="1" x14ac:dyDescent="0.2">
      <c r="B59" s="1078"/>
      <c r="C59" s="2006"/>
      <c r="D59" s="2007"/>
      <c r="E59" s="2008"/>
      <c r="F59" s="2008"/>
      <c r="G59" s="2008"/>
      <c r="H59" s="2008"/>
      <c r="I59" s="2008"/>
      <c r="J59" s="2008"/>
      <c r="K59" s="2008"/>
      <c r="L59" s="2003"/>
      <c r="M59" s="2008"/>
    </row>
    <row r="60" spans="2:14" s="2016" customFormat="1" ht="20.100000000000001" customHeight="1" x14ac:dyDescent="0.2">
      <c r="B60" s="2013" t="s">
        <v>2140</v>
      </c>
      <c r="C60" s="2014"/>
      <c r="D60" s="2015"/>
      <c r="E60" s="2011">
        <f t="shared" ref="E60:K60" si="11">+E58+E34+E23</f>
        <v>0</v>
      </c>
      <c r="F60" s="2011">
        <f t="shared" si="11"/>
        <v>1511548</v>
      </c>
      <c r="G60" s="2011">
        <f t="shared" si="11"/>
        <v>0</v>
      </c>
      <c r="H60" s="2011">
        <f t="shared" si="11"/>
        <v>0</v>
      </c>
      <c r="I60" s="2011">
        <f t="shared" si="11"/>
        <v>1511548</v>
      </c>
      <c r="J60" s="2011">
        <f t="shared" si="11"/>
        <v>0</v>
      </c>
      <c r="K60" s="2011">
        <f t="shared" si="11"/>
        <v>0</v>
      </c>
      <c r="L60" s="2012">
        <f t="shared" si="0"/>
        <v>1511548</v>
      </c>
      <c r="M60" s="2011"/>
    </row>
    <row r="61" spans="2:14" ht="12.75" customHeight="1" x14ac:dyDescent="0.2">
      <c r="B61" s="2021"/>
      <c r="C61" s="2022"/>
      <c r="D61" s="2023"/>
      <c r="E61" s="2024"/>
      <c r="F61" s="2024"/>
      <c r="G61" s="2024"/>
      <c r="H61" s="2024"/>
      <c r="I61" s="2024"/>
      <c r="J61" s="2024"/>
      <c r="K61" s="2024"/>
      <c r="L61" s="2024"/>
      <c r="M61" s="2024"/>
      <c r="N61" s="2025"/>
    </row>
    <row r="62" spans="2:14" x14ac:dyDescent="0.2">
      <c r="B62" s="998"/>
      <c r="C62" s="2026"/>
      <c r="D62" s="2027"/>
      <c r="E62" s="998"/>
      <c r="F62" s="998"/>
      <c r="G62" s="1007"/>
      <c r="H62" s="1007"/>
      <c r="I62" s="1007"/>
      <c r="J62" s="1007"/>
      <c r="K62" s="1007"/>
      <c r="L62" s="1007"/>
      <c r="M62" s="998"/>
      <c r="N62" s="2025"/>
    </row>
    <row r="63" spans="2:14" ht="13.5" customHeight="1" x14ac:dyDescent="0.2">
      <c r="B63" s="991" t="s">
        <v>1711</v>
      </c>
      <c r="C63" s="2026"/>
      <c r="D63" s="2027"/>
      <c r="E63" s="998"/>
      <c r="F63" s="998"/>
      <c r="G63" s="1007"/>
      <c r="H63" s="1007"/>
      <c r="I63" s="1007"/>
      <c r="J63" s="1007"/>
      <c r="K63" s="1007"/>
      <c r="L63" s="1007"/>
      <c r="M63" s="998"/>
      <c r="N63" s="2025"/>
    </row>
    <row r="64" spans="2:14" ht="8.25" customHeight="1" x14ac:dyDescent="0.2">
      <c r="B64" s="991"/>
      <c r="C64" s="2026"/>
      <c r="D64" s="2027"/>
      <c r="E64" s="998"/>
      <c r="F64" s="998"/>
      <c r="G64" s="1007"/>
      <c r="H64" s="1007"/>
      <c r="I64" s="1007"/>
      <c r="J64" s="1007"/>
      <c r="K64" s="1007"/>
      <c r="L64" s="1007"/>
      <c r="M64" s="998"/>
      <c r="N64" s="2025"/>
    </row>
    <row r="65" spans="2:13" x14ac:dyDescent="0.2">
      <c r="B65" s="2028" t="s">
        <v>1809</v>
      </c>
      <c r="C65" s="2029"/>
      <c r="D65" s="2030"/>
      <c r="E65" s="2031"/>
      <c r="F65" s="2031"/>
      <c r="G65" s="2031"/>
      <c r="H65" s="2031"/>
      <c r="I65" s="294"/>
      <c r="J65" s="294"/>
    </row>
    <row r="66" spans="2:13" x14ac:dyDescent="0.2">
      <c r="B66" s="2033"/>
      <c r="G66" s="294"/>
      <c r="H66" s="294"/>
      <c r="I66" s="294"/>
      <c r="J66" s="294"/>
    </row>
    <row r="67" spans="2:13" ht="13.5" customHeight="1" x14ac:dyDescent="0.2">
      <c r="B67" s="2033" t="s">
        <v>1235</v>
      </c>
      <c r="G67" s="294"/>
      <c r="H67" s="294"/>
      <c r="I67" s="294"/>
      <c r="J67" s="294"/>
    </row>
    <row r="68" spans="2:13" ht="13.5" customHeight="1" x14ac:dyDescent="0.2">
      <c r="B68" s="2036"/>
      <c r="C68" s="2037"/>
      <c r="D68" s="2038"/>
      <c r="E68" s="2039"/>
      <c r="F68" s="2039"/>
      <c r="G68" s="2039"/>
      <c r="H68" s="2039"/>
      <c r="I68" s="2039"/>
      <c r="J68" s="2039"/>
      <c r="K68" s="2040"/>
      <c r="L68" s="2040"/>
      <c r="M68" s="2039"/>
    </row>
    <row r="69" spans="2:13" ht="9.6" customHeight="1" x14ac:dyDescent="0.2">
      <c r="B69" s="2041"/>
      <c r="G69" s="294"/>
      <c r="H69" s="294"/>
      <c r="I69" s="294"/>
      <c r="J69" s="294"/>
    </row>
    <row r="70" spans="2:13" ht="11.25" customHeight="1" x14ac:dyDescent="0.2">
      <c r="B70" s="2042" t="s">
        <v>1712</v>
      </c>
      <c r="C70" s="2043"/>
      <c r="D70" s="2043"/>
      <c r="E70" s="2043"/>
      <c r="F70" s="2043"/>
      <c r="G70" s="2043"/>
      <c r="H70" s="2043"/>
      <c r="I70" s="2044"/>
      <c r="J70" s="2044"/>
      <c r="K70" s="2044"/>
      <c r="L70" s="2044"/>
      <c r="M70" s="2044"/>
    </row>
    <row r="71" spans="2:13" ht="11.25" customHeight="1" x14ac:dyDescent="0.2">
      <c r="B71" s="2045" t="s">
        <v>1567</v>
      </c>
      <c r="C71" s="2044"/>
      <c r="D71" s="2044"/>
      <c r="E71" s="2044"/>
      <c r="F71" s="2044"/>
      <c r="G71" s="2044"/>
      <c r="H71" s="2044"/>
      <c r="I71" s="2044"/>
      <c r="J71" s="2044"/>
      <c r="K71" s="2044"/>
      <c r="L71" s="2044"/>
      <c r="M71" s="2044"/>
    </row>
    <row r="72" spans="2:13" ht="4.1500000000000004" customHeight="1" x14ac:dyDescent="0.2">
      <c r="B72" s="2045"/>
      <c r="C72" s="2044"/>
      <c r="D72" s="2044"/>
      <c r="E72" s="2044"/>
      <c r="F72" s="2044"/>
      <c r="G72" s="2044"/>
      <c r="H72" s="2044"/>
      <c r="I72" s="2044"/>
      <c r="J72" s="2044"/>
      <c r="K72" s="2044"/>
      <c r="L72" s="2044"/>
      <c r="M72" s="2044"/>
    </row>
    <row r="73" spans="2:13" ht="11.25" customHeight="1" x14ac:dyDescent="0.2">
      <c r="B73" s="2042" t="s">
        <v>1713</v>
      </c>
      <c r="C73" s="2044"/>
      <c r="D73" s="2044"/>
      <c r="E73" s="2044"/>
      <c r="F73" s="2044"/>
      <c r="G73" s="2044"/>
      <c r="H73" s="2044"/>
      <c r="I73" s="2044"/>
      <c r="J73" s="2044"/>
      <c r="K73" s="2044"/>
      <c r="L73" s="2044"/>
      <c r="M73" s="2044"/>
    </row>
    <row r="74" spans="2:13" ht="11.25" customHeight="1" x14ac:dyDescent="0.2">
      <c r="B74" s="998" t="s">
        <v>1568</v>
      </c>
      <c r="C74" s="2026"/>
      <c r="D74" s="2027"/>
      <c r="E74" s="998"/>
      <c r="F74" s="998"/>
      <c r="G74" s="998"/>
      <c r="H74" s="998"/>
      <c r="I74" s="998"/>
      <c r="J74" s="998"/>
      <c r="K74" s="1007"/>
      <c r="L74" s="1007"/>
      <c r="M74" s="998"/>
    </row>
    <row r="75" spans="2:13" ht="4.1500000000000004" customHeight="1" x14ac:dyDescent="0.2">
      <c r="B75" s="998"/>
      <c r="C75" s="2026"/>
      <c r="D75" s="2027"/>
      <c r="E75" s="998"/>
      <c r="F75" s="998"/>
      <c r="G75" s="998"/>
      <c r="H75" s="998"/>
      <c r="I75" s="998"/>
      <c r="J75" s="998"/>
      <c r="K75" s="1007"/>
      <c r="L75" s="1007"/>
      <c r="M75" s="998"/>
    </row>
    <row r="76" spans="2:13" ht="11.25" customHeight="1" x14ac:dyDescent="0.2">
      <c r="B76" s="2046" t="s">
        <v>1714</v>
      </c>
      <c r="C76" s="2026"/>
      <c r="D76" s="2027"/>
      <c r="E76" s="998"/>
      <c r="F76" s="998"/>
      <c r="G76" s="998"/>
      <c r="H76" s="998"/>
      <c r="I76" s="998"/>
      <c r="J76" s="998"/>
      <c r="K76" s="1007"/>
      <c r="L76" s="1007"/>
      <c r="M76" s="998"/>
    </row>
    <row r="77" spans="2:13" ht="4.1500000000000004" customHeight="1" x14ac:dyDescent="0.2">
      <c r="B77" s="2046"/>
      <c r="C77" s="2026"/>
      <c r="D77" s="2027"/>
      <c r="E77" s="998"/>
      <c r="F77" s="998"/>
      <c r="G77" s="998"/>
      <c r="H77" s="998"/>
      <c r="I77" s="998"/>
      <c r="J77" s="998"/>
      <c r="K77" s="1007"/>
      <c r="L77" s="1007"/>
      <c r="M77" s="998"/>
    </row>
    <row r="78" spans="2:13" ht="11.25" customHeight="1" x14ac:dyDescent="0.2">
      <c r="B78" s="2047" t="s">
        <v>1715</v>
      </c>
      <c r="C78" s="2026"/>
      <c r="D78" s="2027"/>
      <c r="E78" s="998"/>
      <c r="F78" s="998"/>
      <c r="G78" s="998"/>
      <c r="H78" s="998"/>
      <c r="I78" s="998"/>
      <c r="J78" s="998"/>
      <c r="K78" s="1007"/>
      <c r="L78" s="1007"/>
      <c r="M78" s="998"/>
    </row>
    <row r="79" spans="2:13" ht="11.25" customHeight="1" x14ac:dyDescent="0.2">
      <c r="B79" s="998" t="s">
        <v>1569</v>
      </c>
      <c r="G79" s="294"/>
      <c r="H79" s="294"/>
      <c r="I79" s="294"/>
      <c r="J79" s="294"/>
    </row>
    <row r="80" spans="2:13" ht="11.1" customHeight="1" x14ac:dyDescent="0.2">
      <c r="B80" s="998"/>
      <c r="G80" s="294"/>
      <c r="H80" s="294"/>
      <c r="I80" s="294"/>
      <c r="J80" s="294"/>
    </row>
    <row r="81" spans="2:13" ht="11.1" customHeight="1" x14ac:dyDescent="0.2">
      <c r="B81" s="998"/>
      <c r="G81" s="294"/>
      <c r="H81" s="294"/>
      <c r="I81" s="294"/>
      <c r="J81" s="294"/>
    </row>
    <row r="82" spans="2:13" ht="13.5" customHeight="1" x14ac:dyDescent="0.2">
      <c r="M82" s="2048"/>
    </row>
    <row r="83" spans="2:13" ht="13.5" customHeight="1" x14ac:dyDescent="0.2">
      <c r="M83" s="2048"/>
    </row>
    <row r="84" spans="2:13" ht="13.5" customHeight="1" x14ac:dyDescent="0.2">
      <c r="M84" s="2048"/>
    </row>
    <row r="85" spans="2:13" ht="13.5" customHeight="1" x14ac:dyDescent="0.2">
      <c r="G85" s="294"/>
      <c r="H85" s="294"/>
      <c r="I85" s="294"/>
      <c r="J85" s="294"/>
    </row>
    <row r="86" spans="2:13" ht="13.5" customHeight="1" x14ac:dyDescent="0.2">
      <c r="G86" s="294"/>
      <c r="H86" s="294"/>
      <c r="I86" s="294"/>
      <c r="J86" s="294"/>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row r="93" spans="2:13" ht="13.5" customHeight="1" x14ac:dyDescent="0.2"/>
    <row r="94" spans="2:13" ht="13.5" customHeight="1" x14ac:dyDescent="0.2"/>
    <row r="95" spans="2:13" ht="25.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4.9000000000000004" customHeight="1" x14ac:dyDescent="0.2"/>
    <row r="145" ht="12.4"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4.9000000000000004" customHeight="1" x14ac:dyDescent="0.2"/>
    <row r="185"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10" zoomScale="120" zoomScaleNormal="120" workbookViewId="0">
      <selection activeCell="D6" sqref="D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Darien SD 61</v>
      </c>
      <c r="B1" s="2582"/>
      <c r="C1" s="2582"/>
      <c r="D1" s="2582"/>
      <c r="E1" s="2582"/>
      <c r="F1" s="2582"/>
    </row>
    <row r="2" spans="1:7" ht="13.5" customHeight="1" x14ac:dyDescent="0.2">
      <c r="A2" s="2583">
        <f>'Single Audit Cover'!E7</f>
        <v>19022061002</v>
      </c>
      <c r="B2" s="2583"/>
      <c r="C2" s="2583"/>
      <c r="D2" s="2583"/>
      <c r="E2" s="2583"/>
      <c r="F2" s="2583"/>
      <c r="G2" s="1051"/>
    </row>
    <row r="3" spans="1:7" ht="15.75" customHeight="1" x14ac:dyDescent="0.2">
      <c r="A3" s="2584" t="s">
        <v>1260</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52" t="s">
        <v>1705</v>
      </c>
      <c r="C6" s="295"/>
      <c r="D6" s="295"/>
    </row>
    <row r="7" spans="1:7" ht="60.95" customHeight="1" x14ac:dyDescent="0.2">
      <c r="A7" s="2581" t="s">
        <v>2142</v>
      </c>
      <c r="B7" s="2581"/>
      <c r="C7" s="2581"/>
      <c r="D7" s="2581"/>
      <c r="E7" s="2581"/>
      <c r="F7" s="258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1" t="s">
        <v>2143</v>
      </c>
      <c r="B13" s="2581"/>
      <c r="C13" s="2581"/>
      <c r="D13" s="2581"/>
      <c r="E13" s="2581"/>
      <c r="F13" s="2581"/>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t="s">
        <v>2092</v>
      </c>
      <c r="C17" s="1061"/>
      <c r="D17" s="2586"/>
      <c r="E17" s="2586"/>
      <c r="F17" s="2586"/>
    </row>
    <row r="18" spans="1:6" ht="20.65" customHeight="1" x14ac:dyDescent="0.2">
      <c r="A18" s="1059"/>
      <c r="B18" s="1060"/>
      <c r="C18" s="1061"/>
      <c r="D18" s="2586"/>
      <c r="E18" s="2586"/>
      <c r="F18" s="2586"/>
    </row>
    <row r="19" spans="1:6" ht="20.65" customHeight="1" x14ac:dyDescent="0.2">
      <c r="A19" s="1059"/>
      <c r="B19" s="1060"/>
      <c r="C19" s="1061"/>
      <c r="D19" s="2586"/>
      <c r="E19" s="2586"/>
      <c r="F19" s="2586"/>
    </row>
    <row r="20" spans="1:6" ht="20.65" customHeight="1" x14ac:dyDescent="0.2">
      <c r="A20" s="1059"/>
      <c r="B20" s="1060"/>
      <c r="C20" s="1061"/>
      <c r="D20" s="2586"/>
      <c r="E20" s="2586"/>
      <c r="F20" s="2586"/>
    </row>
    <row r="21" spans="1:6" ht="20.65" customHeight="1" x14ac:dyDescent="0.2">
      <c r="A21" s="1059"/>
      <c r="B21" s="1060"/>
      <c r="C21" s="1061"/>
      <c r="D21" s="2586"/>
      <c r="E21" s="2586"/>
      <c r="F21" s="2586"/>
    </row>
    <row r="22" spans="1:6" ht="20.65" customHeight="1" x14ac:dyDescent="0.2">
      <c r="A22" s="1059"/>
      <c r="B22" s="1060"/>
      <c r="C22" s="1061"/>
      <c r="D22" s="2586"/>
      <c r="E22" s="2586"/>
      <c r="F22" s="2586"/>
    </row>
    <row r="23" spans="1:6" ht="20.65" customHeight="1" x14ac:dyDescent="0.2">
      <c r="A23" s="1059"/>
      <c r="B23" s="1060"/>
      <c r="C23" s="1061"/>
      <c r="D23" s="2586"/>
      <c r="E23" s="2586"/>
      <c r="F23" s="2586"/>
    </row>
    <row r="24" spans="1:6" ht="20.65" customHeight="1" x14ac:dyDescent="0.2">
      <c r="A24" s="1059"/>
      <c r="B24" s="1060"/>
      <c r="C24" s="1061"/>
      <c r="D24" s="2586"/>
      <c r="E24" s="2586"/>
      <c r="F24" s="2586"/>
    </row>
    <row r="25" spans="1:6" ht="20.65" customHeight="1" x14ac:dyDescent="0.2">
      <c r="A25" s="1059"/>
      <c r="B25" s="1060"/>
      <c r="C25" s="1061"/>
      <c r="D25" s="2586"/>
      <c r="E25" s="2586"/>
      <c r="F25" s="2586"/>
    </row>
    <row r="26" spans="1:6" ht="20.65" customHeight="1" x14ac:dyDescent="0.2">
      <c r="A26" s="1059"/>
      <c r="B26" s="1060"/>
      <c r="C26" s="1061"/>
      <c r="D26" s="2586"/>
      <c r="E26" s="2586"/>
      <c r="F26" s="2586"/>
    </row>
    <row r="27" spans="1:6" ht="20.65" customHeight="1" x14ac:dyDescent="0.2">
      <c r="A27" s="1059"/>
      <c r="B27" s="1060"/>
      <c r="C27" s="1061"/>
      <c r="D27" s="2586"/>
      <c r="E27" s="2586"/>
      <c r="F27" s="2586"/>
    </row>
    <row r="28" spans="1:6" ht="20.65" customHeight="1" x14ac:dyDescent="0.2">
      <c r="A28" s="1059"/>
      <c r="B28" s="1060"/>
      <c r="C28" s="1061"/>
      <c r="D28" s="2586"/>
      <c r="E28" s="2586"/>
      <c r="F28" s="2586"/>
    </row>
    <row r="29" spans="1:6" ht="20.65" customHeight="1" x14ac:dyDescent="0.2">
      <c r="A29" s="1059"/>
      <c r="B29" s="1060"/>
      <c r="C29" s="1061"/>
      <c r="D29" s="2586"/>
      <c r="E29" s="2586"/>
      <c r="F29" s="2586"/>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90" t="s">
        <v>2144</v>
      </c>
      <c r="B32" s="2590"/>
      <c r="C32" s="2590"/>
      <c r="D32" s="2590"/>
      <c r="E32" s="2590"/>
      <c r="F32" s="2590"/>
    </row>
    <row r="33" spans="1:6" ht="13.5" customHeight="1" x14ac:dyDescent="0.2">
      <c r="A33" s="306" t="s">
        <v>1417</v>
      </c>
      <c r="B33" s="306"/>
      <c r="C33" s="1064">
        <f>' SEFA'!F18+' SEFA'!F19</f>
        <v>29432</v>
      </c>
      <c r="D33" s="1465"/>
      <c r="E33" s="1062"/>
    </row>
    <row r="34" spans="1:6" ht="13.5" customHeight="1" x14ac:dyDescent="0.2">
      <c r="A34" s="306" t="s">
        <v>1808</v>
      </c>
      <c r="B34" s="306"/>
      <c r="C34" s="1065">
        <v>0</v>
      </c>
      <c r="D34" s="1465" t="s">
        <v>1572</v>
      </c>
      <c r="E34" s="2591">
        <f>+C33+C34</f>
        <v>29432</v>
      </c>
      <c r="F34" s="2592"/>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3" t="s">
        <v>1573</v>
      </c>
      <c r="C49" s="2593"/>
      <c r="D49" s="2593"/>
      <c r="E49" s="1108"/>
    </row>
    <row r="50" spans="1:5" s="1076" customFormat="1" ht="3.75" customHeight="1" x14ac:dyDescent="0.2">
      <c r="A50" s="1075"/>
      <c r="B50" s="1414"/>
      <c r="C50" s="1414"/>
      <c r="D50" s="1414"/>
      <c r="E50" s="1108"/>
    </row>
    <row r="51" spans="1:5" s="1076" customFormat="1" ht="20.25" customHeight="1" x14ac:dyDescent="0.2">
      <c r="A51" s="1077">
        <v>6</v>
      </c>
      <c r="B51" s="2589" t="s">
        <v>1534</v>
      </c>
      <c r="C51" s="2589"/>
      <c r="D51" s="2589"/>
    </row>
    <row r="52" spans="1:5" ht="14.25" customHeight="1" x14ac:dyDescent="0.2">
      <c r="A52" s="1077"/>
      <c r="B52" s="2589"/>
      <c r="C52" s="2589"/>
      <c r="D52" s="258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D6" sqref="D6"/>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Darien SD 61</v>
      </c>
      <c r="C1" s="2599"/>
      <c r="D1" s="2599"/>
      <c r="E1" s="2599"/>
      <c r="F1" s="2599"/>
      <c r="G1" s="2599"/>
      <c r="H1" s="2599"/>
      <c r="I1" s="2599"/>
      <c r="J1" s="1118"/>
    </row>
    <row r="2" spans="2:10" s="295" customFormat="1" ht="12.75" customHeight="1" x14ac:dyDescent="0.2">
      <c r="B2" s="2600">
        <f>'Single Audit Cover'!E7</f>
        <v>19022061002</v>
      </c>
      <c r="C2" s="2601"/>
      <c r="D2" s="2601"/>
      <c r="E2" s="2601"/>
      <c r="F2" s="2601"/>
      <c r="G2" s="2601"/>
      <c r="H2" s="2601"/>
      <c r="I2" s="2601"/>
      <c r="J2" s="1118"/>
    </row>
    <row r="3" spans="2:10" s="295" customFormat="1" ht="12.75" customHeight="1" x14ac:dyDescent="0.2">
      <c r="B3" s="2602" t="s">
        <v>1274</v>
      </c>
      <c r="C3" s="2603"/>
      <c r="D3" s="2603"/>
      <c r="E3" s="2603"/>
      <c r="F3" s="2603"/>
      <c r="G3" s="2603"/>
      <c r="H3" s="2603"/>
      <c r="I3" s="2603"/>
      <c r="J3" s="1119"/>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2" t="s">
        <v>1273</v>
      </c>
      <c r="C7" s="2603"/>
      <c r="D7" s="2603"/>
      <c r="E7" s="2603"/>
      <c r="F7" s="2603"/>
      <c r="G7" s="2603"/>
      <c r="H7" s="2603"/>
      <c r="I7" s="2603"/>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04" t="s">
        <v>2145</v>
      </c>
      <c r="D11" s="2604"/>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2048</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2048</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2048</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2048</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2048</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05" t="s">
        <v>2145</v>
      </c>
      <c r="E29" s="2605"/>
      <c r="F29" s="2605"/>
      <c r="G29" s="2605"/>
      <c r="H29" s="2605"/>
      <c r="I29" s="2605"/>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2048</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06" t="s">
        <v>1725</v>
      </c>
      <c r="D37" s="2607"/>
      <c r="E37" s="2607"/>
      <c r="F37" s="2608"/>
      <c r="G37" s="2606" t="s">
        <v>1575</v>
      </c>
      <c r="H37" s="2607"/>
      <c r="I37" s="2608"/>
    </row>
    <row r="38" spans="2:9" ht="16.5" customHeight="1" x14ac:dyDescent="0.2">
      <c r="B38" s="1140" t="s">
        <v>2146</v>
      </c>
      <c r="C38" s="2594" t="s">
        <v>2108</v>
      </c>
      <c r="D38" s="2595"/>
      <c r="E38" s="2595"/>
      <c r="F38" s="2596"/>
      <c r="G38" s="2609">
        <f>' SEFA'!I33</f>
        <v>989538</v>
      </c>
      <c r="H38" s="2610"/>
      <c r="I38" s="2611"/>
    </row>
    <row r="39" spans="2:9" ht="16.5" customHeight="1" x14ac:dyDescent="0.2">
      <c r="B39" s="1140"/>
      <c r="C39" s="2594"/>
      <c r="D39" s="2595"/>
      <c r="E39" s="2595"/>
      <c r="F39" s="2596"/>
      <c r="G39" s="2597"/>
      <c r="H39" s="2597"/>
      <c r="I39" s="2597"/>
    </row>
    <row r="40" spans="2:9" ht="16.5" customHeight="1" x14ac:dyDescent="0.2">
      <c r="B40" s="1140"/>
      <c r="C40" s="2594"/>
      <c r="D40" s="2595"/>
      <c r="E40" s="2595"/>
      <c r="F40" s="2596"/>
      <c r="G40" s="2597"/>
      <c r="H40" s="2597"/>
      <c r="I40" s="2597"/>
    </row>
    <row r="41" spans="2:9" ht="16.5" customHeight="1" x14ac:dyDescent="0.2">
      <c r="B41" s="1140"/>
      <c r="C41" s="2594"/>
      <c r="D41" s="2595"/>
      <c r="E41" s="2595"/>
      <c r="F41" s="2596"/>
      <c r="G41" s="2597"/>
      <c r="H41" s="2597"/>
      <c r="I41" s="2597"/>
    </row>
    <row r="42" spans="2:9" ht="16.5" customHeight="1" x14ac:dyDescent="0.2">
      <c r="B42" s="1140"/>
      <c r="C42" s="2594"/>
      <c r="D42" s="2595"/>
      <c r="E42" s="2595"/>
      <c r="F42" s="2596"/>
      <c r="G42" s="2597"/>
      <c r="H42" s="2597"/>
      <c r="I42" s="2597"/>
    </row>
    <row r="43" spans="2:9" ht="16.5" customHeight="1" x14ac:dyDescent="0.2">
      <c r="B43" s="1140"/>
      <c r="C43" s="2612" t="s">
        <v>1576</v>
      </c>
      <c r="D43" s="2613"/>
      <c r="E43" s="2613"/>
      <c r="F43" s="2614"/>
      <c r="G43" s="2615">
        <f>SUM(G38:I42)</f>
        <v>989538</v>
      </c>
      <c r="H43" s="2615"/>
      <c r="I43" s="2615"/>
    </row>
    <row r="44" spans="2:9" ht="12.75" customHeight="1" x14ac:dyDescent="0.2"/>
    <row r="45" spans="2:9" ht="12.75" customHeight="1" x14ac:dyDescent="0.2">
      <c r="B45" s="1845" t="str">
        <f>"Total Federal Expenditures for 7/1/"&amp;MID('AFR20'!E2,3,2)-1&amp;"-6/30/"&amp;MID('AFR20'!E2,3,2)</f>
        <v>Total Federal Expenditures for 7/1/19-6/30/20</v>
      </c>
      <c r="C45" s="1846"/>
      <c r="D45" s="2616">
        <f>' SEFA'!I60</f>
        <v>1511548</v>
      </c>
      <c r="E45" s="2617"/>
    </row>
    <row r="46" spans="2:9" ht="5.25" customHeight="1" x14ac:dyDescent="0.2">
      <c r="B46" s="1141"/>
      <c r="D46" s="1142"/>
      <c r="E46" s="1143"/>
    </row>
    <row r="47" spans="2:9" ht="12.75" customHeight="1" x14ac:dyDescent="0.2">
      <c r="B47" s="1076" t="s">
        <v>1577</v>
      </c>
      <c r="C47" s="1076"/>
      <c r="D47" s="1144">
        <f>+G43/D45</f>
        <v>0.65465205206847554</v>
      </c>
      <c r="E47" s="1145"/>
      <c r="F47" s="1146"/>
      <c r="I47" s="1147"/>
    </row>
    <row r="48" spans="2:9" ht="9.9499999999999993" customHeight="1" x14ac:dyDescent="0.2"/>
    <row r="49" spans="1:9" x14ac:dyDescent="0.2">
      <c r="B49" s="1082" t="s">
        <v>1262</v>
      </c>
      <c r="C49" s="1058"/>
      <c r="D49" s="1058"/>
      <c r="E49" s="2618">
        <v>750000</v>
      </c>
      <c r="F49" s="2618"/>
      <c r="G49" s="2618"/>
      <c r="H49" s="300"/>
    </row>
    <row r="51" spans="1:9" ht="13.5" customHeight="1" x14ac:dyDescent="0.2">
      <c r="B51" s="1082" t="s">
        <v>1261</v>
      </c>
      <c r="C51" s="1058"/>
      <c r="E51" s="1134"/>
      <c r="F51" s="1076" t="s">
        <v>879</v>
      </c>
      <c r="G51" s="1134" t="s">
        <v>2048</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Darien SD 61</v>
      </c>
      <c r="C1" s="2598"/>
      <c r="D1" s="2598"/>
      <c r="E1" s="2598"/>
      <c r="F1" s="2598"/>
      <c r="G1" s="2598"/>
      <c r="H1" s="2598"/>
      <c r="I1" s="2598"/>
      <c r="J1" s="2598"/>
      <c r="K1" s="2598"/>
      <c r="L1" s="1084"/>
      <c r="M1" s="1084"/>
    </row>
    <row r="2" spans="1:13" ht="12" customHeight="1" x14ac:dyDescent="0.2">
      <c r="B2" s="2600">
        <f>'Single Audit Cover'!E7</f>
        <v>19022061002</v>
      </c>
      <c r="C2" s="2600"/>
      <c r="D2" s="2600"/>
      <c r="E2" s="2600"/>
      <c r="F2" s="2600"/>
      <c r="G2" s="2600"/>
      <c r="H2" s="2600"/>
      <c r="I2" s="2600"/>
      <c r="J2" s="2600"/>
      <c r="K2" s="2600"/>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47" t="str">
        <f>'AFR20'!$E$2&amp;"-"</f>
        <v>2020-</v>
      </c>
      <c r="D10" s="1095" t="s">
        <v>2092</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Darien SD 61</v>
      </c>
      <c r="C1" s="2625"/>
      <c r="D1" s="2625"/>
      <c r="E1" s="2625"/>
      <c r="F1" s="2625"/>
      <c r="G1" s="2625"/>
      <c r="H1" s="2625"/>
      <c r="I1" s="2625"/>
      <c r="J1" s="2625"/>
      <c r="K1" s="2625"/>
      <c r="L1" s="1161"/>
    </row>
    <row r="2" spans="1:12" ht="12.75" customHeight="1" x14ac:dyDescent="0.2">
      <c r="B2" s="2626">
        <f>'Single Audit Cover'!E7</f>
        <v>19022061002</v>
      </c>
      <c r="C2" s="2626"/>
      <c r="D2" s="2626"/>
      <c r="E2" s="2626"/>
      <c r="F2" s="2626"/>
      <c r="G2" s="2626"/>
      <c r="H2" s="2626"/>
      <c r="I2" s="2626"/>
      <c r="J2" s="2626"/>
      <c r="K2" s="2626"/>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47" t="str">
        <f>'AFR20'!$E$2&amp;"-"</f>
        <v>2020-</v>
      </c>
      <c r="D8" s="1163" t="s">
        <v>2092</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05"/>
      <c r="G12" s="2605"/>
      <c r="H12" s="2605"/>
      <c r="I12" s="2605"/>
      <c r="J12" s="2605"/>
      <c r="K12" s="2605"/>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8"/>
      <c r="E14" s="2628"/>
      <c r="F14" s="2628"/>
      <c r="H14" s="1170" t="s">
        <v>1292</v>
      </c>
      <c r="I14" s="2629"/>
      <c r="J14" s="2629"/>
      <c r="K14" s="2629"/>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9"/>
      <c r="E16" s="2629"/>
      <c r="F16" s="2629"/>
      <c r="G16" s="2629"/>
      <c r="H16" s="2629"/>
      <c r="I16" s="2629"/>
      <c r="J16" s="2629"/>
      <c r="K16" s="2629"/>
      <c r="L16" s="300"/>
    </row>
    <row r="17" spans="2:12" ht="13.5" customHeight="1" x14ac:dyDescent="0.2">
      <c r="B17" s="1096" t="s">
        <v>1290</v>
      </c>
      <c r="C17" s="1096"/>
      <c r="D17" s="2630"/>
      <c r="E17" s="2630"/>
      <c r="F17" s="2630"/>
      <c r="G17" s="2630"/>
      <c r="H17" s="2630"/>
      <c r="I17" s="2630"/>
      <c r="J17" s="2630"/>
      <c r="K17" s="2630"/>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8" t="str">
        <f>'Single Audit Cover'!A7</f>
        <v xml:space="preserve">  Darien SD 61</v>
      </c>
      <c r="C1" s="2598"/>
      <c r="D1" s="2598"/>
      <c r="E1" s="1180"/>
    </row>
    <row r="2" spans="2:5" s="1058" customFormat="1" ht="12.75" customHeight="1" x14ac:dyDescent="0.2">
      <c r="B2" s="2600">
        <f>'Single Audit Cover'!E7</f>
        <v>19022061002</v>
      </c>
      <c r="C2" s="2600"/>
      <c r="D2" s="2600"/>
      <c r="E2" s="1181"/>
    </row>
    <row r="3" spans="2:5" ht="12.75" customHeight="1" x14ac:dyDescent="0.2">
      <c r="B3" s="2621" t="s">
        <v>1740</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4d435f69-8686-490b-bd6d-b153bf22ab50"/>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d21dc803-237d-4c68-8692-8d731fd29118"/>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2020-11-19T14:20:24Z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