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F878CCE-E2FA-442D-8B5D-03160A49BC77}"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2" sheetId="179" state="hidden" r:id="rId28"/>
    <sheet name="SEFA" sheetId="188"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3" hidden="1">'AFR20'!$A$1:$F$7884</definedName>
    <definedName name="_xlnm.Print_Area" localSheetId="27">' SEFA-2'!$B$1:$M$46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73" i="188" l="1"/>
  <c r="N73" i="188"/>
  <c r="L73" i="188"/>
  <c r="P72" i="188"/>
  <c r="M72" i="188"/>
  <c r="K72" i="188"/>
  <c r="M71" i="188"/>
  <c r="P71" i="188" s="1"/>
  <c r="K71" i="188"/>
  <c r="F71" i="188"/>
  <c r="F72" i="188" s="1"/>
  <c r="P70" i="188"/>
  <c r="M70" i="188"/>
  <c r="K70" i="188"/>
  <c r="M69" i="188"/>
  <c r="M73" i="188" s="1"/>
  <c r="L69" i="188"/>
  <c r="P69" i="188" s="1"/>
  <c r="K69" i="188"/>
  <c r="K73" i="188" s="1"/>
  <c r="J69" i="188"/>
  <c r="J73" i="188" s="1"/>
  <c r="F69" i="188"/>
  <c r="F70" i="188" s="1"/>
  <c r="O67" i="188"/>
  <c r="N67" i="188"/>
  <c r="M67" i="188"/>
  <c r="L67" i="188"/>
  <c r="J67" i="188"/>
  <c r="P66" i="188"/>
  <c r="M66" i="188"/>
  <c r="K66" i="188"/>
  <c r="P65" i="188"/>
  <c r="P67" i="188" s="1"/>
  <c r="M65" i="188"/>
  <c r="K65" i="188"/>
  <c r="K67" i="188" s="1"/>
  <c r="F65" i="188"/>
  <c r="F66" i="188" s="1"/>
  <c r="P62" i="188"/>
  <c r="M62" i="188"/>
  <c r="K62" i="188"/>
  <c r="M61" i="188"/>
  <c r="P61" i="188" s="1"/>
  <c r="K61" i="188"/>
  <c r="F61" i="188"/>
  <c r="F62" i="188" s="1"/>
  <c r="P60" i="188"/>
  <c r="M60" i="188"/>
  <c r="K60" i="188"/>
  <c r="M59" i="188"/>
  <c r="P59" i="188" s="1"/>
  <c r="K59" i="188"/>
  <c r="F59" i="188"/>
  <c r="F60" i="188" s="1"/>
  <c r="P58" i="188"/>
  <c r="M58" i="188"/>
  <c r="K58" i="188"/>
  <c r="M57" i="188"/>
  <c r="P57" i="188" s="1"/>
  <c r="K57" i="188"/>
  <c r="F57" i="188"/>
  <c r="F58" i="188" s="1"/>
  <c r="P56" i="188"/>
  <c r="M56" i="188"/>
  <c r="K56" i="188"/>
  <c r="M55" i="188"/>
  <c r="P55" i="188" s="1"/>
  <c r="K55" i="188"/>
  <c r="F55" i="188"/>
  <c r="F56" i="188" s="1"/>
  <c r="P54" i="188"/>
  <c r="M54" i="188"/>
  <c r="K54" i="188"/>
  <c r="M53" i="188"/>
  <c r="P53" i="188" s="1"/>
  <c r="K53" i="188"/>
  <c r="F53" i="188"/>
  <c r="F54" i="188" s="1"/>
  <c r="P52" i="188"/>
  <c r="M52" i="188"/>
  <c r="K52" i="188"/>
  <c r="M51" i="188"/>
  <c r="L51" i="188"/>
  <c r="P51" i="188" s="1"/>
  <c r="K51" i="188"/>
  <c r="J51" i="188"/>
  <c r="F51" i="188"/>
  <c r="F52" i="188" s="1"/>
  <c r="P50" i="188"/>
  <c r="M50" i="188"/>
  <c r="K50" i="188"/>
  <c r="F50" i="188"/>
  <c r="M49" i="188"/>
  <c r="L49" i="188"/>
  <c r="P49" i="188" s="1"/>
  <c r="K49" i="188"/>
  <c r="J49" i="188"/>
  <c r="F49" i="188"/>
  <c r="M48" i="188"/>
  <c r="P48" i="188" s="1"/>
  <c r="K48" i="188"/>
  <c r="P47" i="188"/>
  <c r="M47" i="188"/>
  <c r="L47" i="188"/>
  <c r="K47" i="188"/>
  <c r="J47" i="188"/>
  <c r="F47" i="188"/>
  <c r="F48" i="188" s="1"/>
  <c r="M46" i="188"/>
  <c r="P46" i="188" s="1"/>
  <c r="K46" i="188"/>
  <c r="M45" i="188"/>
  <c r="P45" i="188" s="1"/>
  <c r="L45" i="188"/>
  <c r="K45" i="188"/>
  <c r="J45" i="188"/>
  <c r="F45" i="188"/>
  <c r="F46" i="188" s="1"/>
  <c r="P44" i="188"/>
  <c r="M44" i="188"/>
  <c r="K44" i="188"/>
  <c r="M43" i="188"/>
  <c r="P43" i="188" s="1"/>
  <c r="K43" i="188"/>
  <c r="F43" i="188"/>
  <c r="F44" i="188" s="1"/>
  <c r="P42" i="188"/>
  <c r="M42" i="188"/>
  <c r="K42" i="188"/>
  <c r="M41" i="188"/>
  <c r="L41" i="188"/>
  <c r="P41" i="188" s="1"/>
  <c r="K41" i="188"/>
  <c r="J41" i="188"/>
  <c r="F41" i="188"/>
  <c r="F42" i="188" s="1"/>
  <c r="O39" i="188"/>
  <c r="O63" i="188" s="1"/>
  <c r="N39" i="188"/>
  <c r="N63" i="188" s="1"/>
  <c r="M39" i="188"/>
  <c r="M63" i="188" s="1"/>
  <c r="P38" i="188"/>
  <c r="M38" i="188"/>
  <c r="K38" i="188"/>
  <c r="P37" i="188"/>
  <c r="M37" i="188"/>
  <c r="L37" i="188"/>
  <c r="K37" i="188"/>
  <c r="J37" i="188"/>
  <c r="F37" i="188"/>
  <c r="F38" i="188" s="1"/>
  <c r="P36" i="188"/>
  <c r="M36" i="188"/>
  <c r="K36" i="188"/>
  <c r="F36" i="188"/>
  <c r="M35" i="188"/>
  <c r="P35" i="188" s="1"/>
  <c r="L35" i="188"/>
  <c r="K35" i="188"/>
  <c r="J35" i="188"/>
  <c r="F35" i="188"/>
  <c r="P34" i="188"/>
  <c r="M34" i="188"/>
  <c r="K34" i="188"/>
  <c r="K39" i="188" s="1"/>
  <c r="K63" i="188" s="1"/>
  <c r="F34" i="188"/>
  <c r="P33" i="188"/>
  <c r="M33" i="188"/>
  <c r="L33" i="188"/>
  <c r="K33" i="188"/>
  <c r="J33" i="188"/>
  <c r="J39" i="188" s="1"/>
  <c r="J63" i="188" s="1"/>
  <c r="F33" i="188"/>
  <c r="M32" i="188"/>
  <c r="P32" i="188" s="1"/>
  <c r="K32" i="188"/>
  <c r="M31" i="188"/>
  <c r="L31" i="188"/>
  <c r="P31" i="188" s="1"/>
  <c r="K31" i="188"/>
  <c r="J31" i="188"/>
  <c r="F31" i="188"/>
  <c r="F32" i="188" s="1"/>
  <c r="O28" i="188"/>
  <c r="O74" i="188" s="1"/>
  <c r="N28" i="188"/>
  <c r="N74" i="188" s="1"/>
  <c r="P27" i="188"/>
  <c r="M27" i="188"/>
  <c r="K27" i="188"/>
  <c r="M26" i="188"/>
  <c r="L26" i="188"/>
  <c r="P26" i="188" s="1"/>
  <c r="K26" i="188"/>
  <c r="J26" i="188"/>
  <c r="F26" i="188"/>
  <c r="F27" i="188" s="1"/>
  <c r="O25" i="188"/>
  <c r="N25" i="188"/>
  <c r="M25" i="188"/>
  <c r="M28" i="188" s="1"/>
  <c r="P24" i="188"/>
  <c r="M24" i="188"/>
  <c r="K24" i="188"/>
  <c r="P23" i="188"/>
  <c r="M23" i="188"/>
  <c r="L23" i="188"/>
  <c r="K23" i="188"/>
  <c r="J23" i="188"/>
  <c r="F23" i="188"/>
  <c r="F24" i="188" s="1"/>
  <c r="P22" i="188"/>
  <c r="M22" i="188"/>
  <c r="K22" i="188"/>
  <c r="M21" i="188"/>
  <c r="P21" i="188" s="1"/>
  <c r="K21" i="188"/>
  <c r="F21" i="188"/>
  <c r="F22" i="188" s="1"/>
  <c r="P20" i="188"/>
  <c r="M20" i="188"/>
  <c r="K20" i="188"/>
  <c r="M19" i="188"/>
  <c r="P19" i="188" s="1"/>
  <c r="K19" i="188"/>
  <c r="F19" i="188"/>
  <c r="F20" i="188" s="1"/>
  <c r="P18" i="188"/>
  <c r="M18" i="188"/>
  <c r="K18" i="188"/>
  <c r="F18" i="188"/>
  <c r="M17" i="188"/>
  <c r="P17" i="188" s="1"/>
  <c r="L17" i="188"/>
  <c r="K17" i="188"/>
  <c r="J17" i="188"/>
  <c r="F17" i="188"/>
  <c r="P16" i="188"/>
  <c r="M16" i="188"/>
  <c r="K16" i="188"/>
  <c r="K25" i="188" s="1"/>
  <c r="K28" i="188" s="1"/>
  <c r="F16" i="188"/>
  <c r="P15" i="188"/>
  <c r="M15" i="188"/>
  <c r="L15" i="188"/>
  <c r="L25" i="188" s="1"/>
  <c r="L28" i="188" s="1"/>
  <c r="K15" i="188"/>
  <c r="J15" i="188"/>
  <c r="J25" i="188" s="1"/>
  <c r="J28" i="188" s="1"/>
  <c r="F15" i="188"/>
  <c r="M11" i="188"/>
  <c r="L11" i="188"/>
  <c r="M10" i="188"/>
  <c r="L10" i="188"/>
  <c r="A2" i="188"/>
  <c r="A1" i="188"/>
  <c r="P73" i="188" l="1"/>
  <c r="P25" i="188"/>
  <c r="P28" i="188" s="1"/>
  <c r="P39" i="188"/>
  <c r="P63" i="188" s="1"/>
  <c r="J74" i="188"/>
  <c r="K74" i="188"/>
  <c r="M74" i="188"/>
  <c r="L39" i="188"/>
  <c r="L63" i="188" s="1"/>
  <c r="L74" i="188" s="1"/>
  <c r="P74" i="188" l="1"/>
  <c r="H361" i="29" l="1"/>
  <c r="H354" i="29"/>
  <c r="D351" i="29"/>
  <c r="E349" i="29"/>
  <c r="F348" i="29"/>
  <c r="H338" i="29"/>
  <c r="J329" i="29"/>
  <c r="L328" i="29"/>
  <c r="C328" i="29"/>
  <c r="D327" i="29"/>
  <c r="E326" i="29"/>
  <c r="F325" i="29"/>
  <c r="G324" i="29"/>
  <c r="H323" i="29"/>
  <c r="I322" i="29"/>
  <c r="J321" i="29"/>
  <c r="L320" i="29"/>
  <c r="C320" i="29"/>
  <c r="D319" i="29"/>
  <c r="E308" i="29"/>
  <c r="J302" i="29"/>
  <c r="L301" i="29"/>
  <c r="C301" i="29"/>
  <c r="L289" i="29"/>
  <c r="L282" i="29"/>
  <c r="L275" i="29"/>
  <c r="L269" i="29"/>
  <c r="L265" i="29"/>
  <c r="L259" i="29"/>
  <c r="L253" i="29"/>
  <c r="L249" i="29"/>
  <c r="L245" i="29"/>
  <c r="L237" i="29"/>
  <c r="L233" i="29"/>
  <c r="L226" i="29"/>
  <c r="L222" i="29"/>
  <c r="L218" i="29"/>
  <c r="L209" i="29"/>
  <c r="H203" i="29"/>
  <c r="H199" i="29"/>
  <c r="H192" i="29"/>
  <c r="L189" i="29"/>
  <c r="I185" i="29"/>
  <c r="J183" i="29"/>
  <c r="L182" i="29"/>
  <c r="C182" i="29"/>
  <c r="D180" i="29"/>
  <c r="L169" i="29"/>
  <c r="L164" i="29"/>
  <c r="L157" i="29"/>
  <c r="H145" i="29"/>
  <c r="H138" i="29"/>
  <c r="L134" i="29"/>
  <c r="I130" i="29"/>
  <c r="J128" i="29"/>
  <c r="L126" i="29"/>
  <c r="F125" i="29"/>
  <c r="G124" i="29"/>
  <c r="H123" i="29"/>
  <c r="I122" i="29"/>
  <c r="J120" i="29"/>
  <c r="L113" i="29"/>
  <c r="H107" i="29"/>
  <c r="L99" i="29"/>
  <c r="H96" i="29"/>
  <c r="H91" i="29"/>
  <c r="H87" i="29"/>
  <c r="L82" i="29"/>
  <c r="E80" i="29"/>
  <c r="J75" i="29"/>
  <c r="L73" i="29"/>
  <c r="C73" i="29"/>
  <c r="D71" i="29"/>
  <c r="E70" i="29"/>
  <c r="F69" i="29"/>
  <c r="G68" i="29"/>
  <c r="H67" i="29"/>
  <c r="I64" i="29"/>
  <c r="J63" i="29"/>
  <c r="L62" i="29"/>
  <c r="C62" i="29"/>
  <c r="D61" i="29"/>
  <c r="E60" i="29"/>
  <c r="F59" i="29"/>
  <c r="G56" i="29"/>
  <c r="H55" i="29"/>
  <c r="I52" i="29"/>
  <c r="J51" i="29"/>
  <c r="L50" i="29"/>
  <c r="C50" i="29"/>
  <c r="D49" i="29"/>
  <c r="E46" i="29"/>
  <c r="F45" i="29"/>
  <c r="G44" i="29"/>
  <c r="H41" i="29"/>
  <c r="I40" i="29"/>
  <c r="J39" i="29"/>
  <c r="L38" i="29"/>
  <c r="C38" i="29"/>
  <c r="D37" i="29"/>
  <c r="E36" i="29"/>
  <c r="H30" i="29"/>
  <c r="H26" i="29"/>
  <c r="H22" i="29"/>
  <c r="H19" i="29"/>
  <c r="I18" i="29"/>
  <c r="J17" i="29"/>
  <c r="L16" i="29"/>
  <c r="C16" i="29"/>
  <c r="D15" i="29"/>
  <c r="E14" i="29"/>
  <c r="F13" i="29"/>
  <c r="G12" i="29"/>
  <c r="H11" i="29"/>
  <c r="I10" i="29"/>
  <c r="J9" i="29"/>
  <c r="L8" i="29"/>
  <c r="C8" i="29"/>
  <c r="D7" i="29"/>
  <c r="G5" i="29"/>
  <c r="F265" i="5"/>
  <c r="F263" i="5"/>
  <c r="F261" i="5"/>
  <c r="F259" i="5"/>
  <c r="L360" i="29"/>
  <c r="L351" i="29"/>
  <c r="C351" i="29"/>
  <c r="D349" i="29"/>
  <c r="E348" i="29"/>
  <c r="L337" i="29"/>
  <c r="I329" i="29"/>
  <c r="J328" i="29"/>
  <c r="L327" i="29"/>
  <c r="C327" i="29"/>
  <c r="D326" i="29"/>
  <c r="E325" i="29"/>
  <c r="F324" i="29"/>
  <c r="G323" i="29"/>
  <c r="H322" i="29"/>
  <c r="I321" i="29"/>
  <c r="J320" i="29"/>
  <c r="L319" i="29"/>
  <c r="C319" i="29"/>
  <c r="L307" i="29"/>
  <c r="I302" i="29"/>
  <c r="J301" i="29"/>
  <c r="L294" i="29"/>
  <c r="H289" i="29"/>
  <c r="D282" i="29"/>
  <c r="D275" i="29"/>
  <c r="D269" i="29"/>
  <c r="D265" i="29"/>
  <c r="D259" i="29"/>
  <c r="D253" i="29"/>
  <c r="D249" i="29"/>
  <c r="D245" i="29"/>
  <c r="D237" i="29"/>
  <c r="D233" i="29"/>
  <c r="D226" i="29"/>
  <c r="D222" i="29"/>
  <c r="D218" i="29"/>
  <c r="L207" i="29"/>
  <c r="L202" i="29"/>
  <c r="L195" i="29"/>
  <c r="E192" i="29"/>
  <c r="H189" i="29"/>
  <c r="H185" i="29"/>
  <c r="I183" i="29"/>
  <c r="J182" i="29"/>
  <c r="L180" i="29"/>
  <c r="C180" i="29"/>
  <c r="H169" i="29"/>
  <c r="H164" i="29"/>
  <c r="H157" i="29"/>
  <c r="L144" i="29"/>
  <c r="E138" i="29"/>
  <c r="H134" i="29"/>
  <c r="H130" i="29"/>
  <c r="I128" i="29"/>
  <c r="I126" i="29"/>
  <c r="E125" i="29"/>
  <c r="F124" i="29"/>
  <c r="G123" i="29"/>
  <c r="H122" i="29"/>
  <c r="I120" i="29"/>
  <c r="L111" i="29"/>
  <c r="L106" i="29"/>
  <c r="H99" i="29"/>
  <c r="L95" i="29"/>
  <c r="L90" i="29"/>
  <c r="L86" i="29"/>
  <c r="H82" i="29"/>
  <c r="L79" i="29"/>
  <c r="I75" i="29"/>
  <c r="J73" i="29"/>
  <c r="L71" i="29"/>
  <c r="C71" i="29"/>
  <c r="D70" i="29"/>
  <c r="E69" i="29"/>
  <c r="F68" i="29"/>
  <c r="G67" i="29"/>
  <c r="H64" i="29"/>
  <c r="I63" i="29"/>
  <c r="J62" i="29"/>
  <c r="L61" i="29"/>
  <c r="C61" i="29"/>
  <c r="D60" i="29"/>
  <c r="E59" i="29"/>
  <c r="F56" i="29"/>
  <c r="G55" i="29"/>
  <c r="H52" i="29"/>
  <c r="I51" i="29"/>
  <c r="J50" i="29"/>
  <c r="L49" i="29"/>
  <c r="C49" i="29"/>
  <c r="D46" i="29"/>
  <c r="E45" i="29"/>
  <c r="F44" i="29"/>
  <c r="G41" i="29"/>
  <c r="H40" i="29"/>
  <c r="I39" i="29"/>
  <c r="J38" i="29"/>
  <c r="L37" i="29"/>
  <c r="C37" i="29"/>
  <c r="D36" i="29"/>
  <c r="L29" i="29"/>
  <c r="L25" i="29"/>
  <c r="L21" i="29"/>
  <c r="G19" i="29"/>
  <c r="H18" i="29"/>
  <c r="I17" i="29"/>
  <c r="J16" i="29"/>
  <c r="L15" i="29"/>
  <c r="C15" i="29"/>
  <c r="D14" i="29"/>
  <c r="E13" i="29"/>
  <c r="F12" i="29"/>
  <c r="G11" i="29"/>
  <c r="H10" i="29"/>
  <c r="I9" i="29"/>
  <c r="J8" i="29"/>
  <c r="L7" i="29"/>
  <c r="C7" i="29"/>
  <c r="L366" i="29"/>
  <c r="H360" i="29"/>
  <c r="J351" i="29"/>
  <c r="L349" i="29"/>
  <c r="C349" i="29"/>
  <c r="D348" i="29"/>
  <c r="H337" i="29"/>
  <c r="H329" i="29"/>
  <c r="I328" i="29"/>
  <c r="J327" i="29"/>
  <c r="L326" i="29"/>
  <c r="C326" i="29"/>
  <c r="D325" i="29"/>
  <c r="E324" i="29"/>
  <c r="F323" i="29"/>
  <c r="G322" i="29"/>
  <c r="H321" i="29"/>
  <c r="I320" i="29"/>
  <c r="J319" i="29"/>
  <c r="L311" i="29"/>
  <c r="H307" i="29"/>
  <c r="H302" i="29"/>
  <c r="I301" i="29"/>
  <c r="L292" i="29"/>
  <c r="L288" i="29"/>
  <c r="L280" i="29"/>
  <c r="L274" i="29"/>
  <c r="L268" i="29"/>
  <c r="L264" i="29"/>
  <c r="L256" i="29"/>
  <c r="L252" i="29"/>
  <c r="L248" i="29"/>
  <c r="L242" i="29"/>
  <c r="L236" i="29"/>
  <c r="L232" i="29"/>
  <c r="L225" i="29"/>
  <c r="L221" i="29"/>
  <c r="L217" i="29"/>
  <c r="H207" i="29"/>
  <c r="H202" i="29"/>
  <c r="H195" i="29"/>
  <c r="L191" i="29"/>
  <c r="E189" i="29"/>
  <c r="G185" i="29"/>
  <c r="H183" i="29"/>
  <c r="I182" i="29"/>
  <c r="J180" i="29"/>
  <c r="L173" i="29"/>
  <c r="L167" i="29"/>
  <c r="L163" i="29"/>
  <c r="L150" i="29"/>
  <c r="H144" i="29"/>
  <c r="L136" i="29"/>
  <c r="E134" i="29"/>
  <c r="G130" i="29"/>
  <c r="H128" i="29"/>
  <c r="G126" i="29"/>
  <c r="D125" i="29"/>
  <c r="E124" i="29"/>
  <c r="F123" i="29"/>
  <c r="G122" i="29"/>
  <c r="H120" i="29"/>
  <c r="H111" i="29"/>
  <c r="H106" i="29"/>
  <c r="E99" i="29"/>
  <c r="H95" i="29"/>
  <c r="H90" i="29"/>
  <c r="H86" i="29"/>
  <c r="E82" i="29"/>
  <c r="H79" i="29"/>
  <c r="H75" i="29"/>
  <c r="I73" i="29"/>
  <c r="J71" i="29"/>
  <c r="L70" i="29"/>
  <c r="C70" i="29"/>
  <c r="D69" i="29"/>
  <c r="E68" i="29"/>
  <c r="F67" i="29"/>
  <c r="G64" i="29"/>
  <c r="H63" i="29"/>
  <c r="I62" i="29"/>
  <c r="J61" i="29"/>
  <c r="L60" i="29"/>
  <c r="C60" i="29"/>
  <c r="D59" i="29"/>
  <c r="E56" i="29"/>
  <c r="F55" i="29"/>
  <c r="G52" i="29"/>
  <c r="H51" i="29"/>
  <c r="I50" i="29"/>
  <c r="J49" i="29"/>
  <c r="L46" i="29"/>
  <c r="C46" i="29"/>
  <c r="D45" i="29"/>
  <c r="E44" i="29"/>
  <c r="F41" i="29"/>
  <c r="G40" i="29"/>
  <c r="H39" i="29"/>
  <c r="I38" i="29"/>
  <c r="J37" i="29"/>
  <c r="L36" i="29"/>
  <c r="C36" i="29"/>
  <c r="H29" i="29"/>
  <c r="H25" i="29"/>
  <c r="H21" i="29"/>
  <c r="F19" i="29"/>
  <c r="G18" i="29"/>
  <c r="H17" i="29"/>
  <c r="I16" i="29"/>
  <c r="J15" i="29"/>
  <c r="L14" i="29"/>
  <c r="C14" i="29"/>
  <c r="D13" i="29"/>
  <c r="E12" i="29"/>
  <c r="F11" i="29"/>
  <c r="G10" i="29"/>
  <c r="H9" i="29"/>
  <c r="I8" i="29"/>
  <c r="J7" i="29"/>
  <c r="L6" i="29"/>
  <c r="E5" i="29"/>
  <c r="C265" i="5"/>
  <c r="C263" i="5"/>
  <c r="C261" i="5"/>
  <c r="C259" i="5"/>
  <c r="C257" i="5"/>
  <c r="F254" i="5"/>
  <c r="L364" i="29"/>
  <c r="L356" i="29"/>
  <c r="I351" i="29"/>
  <c r="J349" i="29"/>
  <c r="L348" i="29"/>
  <c r="C348" i="29"/>
  <c r="L333" i="29"/>
  <c r="G329" i="29"/>
  <c r="H328" i="29"/>
  <c r="I327" i="29"/>
  <c r="J326" i="29"/>
  <c r="L325" i="29"/>
  <c r="C325" i="29"/>
  <c r="D324" i="29"/>
  <c r="E323" i="29"/>
  <c r="F322" i="29"/>
  <c r="G321" i="29"/>
  <c r="H320" i="29"/>
  <c r="I319" i="29"/>
  <c r="L309" i="29"/>
  <c r="E307" i="29"/>
  <c r="G302" i="29"/>
  <c r="H301" i="29"/>
  <c r="H292" i="29"/>
  <c r="H288" i="29"/>
  <c r="D280" i="29"/>
  <c r="D274" i="29"/>
  <c r="D268" i="29"/>
  <c r="D264" i="29"/>
  <c r="D256" i="29"/>
  <c r="D252" i="29"/>
  <c r="D248" i="29"/>
  <c r="D242" i="29"/>
  <c r="D236" i="29"/>
  <c r="D232" i="29"/>
  <c r="D225" i="29"/>
  <c r="D221" i="29"/>
  <c r="D217" i="29"/>
  <c r="L206" i="29"/>
  <c r="L201" i="29"/>
  <c r="E195" i="29"/>
  <c r="H191" i="29"/>
  <c r="L188" i="29"/>
  <c r="F185" i="29"/>
  <c r="G183" i="29"/>
  <c r="H182" i="29"/>
  <c r="I180" i="29"/>
  <c r="L171" i="29"/>
  <c r="H167" i="29"/>
  <c r="H163" i="29"/>
  <c r="L148" i="29"/>
  <c r="L143" i="29"/>
  <c r="H136" i="29"/>
  <c r="L133" i="29"/>
  <c r="F130" i="29"/>
  <c r="G128" i="29"/>
  <c r="L125" i="29"/>
  <c r="C125" i="29"/>
  <c r="D124" i="29"/>
  <c r="E123" i="29"/>
  <c r="F122" i="29"/>
  <c r="G120" i="29"/>
  <c r="L109" i="29"/>
  <c r="L105" i="29"/>
  <c r="L98" i="29"/>
  <c r="L94" i="29"/>
  <c r="L89" i="29"/>
  <c r="L85" i="29"/>
  <c r="L81" i="29"/>
  <c r="E79" i="29"/>
  <c r="G75" i="29"/>
  <c r="H73" i="29"/>
  <c r="I71" i="29"/>
  <c r="J70" i="29"/>
  <c r="L69" i="29"/>
  <c r="C69" i="29"/>
  <c r="D68" i="29"/>
  <c r="E67" i="29"/>
  <c r="F64" i="29"/>
  <c r="G63" i="29"/>
  <c r="H62" i="29"/>
  <c r="I61" i="29"/>
  <c r="J60" i="29"/>
  <c r="L59" i="29"/>
  <c r="C59" i="29"/>
  <c r="D56" i="29"/>
  <c r="E55" i="29"/>
  <c r="F52" i="29"/>
  <c r="G51" i="29"/>
  <c r="H50" i="29"/>
  <c r="I49" i="29"/>
  <c r="J46" i="29"/>
  <c r="L45" i="29"/>
  <c r="C45" i="29"/>
  <c r="D44" i="29"/>
  <c r="E41" i="29"/>
  <c r="F40" i="29"/>
  <c r="G39" i="29"/>
  <c r="H38" i="29"/>
  <c r="I37" i="29"/>
  <c r="J36" i="29"/>
  <c r="L32" i="29"/>
  <c r="L28" i="29"/>
  <c r="L24" i="29"/>
  <c r="L20" i="29"/>
  <c r="E19" i="29"/>
  <c r="F18" i="29"/>
  <c r="G17" i="29"/>
  <c r="H16" i="29"/>
  <c r="I15" i="29"/>
  <c r="J14" i="29"/>
  <c r="L13" i="29"/>
  <c r="C13" i="29"/>
  <c r="D12" i="29"/>
  <c r="E11" i="29"/>
  <c r="F10" i="29"/>
  <c r="G9" i="29"/>
  <c r="H8" i="29"/>
  <c r="I7" i="29"/>
  <c r="E6" i="29"/>
  <c r="D5" i="29"/>
  <c r="H364" i="29"/>
  <c r="H356" i="29"/>
  <c r="H351" i="29"/>
  <c r="I349" i="29"/>
  <c r="J348" i="29"/>
  <c r="L341" i="29"/>
  <c r="H333" i="29"/>
  <c r="F329" i="29"/>
  <c r="G328" i="29"/>
  <c r="H327" i="29"/>
  <c r="I326" i="29"/>
  <c r="J325" i="29"/>
  <c r="L324" i="29"/>
  <c r="C324" i="29"/>
  <c r="D323" i="29"/>
  <c r="E322" i="29"/>
  <c r="F321" i="29"/>
  <c r="G320" i="29"/>
  <c r="H319" i="29"/>
  <c r="H309" i="29"/>
  <c r="L306" i="29"/>
  <c r="F302" i="29"/>
  <c r="G301" i="29"/>
  <c r="L291" i="29"/>
  <c r="L284" i="29"/>
  <c r="L278" i="29"/>
  <c r="L273" i="29"/>
  <c r="L267" i="29"/>
  <c r="L263" i="29"/>
  <c r="L255" i="29"/>
  <c r="L251" i="29"/>
  <c r="L247" i="29"/>
  <c r="L241" i="29"/>
  <c r="L235" i="29"/>
  <c r="L228" i="29"/>
  <c r="L224" i="29"/>
  <c r="L220" i="29"/>
  <c r="L216" i="29"/>
  <c r="H206" i="29"/>
  <c r="H201" i="29"/>
  <c r="L193" i="29"/>
  <c r="E191" i="29"/>
  <c r="H188" i="29"/>
  <c r="E185" i="29"/>
  <c r="F183" i="29"/>
  <c r="G182" i="29"/>
  <c r="H180" i="29"/>
  <c r="H171" i="29"/>
  <c r="L166" i="29"/>
  <c r="L159" i="29"/>
  <c r="H148" i="29"/>
  <c r="H143" i="29"/>
  <c r="E136" i="29"/>
  <c r="H133" i="29"/>
  <c r="E130" i="29"/>
  <c r="F128" i="29"/>
  <c r="J125" i="29"/>
  <c r="L124" i="29"/>
  <c r="C124" i="29"/>
  <c r="D123" i="29"/>
  <c r="E122" i="29"/>
  <c r="F120" i="29"/>
  <c r="H109" i="29"/>
  <c r="H105" i="29"/>
  <c r="H98" i="29"/>
  <c r="H94" i="29"/>
  <c r="H89" i="29"/>
  <c r="H85" i="29"/>
  <c r="H81" i="29"/>
  <c r="L78" i="29"/>
  <c r="F75" i="29"/>
  <c r="G73" i="29"/>
  <c r="H71" i="29"/>
  <c r="I70" i="29"/>
  <c r="J69" i="29"/>
  <c r="L68" i="29"/>
  <c r="C68" i="29"/>
  <c r="D67" i="29"/>
  <c r="E64" i="29"/>
  <c r="F63" i="29"/>
  <c r="G62" i="29"/>
  <c r="H61" i="29"/>
  <c r="I60" i="29"/>
  <c r="J59" i="29"/>
  <c r="L56" i="29"/>
  <c r="C56" i="29"/>
  <c r="D55" i="29"/>
  <c r="E52" i="29"/>
  <c r="F51" i="29"/>
  <c r="G50" i="29"/>
  <c r="H49" i="29"/>
  <c r="I46" i="29"/>
  <c r="J45" i="29"/>
  <c r="L44" i="29"/>
  <c r="C44" i="29"/>
  <c r="D41" i="29"/>
  <c r="E40" i="29"/>
  <c r="F39" i="29"/>
  <c r="G38" i="29"/>
  <c r="H37" i="29"/>
  <c r="I36" i="29"/>
  <c r="H32" i="29"/>
  <c r="H28" i="29"/>
  <c r="H24" i="29"/>
  <c r="H20" i="29"/>
  <c r="D19" i="29"/>
  <c r="E18" i="29"/>
  <c r="F17" i="29"/>
  <c r="L363" i="29"/>
  <c r="L355" i="29"/>
  <c r="G351" i="29"/>
  <c r="H349" i="29"/>
  <c r="I348" i="29"/>
  <c r="L339" i="29"/>
  <c r="L332" i="29"/>
  <c r="E329" i="29"/>
  <c r="F328" i="29"/>
  <c r="G327" i="29"/>
  <c r="H326" i="29"/>
  <c r="I325" i="29"/>
  <c r="J324" i="29"/>
  <c r="L323" i="29"/>
  <c r="C323" i="29"/>
  <c r="D322" i="29"/>
  <c r="E321" i="29"/>
  <c r="F320" i="29"/>
  <c r="G319" i="29"/>
  <c r="E309" i="29"/>
  <c r="H306" i="29"/>
  <c r="E302" i="29"/>
  <c r="F301" i="29"/>
  <c r="H291" i="29"/>
  <c r="D284" i="29"/>
  <c r="D278" i="29"/>
  <c r="D273" i="29"/>
  <c r="D267" i="29"/>
  <c r="D263" i="29"/>
  <c r="D255" i="29"/>
  <c r="D251" i="29"/>
  <c r="D247" i="29"/>
  <c r="D241" i="29"/>
  <c r="D235" i="29"/>
  <c r="D228" i="29"/>
  <c r="D224" i="29"/>
  <c r="D220" i="29"/>
  <c r="D216" i="29"/>
  <c r="L205" i="29"/>
  <c r="L200" i="29"/>
  <c r="H193" i="29"/>
  <c r="L190" i="29"/>
  <c r="E188" i="29"/>
  <c r="D185" i="29"/>
  <c r="E183" i="29"/>
  <c r="F182" i="29"/>
  <c r="G180" i="29"/>
  <c r="E171" i="29"/>
  <c r="H166" i="29"/>
  <c r="H159" i="29"/>
  <c r="L146" i="29"/>
  <c r="L142" i="29"/>
  <c r="L135" i="29"/>
  <c r="E133" i="29"/>
  <c r="D130" i="29"/>
  <c r="E128" i="29"/>
  <c r="I125" i="29"/>
  <c r="J124" i="29"/>
  <c r="L123" i="29"/>
  <c r="C123" i="29"/>
  <c r="D122" i="29"/>
  <c r="E120" i="29"/>
  <c r="L108" i="29"/>
  <c r="L101" i="29"/>
  <c r="L97" i="29"/>
  <c r="L93" i="29"/>
  <c r="L88" i="29"/>
  <c r="L83" i="29"/>
  <c r="E81" i="29"/>
  <c r="H78" i="29"/>
  <c r="E75" i="29"/>
  <c r="F73" i="29"/>
  <c r="G71" i="29"/>
  <c r="H70" i="29"/>
  <c r="I69" i="29"/>
  <c r="J68" i="29"/>
  <c r="L67" i="29"/>
  <c r="C67" i="29"/>
  <c r="D64" i="29"/>
  <c r="E63" i="29"/>
  <c r="F62" i="29"/>
  <c r="G61" i="29"/>
  <c r="H60" i="29"/>
  <c r="I59" i="29"/>
  <c r="J56" i="29"/>
  <c r="L55" i="29"/>
  <c r="C55" i="29"/>
  <c r="D52" i="29"/>
  <c r="E51" i="29"/>
  <c r="F50" i="29"/>
  <c r="G49" i="29"/>
  <c r="H46" i="29"/>
  <c r="I45" i="29"/>
  <c r="J44" i="29"/>
  <c r="L41" i="29"/>
  <c r="C41" i="29"/>
  <c r="D40" i="29"/>
  <c r="E39" i="29"/>
  <c r="F38" i="29"/>
  <c r="G37" i="29"/>
  <c r="H36" i="29"/>
  <c r="L31" i="29"/>
  <c r="L27" i="29"/>
  <c r="L23" i="29"/>
  <c r="L19" i="29"/>
  <c r="C19" i="29"/>
  <c r="D18" i="29"/>
  <c r="E17" i="29"/>
  <c r="F16" i="29"/>
  <c r="G15" i="29"/>
  <c r="H14" i="29"/>
  <c r="I13" i="29"/>
  <c r="J12" i="29"/>
  <c r="L11" i="29"/>
  <c r="C11" i="29"/>
  <c r="D10" i="29"/>
  <c r="E9" i="29"/>
  <c r="F8" i="29"/>
  <c r="G7" i="29"/>
  <c r="J5" i="29"/>
  <c r="K265" i="5"/>
  <c r="D264" i="5"/>
  <c r="D262" i="5"/>
  <c r="D260" i="5"/>
  <c r="H363" i="29"/>
  <c r="H355" i="29"/>
  <c r="F351" i="29"/>
  <c r="G349" i="29"/>
  <c r="H348" i="29"/>
  <c r="H339" i="29"/>
  <c r="H332" i="29"/>
  <c r="D329" i="29"/>
  <c r="E328" i="29"/>
  <c r="F327" i="29"/>
  <c r="G326" i="29"/>
  <c r="H325" i="29"/>
  <c r="I324" i="29"/>
  <c r="J323" i="29"/>
  <c r="L322" i="29"/>
  <c r="C322" i="29"/>
  <c r="D321" i="29"/>
  <c r="E320" i="29"/>
  <c r="F319" i="29"/>
  <c r="L308" i="29"/>
  <c r="E306" i="29"/>
  <c r="D302" i="29"/>
  <c r="E301" i="29"/>
  <c r="L290" i="29"/>
  <c r="L283" i="29"/>
  <c r="L276" i="29"/>
  <c r="L272" i="29"/>
  <c r="L266" i="29"/>
  <c r="L260" i="29"/>
  <c r="L254" i="29"/>
  <c r="L250" i="29"/>
  <c r="L246" i="29"/>
  <c r="L240" i="29"/>
  <c r="L234" i="29"/>
  <c r="L227" i="29"/>
  <c r="L223" i="29"/>
  <c r="L219" i="29"/>
  <c r="L215" i="29"/>
  <c r="H205" i="29"/>
  <c r="H200" i="29"/>
  <c r="E193" i="29"/>
  <c r="H190" i="29"/>
  <c r="L185" i="29"/>
  <c r="C185" i="29"/>
  <c r="D183" i="29"/>
  <c r="E182" i="29"/>
  <c r="F180" i="29"/>
  <c r="L170" i="29"/>
  <c r="L165" i="29"/>
  <c r="L158" i="29"/>
  <c r="H146" i="29"/>
  <c r="H142" i="29"/>
  <c r="H135" i="29"/>
  <c r="L130" i="29"/>
  <c r="C130" i="29"/>
  <c r="D128" i="29"/>
  <c r="H125" i="29"/>
  <c r="I124" i="29"/>
  <c r="J123" i="29"/>
  <c r="L122" i="29"/>
  <c r="C122" i="29"/>
  <c r="D120" i="29"/>
  <c r="H108" i="29"/>
  <c r="H101" i="29"/>
  <c r="H97" i="29"/>
  <c r="H93" i="29"/>
  <c r="H88" i="29"/>
  <c r="H83" i="29"/>
  <c r="L80" i="29"/>
  <c r="E78" i="29"/>
  <c r="D75" i="29"/>
  <c r="E73" i="29"/>
  <c r="F71" i="29"/>
  <c r="G70" i="29"/>
  <c r="H69" i="29"/>
  <c r="I68" i="29"/>
  <c r="J67" i="29"/>
  <c r="L64" i="29"/>
  <c r="C64" i="29"/>
  <c r="D63" i="29"/>
  <c r="E62" i="29"/>
  <c r="F61" i="29"/>
  <c r="G60" i="29"/>
  <c r="H59" i="29"/>
  <c r="I56" i="29"/>
  <c r="J55" i="29"/>
  <c r="L52" i="29"/>
  <c r="C52" i="29"/>
  <c r="D51" i="29"/>
  <c r="E50" i="29"/>
  <c r="F49" i="29"/>
  <c r="G46" i="29"/>
  <c r="H45" i="29"/>
  <c r="I44" i="29"/>
  <c r="J41" i="29"/>
  <c r="L40" i="29"/>
  <c r="C40" i="29"/>
  <c r="D39" i="29"/>
  <c r="E38" i="29"/>
  <c r="F37" i="29"/>
  <c r="G36" i="29"/>
  <c r="H31" i="29"/>
  <c r="H27" i="29"/>
  <c r="H23" i="29"/>
  <c r="J19" i="29"/>
  <c r="L18" i="29"/>
  <c r="C18" i="29"/>
  <c r="D17" i="29"/>
  <c r="E16" i="29"/>
  <c r="F15" i="29"/>
  <c r="G14" i="29"/>
  <c r="H13" i="29"/>
  <c r="I12" i="29"/>
  <c r="J11" i="29"/>
  <c r="L10" i="29"/>
  <c r="C10" i="29"/>
  <c r="D9" i="29"/>
  <c r="E8" i="29"/>
  <c r="F7" i="29"/>
  <c r="I5" i="29"/>
  <c r="H265" i="5"/>
  <c r="C264" i="5"/>
  <c r="C262" i="5"/>
  <c r="C260" i="5"/>
  <c r="C258" i="5"/>
  <c r="G255" i="5"/>
  <c r="K251" i="5"/>
  <c r="F349" i="29"/>
  <c r="G325" i="29"/>
  <c r="H308" i="29"/>
  <c r="D266" i="29"/>
  <c r="D223" i="29"/>
  <c r="L183" i="29"/>
  <c r="L138" i="29"/>
  <c r="J122" i="29"/>
  <c r="E83" i="29"/>
  <c r="H68" i="29"/>
  <c r="G59" i="29"/>
  <c r="F46" i="29"/>
  <c r="E37" i="29"/>
  <c r="C17" i="29"/>
  <c r="G13" i="29"/>
  <c r="L9" i="29"/>
  <c r="H5" i="29"/>
  <c r="D263" i="5"/>
  <c r="D259" i="5"/>
  <c r="F256" i="5"/>
  <c r="J251" i="5"/>
  <c r="J250" i="5"/>
  <c r="J249" i="5"/>
  <c r="J248" i="5"/>
  <c r="J247" i="5"/>
  <c r="J246" i="5"/>
  <c r="J245" i="5"/>
  <c r="J244" i="5"/>
  <c r="J243" i="5"/>
  <c r="J242" i="5"/>
  <c r="J241" i="5"/>
  <c r="J240" i="5"/>
  <c r="J239" i="5"/>
  <c r="J238" i="5"/>
  <c r="J237" i="5"/>
  <c r="J236" i="5"/>
  <c r="J235" i="5"/>
  <c r="C234" i="5"/>
  <c r="G232" i="5"/>
  <c r="G231" i="5"/>
  <c r="G230" i="5"/>
  <c r="G229" i="5"/>
  <c r="G228" i="5"/>
  <c r="G227" i="5"/>
  <c r="G226" i="5"/>
  <c r="G225" i="5"/>
  <c r="C224" i="5"/>
  <c r="C223" i="5"/>
  <c r="D219" i="5"/>
  <c r="D215" i="5"/>
  <c r="D213" i="5"/>
  <c r="D211" i="5"/>
  <c r="D207" i="5"/>
  <c r="D203" i="5"/>
  <c r="D201" i="5"/>
  <c r="C196" i="5"/>
  <c r="C192" i="5"/>
  <c r="C187" i="5"/>
  <c r="C185" i="5"/>
  <c r="F180" i="5"/>
  <c r="H178" i="5"/>
  <c r="G174" i="5"/>
  <c r="H173" i="5"/>
  <c r="I168" i="5"/>
  <c r="H167" i="5"/>
  <c r="K163" i="5"/>
  <c r="H162" i="5"/>
  <c r="D161" i="5"/>
  <c r="D159" i="5"/>
  <c r="C157" i="5"/>
  <c r="D153" i="5"/>
  <c r="I150" i="5"/>
  <c r="J149" i="5"/>
  <c r="D148" i="5"/>
  <c r="G143" i="5"/>
  <c r="G138" i="5"/>
  <c r="C136" i="5"/>
  <c r="D131" i="5"/>
  <c r="F127" i="5"/>
  <c r="J121" i="5"/>
  <c r="J120" i="5"/>
  <c r="J119" i="5"/>
  <c r="J118" i="5"/>
  <c r="J117" i="5"/>
  <c r="F113" i="5"/>
  <c r="F111" i="5"/>
  <c r="F107" i="5"/>
  <c r="F106" i="5"/>
  <c r="E104" i="5"/>
  <c r="H102" i="5"/>
  <c r="J100" i="5"/>
  <c r="K99" i="5"/>
  <c r="F98" i="5"/>
  <c r="F97" i="5"/>
  <c r="G96" i="5"/>
  <c r="C91" i="5"/>
  <c r="D81" i="5"/>
  <c r="D77" i="5"/>
  <c r="K66" i="5"/>
  <c r="C66" i="5"/>
  <c r="D65" i="5"/>
  <c r="F56" i="5"/>
  <c r="F48" i="5"/>
  <c r="C38" i="5"/>
  <c r="C30" i="5"/>
  <c r="C22" i="5"/>
  <c r="F17" i="5"/>
  <c r="G16" i="5"/>
  <c r="H15" i="5"/>
  <c r="I14" i="5"/>
  <c r="J11" i="5"/>
  <c r="C10" i="5"/>
  <c r="D7" i="5"/>
  <c r="G5" i="5"/>
  <c r="H79" i="4"/>
  <c r="I75" i="4"/>
  <c r="H74" i="4"/>
  <c r="C72" i="4"/>
  <c r="C68" i="4"/>
  <c r="C64" i="4"/>
  <c r="H60" i="4"/>
  <c r="C58" i="4"/>
  <c r="D55" i="4"/>
  <c r="F50" i="4"/>
  <c r="J43" i="4"/>
  <c r="K42" i="4"/>
  <c r="J36" i="4"/>
  <c r="L338" i="29"/>
  <c r="I323" i="29"/>
  <c r="C302" i="29"/>
  <c r="D254" i="29"/>
  <c r="D215" i="29"/>
  <c r="D182" i="29"/>
  <c r="J130" i="29"/>
  <c r="C120" i="29"/>
  <c r="L75" i="29"/>
  <c r="J64" i="29"/>
  <c r="I55" i="29"/>
  <c r="H44" i="29"/>
  <c r="L30" i="29"/>
  <c r="D16" i="29"/>
  <c r="H12" i="29"/>
  <c r="C9" i="29"/>
  <c r="C5" i="29"/>
  <c r="F262" i="5"/>
  <c r="F258" i="5"/>
  <c r="F255" i="5"/>
  <c r="G251" i="5"/>
  <c r="G250" i="5"/>
  <c r="G249" i="5"/>
  <c r="G248" i="5"/>
  <c r="G247" i="5"/>
  <c r="G246" i="5"/>
  <c r="G245" i="5"/>
  <c r="G244" i="5"/>
  <c r="G243" i="5"/>
  <c r="G242" i="5"/>
  <c r="G241" i="5"/>
  <c r="G240" i="5"/>
  <c r="G239" i="5"/>
  <c r="G238" i="5"/>
  <c r="G237" i="5"/>
  <c r="G236" i="5"/>
  <c r="G235" i="5"/>
  <c r="F233" i="5"/>
  <c r="E232" i="5"/>
  <c r="E231" i="5"/>
  <c r="E230" i="5"/>
  <c r="E229" i="5"/>
  <c r="E228" i="5"/>
  <c r="E227" i="5"/>
  <c r="E226" i="5"/>
  <c r="E225" i="5"/>
  <c r="J223" i="5"/>
  <c r="D222" i="5"/>
  <c r="G216" i="5"/>
  <c r="G214" i="5"/>
  <c r="G212" i="5"/>
  <c r="G208" i="5"/>
  <c r="G206" i="5"/>
  <c r="G202" i="5"/>
  <c r="G200" i="5"/>
  <c r="C195" i="5"/>
  <c r="C191" i="5"/>
  <c r="F186" i="5"/>
  <c r="F184" i="5"/>
  <c r="C180" i="5"/>
  <c r="C178" i="5"/>
  <c r="E174" i="5"/>
  <c r="F173" i="5"/>
  <c r="G168" i="5"/>
  <c r="H166" i="5"/>
  <c r="G163" i="5"/>
  <c r="F162" i="5"/>
  <c r="G160" i="5"/>
  <c r="G158" i="5"/>
  <c r="G154" i="5"/>
  <c r="G152" i="5"/>
  <c r="G150" i="5"/>
  <c r="H149" i="5"/>
  <c r="G147" i="5"/>
  <c r="G140" i="5"/>
  <c r="C138" i="5"/>
  <c r="D135" i="5"/>
  <c r="F130" i="5"/>
  <c r="C127" i="5"/>
  <c r="G121" i="5"/>
  <c r="G120" i="5"/>
  <c r="G119" i="5"/>
  <c r="G118" i="5"/>
  <c r="G117" i="5"/>
  <c r="C113" i="5"/>
  <c r="C111" i="5"/>
  <c r="D107" i="5"/>
  <c r="D106" i="5"/>
  <c r="C104" i="5"/>
  <c r="F102" i="5"/>
  <c r="H100" i="5"/>
  <c r="H99" i="5"/>
  <c r="C98" i="5"/>
  <c r="D97" i="5"/>
  <c r="E96" i="5"/>
  <c r="C89" i="5"/>
  <c r="D80" i="5"/>
  <c r="C74" i="5"/>
  <c r="I66" i="5"/>
  <c r="J65" i="5"/>
  <c r="F62" i="5"/>
  <c r="F54" i="5"/>
  <c r="F46" i="5"/>
  <c r="C36" i="5"/>
  <c r="C28" i="5"/>
  <c r="C20" i="5"/>
  <c r="D17" i="5"/>
  <c r="E16" i="5"/>
  <c r="F15" i="5"/>
  <c r="G14" i="5"/>
  <c r="H11" i="5"/>
  <c r="E9" i="5"/>
  <c r="D6" i="5"/>
  <c r="E5" i="5"/>
  <c r="F79" i="4"/>
  <c r="G75" i="4"/>
  <c r="F74" i="4"/>
  <c r="C71" i="4"/>
  <c r="C67" i="4"/>
  <c r="C63" i="4"/>
  <c r="C60" i="4"/>
  <c r="D57" i="4"/>
  <c r="H54" i="4"/>
  <c r="D50" i="4"/>
  <c r="H43" i="4"/>
  <c r="G42" i="4"/>
  <c r="L329" i="29"/>
  <c r="J322" i="29"/>
  <c r="D301" i="29"/>
  <c r="D250" i="29"/>
  <c r="L203" i="29"/>
  <c r="E180" i="29"/>
  <c r="L128" i="29"/>
  <c r="L107" i="29"/>
  <c r="C75" i="29"/>
  <c r="L63" i="29"/>
  <c r="J52" i="29"/>
  <c r="I41" i="29"/>
  <c r="L26" i="29"/>
  <c r="H15" i="29"/>
  <c r="C12" i="29"/>
  <c r="G8" i="29"/>
  <c r="G265" i="5"/>
  <c r="G261" i="5"/>
  <c r="D258" i="5"/>
  <c r="C255" i="5"/>
  <c r="F251" i="5"/>
  <c r="F250" i="5"/>
  <c r="F249" i="5"/>
  <c r="F248" i="5"/>
  <c r="F247" i="5"/>
  <c r="F246" i="5"/>
  <c r="F245" i="5"/>
  <c r="F244" i="5"/>
  <c r="F243" i="5"/>
  <c r="F242" i="5"/>
  <c r="F241" i="5"/>
  <c r="F240" i="5"/>
  <c r="F239" i="5"/>
  <c r="F238" i="5"/>
  <c r="F237" i="5"/>
  <c r="F236" i="5"/>
  <c r="F235" i="5"/>
  <c r="D233" i="5"/>
  <c r="D232" i="5"/>
  <c r="D231" i="5"/>
  <c r="D230" i="5"/>
  <c r="D229" i="5"/>
  <c r="D228" i="5"/>
  <c r="D227" i="5"/>
  <c r="D226" i="5"/>
  <c r="D225" i="5"/>
  <c r="H223" i="5"/>
  <c r="C222" i="5"/>
  <c r="F216" i="5"/>
  <c r="F214" i="5"/>
  <c r="F212" i="5"/>
  <c r="F208" i="5"/>
  <c r="F206" i="5"/>
  <c r="F202" i="5"/>
  <c r="F200" i="5"/>
  <c r="G194" i="5"/>
  <c r="G190" i="5"/>
  <c r="D186" i="5"/>
  <c r="D184" i="5"/>
  <c r="H179" i="5"/>
  <c r="C177" i="5"/>
  <c r="D174" i="5"/>
  <c r="E173" i="5"/>
  <c r="F168" i="5"/>
  <c r="D166" i="5"/>
  <c r="F163" i="5"/>
  <c r="E162" i="5"/>
  <c r="F160" i="5"/>
  <c r="F158" i="5"/>
  <c r="F154" i="5"/>
  <c r="F152" i="5"/>
  <c r="F150" i="5"/>
  <c r="G149" i="5"/>
  <c r="D147" i="5"/>
  <c r="D140" i="5"/>
  <c r="G137" i="5"/>
  <c r="C135" i="5"/>
  <c r="C130" i="5"/>
  <c r="F126" i="5"/>
  <c r="F121" i="5"/>
  <c r="F120" i="5"/>
  <c r="F119" i="5"/>
  <c r="F118" i="5"/>
  <c r="F117" i="5"/>
  <c r="G112" i="5"/>
  <c r="K107" i="5"/>
  <c r="C107" i="5"/>
  <c r="C106" i="5"/>
  <c r="H103" i="5"/>
  <c r="E102" i="5"/>
  <c r="G100" i="5"/>
  <c r="G99" i="5"/>
  <c r="K97" i="5"/>
  <c r="C97" i="5"/>
  <c r="D96" i="5"/>
  <c r="C88" i="5"/>
  <c r="C80" i="5"/>
  <c r="C73" i="5"/>
  <c r="H66" i="5"/>
  <c r="I65" i="5"/>
  <c r="F61" i="5"/>
  <c r="F53" i="5"/>
  <c r="F45" i="5"/>
  <c r="C35" i="5"/>
  <c r="C27" i="5"/>
  <c r="K17" i="5"/>
  <c r="C17" i="5"/>
  <c r="D16" i="5"/>
  <c r="E15" i="5"/>
  <c r="F14" i="5"/>
  <c r="G11" i="5"/>
  <c r="D9" i="5"/>
  <c r="C6" i="5"/>
  <c r="D5" i="5"/>
  <c r="E79" i="4"/>
  <c r="F75" i="4"/>
  <c r="D74" i="4"/>
  <c r="D70" i="4"/>
  <c r="D66" i="4"/>
  <c r="D62" i="4"/>
  <c r="H59" i="4"/>
  <c r="C57" i="4"/>
  <c r="D54" i="4"/>
  <c r="C50" i="4"/>
  <c r="G43" i="4"/>
  <c r="F42" i="4"/>
  <c r="C329" i="29"/>
  <c r="L321" i="29"/>
  <c r="H290" i="29"/>
  <c r="D246" i="29"/>
  <c r="L199" i="29"/>
  <c r="H170" i="29"/>
  <c r="C128" i="29"/>
  <c r="E101" i="29"/>
  <c r="D73" i="29"/>
  <c r="C63" i="29"/>
  <c r="L51" i="29"/>
  <c r="J40" i="29"/>
  <c r="L22" i="29"/>
  <c r="E15" i="29"/>
  <c r="I11" i="29"/>
  <c r="D8" i="29"/>
  <c r="D265" i="5"/>
  <c r="D261" i="5"/>
  <c r="G257" i="5"/>
  <c r="G254" i="5"/>
  <c r="E251" i="5"/>
  <c r="E250" i="5"/>
  <c r="E249" i="5"/>
  <c r="E248" i="5"/>
  <c r="E247" i="5"/>
  <c r="E246" i="5"/>
  <c r="E245" i="5"/>
  <c r="E244" i="5"/>
  <c r="E243" i="5"/>
  <c r="E242" i="5"/>
  <c r="E241" i="5"/>
  <c r="E240" i="5"/>
  <c r="E239" i="5"/>
  <c r="E238" i="5"/>
  <c r="E237" i="5"/>
  <c r="E236" i="5"/>
  <c r="E235" i="5"/>
  <c r="C233" i="5"/>
  <c r="C232" i="5"/>
  <c r="C231" i="5"/>
  <c r="C230" i="5"/>
  <c r="C229" i="5"/>
  <c r="C228" i="5"/>
  <c r="C227" i="5"/>
  <c r="C226" i="5"/>
  <c r="C225" i="5"/>
  <c r="G223" i="5"/>
  <c r="G220" i="5"/>
  <c r="D216" i="5"/>
  <c r="D214" i="5"/>
  <c r="D212" i="5"/>
  <c r="D208" i="5"/>
  <c r="D206" i="5"/>
  <c r="D202" i="5"/>
  <c r="D200" i="5"/>
  <c r="C194" i="5"/>
  <c r="C190" i="5"/>
  <c r="C186" i="5"/>
  <c r="C184" i="5"/>
  <c r="G179" i="5"/>
  <c r="K174" i="5"/>
  <c r="C174" i="5"/>
  <c r="D173" i="5"/>
  <c r="E168" i="5"/>
  <c r="F165" i="5"/>
  <c r="E163" i="5"/>
  <c r="D162" i="5"/>
  <c r="D160" i="5"/>
  <c r="C158" i="5"/>
  <c r="D154" i="5"/>
  <c r="D152" i="5"/>
  <c r="E150" i="5"/>
  <c r="F149" i="5"/>
  <c r="C147" i="5"/>
  <c r="C140" i="5"/>
  <c r="D137" i="5"/>
  <c r="G134" i="5"/>
  <c r="F129" i="5"/>
  <c r="C126" i="5"/>
  <c r="E121" i="5"/>
  <c r="E120" i="5"/>
  <c r="E119" i="5"/>
  <c r="E118" i="5"/>
  <c r="E117" i="5"/>
  <c r="F112" i="5"/>
  <c r="J107" i="5"/>
  <c r="K106" i="5"/>
  <c r="C105" i="5"/>
  <c r="E103" i="5"/>
  <c r="D102" i="5"/>
  <c r="F100" i="5"/>
  <c r="F99" i="5"/>
  <c r="J97" i="5"/>
  <c r="K96" i="5"/>
  <c r="C96" i="5"/>
  <c r="C87" i="5"/>
  <c r="D79" i="5"/>
  <c r="C72" i="5"/>
  <c r="G66" i="5"/>
  <c r="H65" i="5"/>
  <c r="F60" i="5"/>
  <c r="F52" i="5"/>
  <c r="F44" i="5"/>
  <c r="C34" i="5"/>
  <c r="C26" i="5"/>
  <c r="J17" i="5"/>
  <c r="K16" i="5"/>
  <c r="C16" i="5"/>
  <c r="D15" i="5"/>
  <c r="E14" i="5"/>
  <c r="F11" i="5"/>
  <c r="G8" i="5"/>
  <c r="K5" i="5"/>
  <c r="C5" i="5"/>
  <c r="D79" i="4"/>
  <c r="E75" i="4"/>
  <c r="C74" i="4"/>
  <c r="C70" i="4"/>
  <c r="C66" i="4"/>
  <c r="C62" i="4"/>
  <c r="D59" i="4"/>
  <c r="H56" i="4"/>
  <c r="C54" i="4"/>
  <c r="F49" i="4"/>
  <c r="F43" i="4"/>
  <c r="E42" i="4"/>
  <c r="E36" i="4"/>
  <c r="L361" i="29"/>
  <c r="C321" i="29"/>
  <c r="D240" i="29"/>
  <c r="H165" i="29"/>
  <c r="L96" i="29"/>
  <c r="D62" i="29"/>
  <c r="L39" i="29"/>
  <c r="I14" i="29"/>
  <c r="H7" i="29"/>
  <c r="G260" i="5"/>
  <c r="D254" i="5"/>
  <c r="D250" i="5"/>
  <c r="D248" i="5"/>
  <c r="D246" i="5"/>
  <c r="D244" i="5"/>
  <c r="D242" i="5"/>
  <c r="D240" i="5"/>
  <c r="D238" i="5"/>
  <c r="D236" i="5"/>
  <c r="K232" i="5"/>
  <c r="K230" i="5"/>
  <c r="K228" i="5"/>
  <c r="K226" i="5"/>
  <c r="G224" i="5"/>
  <c r="D220" i="5"/>
  <c r="C214" i="5"/>
  <c r="C208" i="5"/>
  <c r="C202" i="5"/>
  <c r="G193" i="5"/>
  <c r="G185" i="5"/>
  <c r="F179" i="5"/>
  <c r="K173" i="5"/>
  <c r="D168" i="5"/>
  <c r="D163" i="5"/>
  <c r="C160" i="5"/>
  <c r="C154" i="5"/>
  <c r="D150" i="5"/>
  <c r="C146" i="5"/>
  <c r="C137" i="5"/>
  <c r="C129" i="5"/>
  <c r="D121" i="5"/>
  <c r="D119" i="5"/>
  <c r="D117" i="5"/>
  <c r="I107" i="5"/>
  <c r="H104" i="5"/>
  <c r="C102" i="5"/>
  <c r="E99" i="5"/>
  <c r="J96" i="5"/>
  <c r="C86" i="5"/>
  <c r="C71" i="5"/>
  <c r="G65" i="5"/>
  <c r="F51" i="5"/>
  <c r="C33" i="5"/>
  <c r="I17" i="5"/>
  <c r="K15" i="5"/>
  <c r="D14" i="5"/>
  <c r="H7" i="5"/>
  <c r="K79" i="4"/>
  <c r="D75" i="4"/>
  <c r="D69" i="4"/>
  <c r="H61" i="4"/>
  <c r="D56" i="4"/>
  <c r="D49" i="4"/>
  <c r="D42" i="4"/>
  <c r="K35" i="4"/>
  <c r="K34" i="4"/>
  <c r="K33" i="4"/>
  <c r="E31" i="4"/>
  <c r="F28" i="4"/>
  <c r="J26" i="4"/>
  <c r="J25" i="4"/>
  <c r="C9" i="4"/>
  <c r="D38" i="3"/>
  <c r="E33" i="3"/>
  <c r="F32" i="3"/>
  <c r="G31" i="3"/>
  <c r="H30" i="3"/>
  <c r="I29" i="3"/>
  <c r="J28" i="3"/>
  <c r="K27" i="3"/>
  <c r="C27" i="3"/>
  <c r="D26" i="3"/>
  <c r="D25" i="3"/>
  <c r="E12" i="3"/>
  <c r="F11" i="3"/>
  <c r="G10" i="3"/>
  <c r="H9" i="3"/>
  <c r="I8" i="3"/>
  <c r="J7" i="3"/>
  <c r="K6" i="3"/>
  <c r="C6" i="3"/>
  <c r="D5" i="3"/>
  <c r="E4" i="3"/>
  <c r="L91" i="29"/>
  <c r="E61" i="29"/>
  <c r="C39" i="29"/>
  <c r="F14" i="29"/>
  <c r="L354" i="29"/>
  <c r="D320" i="29"/>
  <c r="D234" i="29"/>
  <c r="H158" i="29"/>
  <c r="E351" i="29"/>
  <c r="E319" i="29"/>
  <c r="D227" i="29"/>
  <c r="L145" i="29"/>
  <c r="L87" i="29"/>
  <c r="F60" i="29"/>
  <c r="D38" i="29"/>
  <c r="J13" i="29"/>
  <c r="L5" i="29"/>
  <c r="G259" i="5"/>
  <c r="C253" i="5"/>
  <c r="K249" i="5"/>
  <c r="K247" i="5"/>
  <c r="K245" i="5"/>
  <c r="K243" i="5"/>
  <c r="K241" i="5"/>
  <c r="K239" i="5"/>
  <c r="K237" i="5"/>
  <c r="K235" i="5"/>
  <c r="H232" i="5"/>
  <c r="H230" i="5"/>
  <c r="H228" i="5"/>
  <c r="H226" i="5"/>
  <c r="D224" i="5"/>
  <c r="G219" i="5"/>
  <c r="F213" i="5"/>
  <c r="F207" i="5"/>
  <c r="F201" i="5"/>
  <c r="G192" i="5"/>
  <c r="D185" i="5"/>
  <c r="C179" i="5"/>
  <c r="I173" i="5"/>
  <c r="K167" i="5"/>
  <c r="K162" i="5"/>
  <c r="F159" i="5"/>
  <c r="F153" i="5"/>
  <c r="K149" i="5"/>
  <c r="C144" i="5"/>
  <c r="D136" i="5"/>
  <c r="C128" i="5"/>
  <c r="K120" i="5"/>
  <c r="K118" i="5"/>
  <c r="G113" i="5"/>
  <c r="G107" i="5"/>
  <c r="F104" i="5"/>
  <c r="K100" i="5"/>
  <c r="C99" i="5"/>
  <c r="H96" i="5"/>
  <c r="C84" i="5"/>
  <c r="C69" i="5"/>
  <c r="E65" i="5"/>
  <c r="F49" i="5"/>
  <c r="C31" i="5"/>
  <c r="G17" i="5"/>
  <c r="I15" i="5"/>
  <c r="K11" i="5"/>
  <c r="F7" i="5"/>
  <c r="I79" i="4"/>
  <c r="K74" i="4"/>
  <c r="D68" i="4"/>
  <c r="C61" i="4"/>
  <c r="H55" i="4"/>
  <c r="K43" i="4"/>
  <c r="K36" i="4"/>
  <c r="I35" i="4"/>
  <c r="I34" i="4"/>
  <c r="I33" i="4"/>
  <c r="D29" i="4"/>
  <c r="D28" i="4"/>
  <c r="G26" i="4"/>
  <c r="G25" i="4"/>
  <c r="J38" i="3"/>
  <c r="K33" i="3"/>
  <c r="C33" i="3"/>
  <c r="D32" i="3"/>
  <c r="E31" i="3"/>
  <c r="F30" i="3"/>
  <c r="G29" i="3"/>
  <c r="H28" i="3"/>
  <c r="I27" i="3"/>
  <c r="J26" i="3"/>
  <c r="K25" i="3"/>
  <c r="K12" i="3"/>
  <c r="C12" i="3"/>
  <c r="D11" i="3"/>
  <c r="E10" i="3"/>
  <c r="F9" i="3"/>
  <c r="G8" i="3"/>
  <c r="H7" i="3"/>
  <c r="I6" i="3"/>
  <c r="J5" i="3"/>
  <c r="K4" i="3"/>
  <c r="C4" i="3"/>
  <c r="C207" i="5"/>
  <c r="D167" i="5"/>
  <c r="C153" i="5"/>
  <c r="C143" i="5"/>
  <c r="D127" i="5"/>
  <c r="H120" i="5"/>
  <c r="D113" i="5"/>
  <c r="D104" i="5"/>
  <c r="D98" i="5"/>
  <c r="C81" i="5"/>
  <c r="C65" i="5"/>
  <c r="C29" i="5"/>
  <c r="G15" i="5"/>
  <c r="C7" i="5"/>
  <c r="G74" i="4"/>
  <c r="D67" i="4"/>
  <c r="C55" i="4"/>
  <c r="H36" i="4"/>
  <c r="H34" i="4"/>
  <c r="K28" i="4"/>
  <c r="F26" i="4"/>
  <c r="F25" i="4"/>
  <c r="J33" i="3"/>
  <c r="C32" i="3"/>
  <c r="E30" i="3"/>
  <c r="G28" i="3"/>
  <c r="I26" i="3"/>
  <c r="J12" i="3"/>
  <c r="C11" i="3"/>
  <c r="E9" i="3"/>
  <c r="G7" i="3"/>
  <c r="I5" i="3"/>
  <c r="I30" i="3"/>
  <c r="G11" i="3"/>
  <c r="G348" i="29"/>
  <c r="L302" i="29"/>
  <c r="D219" i="29"/>
  <c r="E135" i="29"/>
  <c r="H80" i="29"/>
  <c r="H56" i="29"/>
  <c r="F36" i="29"/>
  <c r="L12" i="29"/>
  <c r="F5" i="29"/>
  <c r="G258" i="5"/>
  <c r="H251" i="5"/>
  <c r="H249" i="5"/>
  <c r="H247" i="5"/>
  <c r="H245" i="5"/>
  <c r="H243" i="5"/>
  <c r="H241" i="5"/>
  <c r="H239" i="5"/>
  <c r="H237" i="5"/>
  <c r="H235" i="5"/>
  <c r="F232" i="5"/>
  <c r="F230" i="5"/>
  <c r="F228" i="5"/>
  <c r="F226" i="5"/>
  <c r="K223" i="5"/>
  <c r="C219" i="5"/>
  <c r="C213" i="5"/>
  <c r="C201" i="5"/>
  <c r="G191" i="5"/>
  <c r="G184" i="5"/>
  <c r="D178" i="5"/>
  <c r="G173" i="5"/>
  <c r="G162" i="5"/>
  <c r="C159" i="5"/>
  <c r="I149" i="5"/>
  <c r="G135" i="5"/>
  <c r="H118" i="5"/>
  <c r="E107" i="5"/>
  <c r="I100" i="5"/>
  <c r="F96" i="5"/>
  <c r="J66" i="5"/>
  <c r="F47" i="5"/>
  <c r="E17" i="5"/>
  <c r="I11" i="5"/>
  <c r="G79" i="4"/>
  <c r="D60" i="4"/>
  <c r="I43" i="4"/>
  <c r="H35" i="4"/>
  <c r="H33" i="4"/>
  <c r="C28" i="4"/>
  <c r="I38" i="3"/>
  <c r="K32" i="3"/>
  <c r="D31" i="3"/>
  <c r="F29" i="3"/>
  <c r="H27" i="3"/>
  <c r="J25" i="3"/>
  <c r="K11" i="3"/>
  <c r="D10" i="3"/>
  <c r="F8" i="3"/>
  <c r="H6" i="3"/>
  <c r="J4" i="3"/>
  <c r="C28" i="3"/>
  <c r="F12" i="3"/>
  <c r="D328" i="29"/>
  <c r="D283" i="29"/>
  <c r="L192" i="29"/>
  <c r="G125" i="29"/>
  <c r="E71" i="29"/>
  <c r="C51" i="29"/>
  <c r="I19" i="29"/>
  <c r="D11" i="29"/>
  <c r="G264" i="5"/>
  <c r="F257" i="5"/>
  <c r="D251" i="5"/>
  <c r="D249" i="5"/>
  <c r="D247" i="5"/>
  <c r="D245" i="5"/>
  <c r="D243" i="5"/>
  <c r="D241" i="5"/>
  <c r="D239" i="5"/>
  <c r="D237" i="5"/>
  <c r="D235" i="5"/>
  <c r="K231" i="5"/>
  <c r="K229" i="5"/>
  <c r="K227" i="5"/>
  <c r="K225" i="5"/>
  <c r="F223" i="5"/>
  <c r="C216" i="5"/>
  <c r="C212" i="5"/>
  <c r="C206" i="5"/>
  <c r="C200" i="5"/>
  <c r="G187" i="5"/>
  <c r="K180" i="5"/>
  <c r="J174" i="5"/>
  <c r="C173" i="5"/>
  <c r="C165" i="5"/>
  <c r="C162" i="5"/>
  <c r="G157" i="5"/>
  <c r="C152" i="5"/>
  <c r="E149" i="5"/>
  <c r="G139" i="5"/>
  <c r="D134" i="5"/>
  <c r="F125" i="5"/>
  <c r="D120" i="5"/>
  <c r="D118" i="5"/>
  <c r="D112" i="5"/>
  <c r="J106" i="5"/>
  <c r="K102" i="5"/>
  <c r="E100" i="5"/>
  <c r="I97" i="5"/>
  <c r="D95" i="5"/>
  <c r="C79" i="5"/>
  <c r="F66" i="5"/>
  <c r="F59" i="5"/>
  <c r="F43" i="5"/>
  <c r="C25" i="5"/>
  <c r="J16" i="5"/>
  <c r="C15" i="5"/>
  <c r="E11" i="5"/>
  <c r="J5" i="5"/>
  <c r="C79" i="4"/>
  <c r="D73" i="4"/>
  <c r="D65" i="4"/>
  <c r="C59" i="4"/>
  <c r="J50" i="4"/>
  <c r="E43" i="4"/>
  <c r="G36" i="4"/>
  <c r="F35" i="4"/>
  <c r="F34" i="4"/>
  <c r="F33" i="4"/>
  <c r="J28" i="4"/>
  <c r="F27" i="4"/>
  <c r="E26" i="4"/>
  <c r="E25" i="4"/>
  <c r="H38" i="3"/>
  <c r="I33" i="3"/>
  <c r="J32" i="3"/>
  <c r="K31" i="3"/>
  <c r="C31" i="3"/>
  <c r="D30" i="3"/>
  <c r="E29" i="3"/>
  <c r="F28" i="3"/>
  <c r="G27" i="3"/>
  <c r="H26" i="3"/>
  <c r="H25" i="3"/>
  <c r="I12" i="3"/>
  <c r="J11" i="3"/>
  <c r="K10" i="3"/>
  <c r="C10" i="3"/>
  <c r="D9" i="3"/>
  <c r="E8" i="3"/>
  <c r="F7" i="3"/>
  <c r="G6" i="3"/>
  <c r="H5" i="3"/>
  <c r="I4" i="3"/>
  <c r="J10" i="3"/>
  <c r="C9" i="3"/>
  <c r="E7" i="3"/>
  <c r="G5" i="3"/>
  <c r="K8" i="3"/>
  <c r="E6" i="3"/>
  <c r="G4" i="3"/>
  <c r="C183" i="29"/>
  <c r="L120" i="29"/>
  <c r="G16" i="29"/>
  <c r="G262" i="5"/>
  <c r="H248" i="5"/>
  <c r="H242" i="5"/>
  <c r="H236" i="5"/>
  <c r="F229" i="5"/>
  <c r="G222" i="5"/>
  <c r="C211" i="5"/>
  <c r="G195" i="5"/>
  <c r="F174" i="5"/>
  <c r="C161" i="5"/>
  <c r="C148" i="5"/>
  <c r="H121" i="5"/>
  <c r="H117" i="5"/>
  <c r="E106" i="5"/>
  <c r="E97" i="5"/>
  <c r="K65" i="5"/>
  <c r="C21" i="5"/>
  <c r="F5" i="5"/>
  <c r="D63" i="4"/>
  <c r="H42" i="4"/>
  <c r="C33" i="4"/>
  <c r="K25" i="4"/>
  <c r="F33" i="3"/>
  <c r="K28" i="3"/>
  <c r="E25" i="3"/>
  <c r="E327" i="29"/>
  <c r="D276" i="29"/>
  <c r="E190" i="29"/>
  <c r="H124" i="29"/>
  <c r="F70" i="29"/>
  <c r="D50" i="29"/>
  <c r="J18" i="29"/>
  <c r="J10" i="29"/>
  <c r="F264" i="5"/>
  <c r="D257" i="5"/>
  <c r="C251" i="5"/>
  <c r="C249" i="5"/>
  <c r="C247" i="5"/>
  <c r="C245" i="5"/>
  <c r="C243" i="5"/>
  <c r="C241" i="5"/>
  <c r="C239" i="5"/>
  <c r="C237" i="5"/>
  <c r="C235" i="5"/>
  <c r="J231" i="5"/>
  <c r="J229" i="5"/>
  <c r="J227" i="5"/>
  <c r="J225" i="5"/>
  <c r="E223" i="5"/>
  <c r="G215" i="5"/>
  <c r="G211" i="5"/>
  <c r="G203" i="5"/>
  <c r="G197" i="5"/>
  <c r="F187" i="5"/>
  <c r="H180" i="5"/>
  <c r="I174" i="5"/>
  <c r="K168" i="5"/>
  <c r="F164" i="5"/>
  <c r="G161" i="5"/>
  <c r="F157" i="5"/>
  <c r="K150" i="5"/>
  <c r="D149" i="5"/>
  <c r="D139" i="5"/>
  <c r="C134" i="5"/>
  <c r="C125" i="5"/>
  <c r="C120" i="5"/>
  <c r="C118" i="5"/>
  <c r="C112" i="5"/>
  <c r="H106" i="5"/>
  <c r="J102" i="5"/>
  <c r="D100" i="5"/>
  <c r="H97" i="5"/>
  <c r="C95" i="5"/>
  <c r="D78" i="5"/>
  <c r="E66" i="5"/>
  <c r="F58" i="5"/>
  <c r="F42" i="5"/>
  <c r="C24" i="5"/>
  <c r="I16" i="5"/>
  <c r="K14" i="5"/>
  <c r="D11" i="5"/>
  <c r="I5" i="5"/>
  <c r="K75" i="4"/>
  <c r="C73" i="4"/>
  <c r="C65" i="4"/>
  <c r="H58" i="4"/>
  <c r="H50" i="4"/>
  <c r="D43" i="4"/>
  <c r="F36" i="4"/>
  <c r="E35" i="4"/>
  <c r="E34" i="4"/>
  <c r="E33" i="4"/>
  <c r="I28" i="4"/>
  <c r="D27" i="4"/>
  <c r="D26" i="4"/>
  <c r="D25" i="4"/>
  <c r="G38" i="3"/>
  <c r="H33" i="3"/>
  <c r="I32" i="3"/>
  <c r="J31" i="3"/>
  <c r="K30" i="3"/>
  <c r="C30" i="3"/>
  <c r="D29" i="3"/>
  <c r="E28" i="3"/>
  <c r="F27" i="3"/>
  <c r="G26" i="3"/>
  <c r="G25" i="3"/>
  <c r="H12" i="3"/>
  <c r="I11" i="3"/>
  <c r="K9" i="3"/>
  <c r="D8" i="3"/>
  <c r="F6" i="3"/>
  <c r="H4" i="3"/>
  <c r="D7" i="3"/>
  <c r="H324" i="29"/>
  <c r="G45" i="29"/>
  <c r="C256" i="5"/>
  <c r="H246" i="5"/>
  <c r="H240" i="5"/>
  <c r="G233" i="5"/>
  <c r="F227" i="5"/>
  <c r="C215" i="5"/>
  <c r="G186" i="5"/>
  <c r="H168" i="5"/>
  <c r="C156" i="5"/>
  <c r="C131" i="5"/>
  <c r="D111" i="5"/>
  <c r="J99" i="5"/>
  <c r="C77" i="5"/>
  <c r="C37" i="5"/>
  <c r="H14" i="5"/>
  <c r="H75" i="4"/>
  <c r="H57" i="4"/>
  <c r="C36" i="4"/>
  <c r="C34" i="4"/>
  <c r="K26" i="4"/>
  <c r="E38" i="3"/>
  <c r="H31" i="3"/>
  <c r="D27" i="3"/>
  <c r="H10" i="3"/>
  <c r="F326" i="29"/>
  <c r="D272" i="29"/>
  <c r="J185" i="29"/>
  <c r="I123" i="29"/>
  <c r="G69" i="29"/>
  <c r="E49" i="29"/>
  <c r="L17" i="29"/>
  <c r="E10" i="29"/>
  <c r="G263" i="5"/>
  <c r="G256" i="5"/>
  <c r="K250" i="5"/>
  <c r="K248" i="5"/>
  <c r="K246" i="5"/>
  <c r="K244" i="5"/>
  <c r="K242" i="5"/>
  <c r="K240" i="5"/>
  <c r="K238" i="5"/>
  <c r="K236" i="5"/>
  <c r="D234" i="5"/>
  <c r="H231" i="5"/>
  <c r="H229" i="5"/>
  <c r="H227" i="5"/>
  <c r="H225" i="5"/>
  <c r="D223" i="5"/>
  <c r="F215" i="5"/>
  <c r="F211" i="5"/>
  <c r="F203" i="5"/>
  <c r="C197" i="5"/>
  <c r="D187" i="5"/>
  <c r="G180" i="5"/>
  <c r="H174" i="5"/>
  <c r="J168" i="5"/>
  <c r="C164" i="5"/>
  <c r="F161" i="5"/>
  <c r="D157" i="5"/>
  <c r="J150" i="5"/>
  <c r="C149" i="5"/>
  <c r="C139" i="5"/>
  <c r="F131" i="5"/>
  <c r="K121" i="5"/>
  <c r="K119" i="5"/>
  <c r="K117" i="5"/>
  <c r="G111" i="5"/>
  <c r="G106" i="5"/>
  <c r="I102" i="5"/>
  <c r="C100" i="5"/>
  <c r="G97" i="5"/>
  <c r="C92" i="5"/>
  <c r="C78" i="5"/>
  <c r="D66" i="5"/>
  <c r="F57" i="5"/>
  <c r="C39" i="5"/>
  <c r="C23" i="5"/>
  <c r="H16" i="5"/>
  <c r="J14" i="5"/>
  <c r="C11" i="5"/>
  <c r="H5" i="5"/>
  <c r="J75" i="4"/>
  <c r="D72" i="4"/>
  <c r="D64" i="4"/>
  <c r="D58" i="4"/>
  <c r="G50" i="4"/>
  <c r="C43" i="4"/>
  <c r="D36" i="4"/>
  <c r="D35" i="4"/>
  <c r="D34" i="4"/>
  <c r="D33" i="4"/>
  <c r="H28" i="4"/>
  <c r="C27" i="4"/>
  <c r="C26" i="4"/>
  <c r="C25" i="4"/>
  <c r="F38" i="3"/>
  <c r="G33" i="3"/>
  <c r="H32" i="3"/>
  <c r="I31" i="3"/>
  <c r="J30" i="3"/>
  <c r="K29" i="3"/>
  <c r="C29" i="3"/>
  <c r="D28" i="3"/>
  <c r="E27" i="3"/>
  <c r="F26" i="3"/>
  <c r="F25" i="3"/>
  <c r="G12" i="3"/>
  <c r="H11" i="3"/>
  <c r="I10" i="3"/>
  <c r="J9" i="3"/>
  <c r="C8" i="3"/>
  <c r="F5" i="3"/>
  <c r="D260" i="29"/>
  <c r="I67" i="29"/>
  <c r="F9" i="29"/>
  <c r="H250" i="5"/>
  <c r="H244" i="5"/>
  <c r="H238" i="5"/>
  <c r="F231" i="5"/>
  <c r="F225" i="5"/>
  <c r="C203" i="5"/>
  <c r="D180" i="5"/>
  <c r="H163" i="5"/>
  <c r="H150" i="5"/>
  <c r="D138" i="5"/>
  <c r="H119" i="5"/>
  <c r="G102" i="5"/>
  <c r="C90" i="5"/>
  <c r="F55" i="5"/>
  <c r="F16" i="5"/>
  <c r="H9" i="5"/>
  <c r="D71" i="4"/>
  <c r="E50" i="4"/>
  <c r="C35" i="4"/>
  <c r="G28" i="4"/>
  <c r="C24" i="4"/>
  <c r="G32" i="3"/>
  <c r="J29" i="3"/>
  <c r="E26" i="3"/>
  <c r="E7" i="29"/>
  <c r="C240" i="5"/>
  <c r="C220" i="5"/>
  <c r="C168" i="5"/>
  <c r="C121" i="5"/>
  <c r="C85" i="5"/>
  <c r="G7" i="5"/>
  <c r="J35" i="4"/>
  <c r="C38" i="3"/>
  <c r="K26" i="3"/>
  <c r="J8" i="3"/>
  <c r="E5" i="3"/>
  <c r="F260" i="5"/>
  <c r="C238" i="5"/>
  <c r="G213" i="5"/>
  <c r="C163" i="5"/>
  <c r="C119" i="5"/>
  <c r="C70" i="5"/>
  <c r="J79" i="4"/>
  <c r="J34" i="4"/>
  <c r="D33" i="3"/>
  <c r="C26" i="3"/>
  <c r="H8" i="3"/>
  <c r="C5" i="3"/>
  <c r="F31" i="3"/>
  <c r="D4" i="3"/>
  <c r="C14" i="5"/>
  <c r="C254" i="5"/>
  <c r="C236" i="5"/>
  <c r="G207" i="5"/>
  <c r="G159" i="5"/>
  <c r="C117" i="5"/>
  <c r="F65" i="5"/>
  <c r="C75" i="4"/>
  <c r="J33" i="4"/>
  <c r="E32" i="3"/>
  <c r="C25" i="3"/>
  <c r="K7" i="3"/>
  <c r="F4" i="3"/>
  <c r="I7" i="3"/>
  <c r="I96" i="5"/>
  <c r="G9" i="3"/>
  <c r="C250" i="5"/>
  <c r="J232" i="5"/>
  <c r="G201" i="5"/>
  <c r="G153" i="5"/>
  <c r="H107" i="5"/>
  <c r="F50" i="5"/>
  <c r="C69" i="4"/>
  <c r="D30" i="4"/>
  <c r="D12" i="3"/>
  <c r="F128" i="5"/>
  <c r="J27" i="3"/>
  <c r="C248" i="5"/>
  <c r="J230" i="5"/>
  <c r="C193" i="5"/>
  <c r="C150" i="5"/>
  <c r="G104" i="5"/>
  <c r="C32" i="5"/>
  <c r="D61" i="4"/>
  <c r="E28" i="4"/>
  <c r="G30" i="3"/>
  <c r="E11" i="3"/>
  <c r="C7" i="3"/>
  <c r="D6" i="3"/>
  <c r="C242" i="5"/>
  <c r="K5" i="3"/>
  <c r="C246" i="5"/>
  <c r="J228" i="5"/>
  <c r="F185" i="5"/>
  <c r="G144" i="5"/>
  <c r="C101" i="5"/>
  <c r="H17" i="5"/>
  <c r="C56" i="4"/>
  <c r="H26" i="4"/>
  <c r="H29" i="3"/>
  <c r="F10" i="3"/>
  <c r="J6" i="3"/>
  <c r="I28" i="3"/>
  <c r="F224" i="5"/>
  <c r="K38" i="3"/>
  <c r="C244" i="5"/>
  <c r="J226" i="5"/>
  <c r="D179" i="5"/>
  <c r="G136" i="5"/>
  <c r="D99" i="5"/>
  <c r="J15" i="5"/>
  <c r="C49" i="4"/>
  <c r="H25" i="4"/>
  <c r="I9" i="3"/>
  <c r="J173" i="5"/>
  <c r="C42" i="4"/>
  <c r="J43" i="8" l="1"/>
  <c r="J42" i="8"/>
  <c r="J41" i="8"/>
  <c r="J40" i="8"/>
  <c r="J39" i="8"/>
  <c r="B10" i="7"/>
  <c r="G6" i="12" s="1"/>
  <c r="G16" i="12" s="1"/>
  <c r="B16" i="7"/>
  <c r="B8" i="7"/>
  <c r="B7" i="7"/>
  <c r="B6" i="7"/>
  <c r="B5" i="7"/>
  <c r="B4" i="7"/>
  <c r="F17" i="183" l="1"/>
  <c r="E17" i="183"/>
  <c r="L33" i="3" l="1"/>
  <c r="H14" i="12" l="1"/>
  <c r="K9" i="12" l="1"/>
  <c r="K14" i="12" s="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B4102" i="106"/>
  <c r="D4102" i="106" s="1"/>
  <c r="B4103" i="106"/>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24" i="37"/>
  <c r="B4270" i="106" s="1"/>
  <c r="D4270" i="106" s="1"/>
  <c r="H33" i="118" l="1"/>
  <c r="B1274" i="106"/>
  <c r="D1274" i="106" s="1"/>
  <c r="B2026" i="106"/>
  <c r="D2026" i="106" s="1"/>
  <c r="M16" i="3"/>
  <c r="B273" i="106" s="1"/>
  <c r="D273" i="106" s="1"/>
  <c r="B7591" i="106"/>
  <c r="M15" i="3"/>
  <c r="B6297" i="106" s="1"/>
  <c r="D6297" i="106" s="1"/>
  <c r="B3454" i="106"/>
  <c r="D3454" i="106" s="1"/>
  <c r="M20" i="3"/>
  <c r="B2864" i="106" s="1"/>
  <c r="D2864" i="106" s="1"/>
  <c r="F70" i="34"/>
  <c r="C352" i="29"/>
  <c r="B3621" i="106" s="1"/>
  <c r="D3621" i="106" s="1"/>
  <c r="B2029" i="106"/>
  <c r="D2029" i="106" s="1"/>
  <c r="M19" i="3"/>
  <c r="B276" i="106" s="1"/>
  <c r="D276" i="106" s="1"/>
  <c r="B2028" i="106"/>
  <c r="D2028" i="106" s="1"/>
  <c r="M18" i="3"/>
  <c r="B275" i="106" s="1"/>
  <c r="D275" i="106" s="1"/>
  <c r="B2027" i="106"/>
  <c r="D2027" i="106" s="1"/>
  <c r="M17" i="3"/>
  <c r="J129" i="29"/>
  <c r="B7038" i="106" s="1"/>
  <c r="D7038" i="106" s="1"/>
  <c r="I129" i="29"/>
  <c r="B7037" i="106" s="1"/>
  <c r="D7037" i="106" s="1"/>
  <c r="H15" i="184"/>
  <c r="J210" i="29"/>
  <c r="B7072" i="106" s="1"/>
  <c r="D7072" i="106" s="1"/>
  <c r="G39" i="108"/>
  <c r="F34" i="34"/>
  <c r="B7826" i="106" s="1"/>
  <c r="D7826" i="106" s="1"/>
  <c r="H76" i="4"/>
  <c r="B3298" i="106" s="1"/>
  <c r="D3298" i="106" s="1"/>
  <c r="B2805" i="106"/>
  <c r="D2805" i="106" s="1"/>
  <c r="B2836" i="106"/>
  <c r="D2836" i="106" s="1"/>
  <c r="C129" i="29"/>
  <c r="B1225" i="106" s="1"/>
  <c r="D1225"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C367" i="29"/>
  <c r="B3622" i="106" s="1"/>
  <c r="D3622" i="106" s="1"/>
  <c r="L16" i="11"/>
  <c r="B2061" i="106" s="1"/>
  <c r="D2061" i="106" s="1"/>
  <c r="F66" i="34"/>
  <c r="B274" i="106"/>
  <c r="D274" i="106" s="1"/>
  <c r="M23" i="3"/>
  <c r="J16" i="4"/>
  <c r="B6226" i="106" s="1"/>
  <c r="D6226" i="106" s="1"/>
  <c r="H77" i="4"/>
  <c r="B3299" i="106" s="1"/>
  <c r="D3299" i="106" s="1"/>
  <c r="B1381" i="106"/>
  <c r="D1381" i="106" s="1"/>
  <c r="B2031" i="106"/>
  <c r="D2031" i="106" s="1"/>
  <c r="C151" i="29"/>
  <c r="B1226" i="106" s="1"/>
  <c r="D1226" i="106" s="1"/>
  <c r="E19" i="184"/>
  <c r="H19" i="184"/>
  <c r="L20" i="184" s="1"/>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279" i="106"/>
  <c r="D279" i="106" s="1"/>
  <c r="M40" i="3"/>
  <c r="B7243" i="106"/>
  <c r="D7243" i="106" s="1"/>
  <c r="K367" i="29"/>
  <c r="K368" i="29" s="1"/>
  <c r="B3681" i="106" s="1"/>
  <c r="D3681"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M41" i="3" l="1"/>
  <c r="B280" i="106"/>
  <c r="D280"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281" i="106"/>
  <c r="D281" i="106" s="1"/>
  <c r="D54" i="3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J39" i="3" s="1"/>
  <c r="B6263" i="106"/>
  <c r="D6263" i="106" s="1"/>
  <c r="B6215" i="106" l="1"/>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l="1"/>
  <c r="D39" i="3" s="1"/>
  <c r="B123" i="106" s="1"/>
  <c r="D123" i="106" s="1"/>
  <c r="B3567" i="106"/>
  <c r="D3567" i="106" s="1"/>
  <c r="K41" i="3"/>
  <c r="D51" i="36"/>
  <c r="B6216" i="106"/>
  <c r="D6216" i="106" s="1"/>
  <c r="B2912" i="106"/>
  <c r="D2912" i="106" s="1"/>
  <c r="I41" i="3"/>
  <c r="B212" i="106"/>
  <c r="D212" i="106" s="1"/>
  <c r="H41" i="3"/>
  <c r="F176" i="34"/>
  <c r="B7878" i="106" s="1"/>
  <c r="D7878" i="106" s="1"/>
  <c r="B7835" i="106"/>
  <c r="D7835" i="106" s="1"/>
  <c r="B3278" i="106"/>
  <c r="D3278" i="106" s="1"/>
  <c r="E81" i="4"/>
  <c r="E39" i="3" s="1"/>
  <c r="N21"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l="1"/>
  <c r="C11" i="146"/>
  <c r="D58" i="36"/>
  <c r="D41" i="3"/>
  <c r="B124" i="106" s="1"/>
  <c r="D124" i="106" s="1"/>
  <c r="B1644" i="106"/>
  <c r="D1644" i="106" s="1"/>
  <c r="B282" i="106"/>
  <c r="D282" i="106" s="1"/>
  <c r="N23" i="3"/>
  <c r="D50" i="36"/>
  <c r="B2913" i="106"/>
  <c r="D2913" i="106" s="1"/>
  <c r="B140" i="106"/>
  <c r="D140" i="106" s="1"/>
  <c r="E41" i="3"/>
  <c r="D49" i="36"/>
  <c r="B213" i="106"/>
  <c r="D213" i="106" s="1"/>
  <c r="D52" i="36"/>
  <c r="B3568" i="106"/>
  <c r="D3568" i="106" s="1"/>
  <c r="D76" i="36"/>
  <c r="B92" i="106"/>
  <c r="D92" i="106" s="1"/>
  <c r="C41" i="3"/>
  <c r="B189" i="106"/>
  <c r="D189" i="106" s="1"/>
  <c r="G41" i="3"/>
  <c r="B170" i="106"/>
  <c r="D170" i="106" s="1"/>
  <c r="F41" i="3"/>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41" i="106"/>
  <c r="D141" i="106" s="1"/>
  <c r="D46" i="36"/>
  <c r="D48" i="36"/>
  <c r="B190" i="106"/>
  <c r="D190" i="106" s="1"/>
  <c r="D47" i="36"/>
  <c r="B171" i="106"/>
  <c r="D171" i="106" s="1"/>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<sst xmlns="http://schemas.openxmlformats.org/spreadsheetml/2006/main" count="5441" uniqueCount="2206">
  <si>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</si>
  <si>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</si>
  <si>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</si>
  <si>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</si>
  <si>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</si>
  <si>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</si>
  <si>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</si>
  <si>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</si>
  <si>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</si>
  <si>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</si>
  <si>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</si>
  <si>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</si>
  <si>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</si>
  <si>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</si>
  <si>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</si>
  <si>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</si>
  <si>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</si>
  <si>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</si>
  <si>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</si>
  <si>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</si>
  <si>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</si>
  <si>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</si>
  <si>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</si>
  <si>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</si>
  <si>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</si>
  <si>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</si>
  <si>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</si>
  <si>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</si>
  <si>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</si>
  <si>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</si>
  <si>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</si>
  <si>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</si>
  <si>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</si>
  <si>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</si>
  <si>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</si>
  <si>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</si>
  <si>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</si>
  <si>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</si>
  <si>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</si>
  <si>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</si>
  <si>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</si>
  <si>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</si>
  <si>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</si>
  <si>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</si>
  <si>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</si>
  <si>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</si>
  <si>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</si>
  <si>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</si>
  <si>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</si>
  <si>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</si>
  <si>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</si>
  <si>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</si>
  <si>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</si>
  <si>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</si>
  <si>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</si>
  <si>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</si>
  <si>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</si>
  <si>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</si>
  <si>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</si>
  <si>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</si>
  <si>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</si>
  <si>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</si>
  <si>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</si>
  <si>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</si>
  <si>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</si>
  <si>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</si>
  <si>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</si>
  <si>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</si>
  <si>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</si>
  <si>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</si>
  <si>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</si>
  <si>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</si>
  <si>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</si>
  <si>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</si>
  <si>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</si>
  <si>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</si>
  <si>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</si>
  <si>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</si>
  <si>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</si>
  <si>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</si>
  <si>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</si>
  <si>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</si>
  <si>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</si>
  <si>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</si>
  <si>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</si>
  <si>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</si>
  <si>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</si>
  <si>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</si>
  <si>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</si>
  <si>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</si>
  <si>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</si>
  <si>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</si>
  <si>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</si>
  <si>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</si>
  <si>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</si>
  <si>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</si>
  <si>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</si>
  <si>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</si>
  <si>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</si>
  <si>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</si>
  <si>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</si>
  <si>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</si>
  <si>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</si>
  <si>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</si>
  <si>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</si>
  <si>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</si>
  <si>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</si>
  <si>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</si>
  <si>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</si>
  <si>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</si>
  <si>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</si>
  <si>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</si>
  <si>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</si>
  <si>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</si>
  <si>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</si>
  <si>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</si>
  <si>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</si>
  <si>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</si>
  <si>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</si>
  <si>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</si>
  <si>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</si>
  <si>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</si>
  <si>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</si>
  <si>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</si>
  <si>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</si>
  <si>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</si>
  <si>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</si>
  <si>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</si>
  <si>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</si>
  <si>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</si>
  <si>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</si>
  <si>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</si>
  <si>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</si>
  <si>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</si>
  <si>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</si>
  <si>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</si>
  <si>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</si>
  <si>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</si>
  <si>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</si>
  <si>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</si>
  <si>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</si>
  <si>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</si>
  <si>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</si>
  <si>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</si>
  <si>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</si>
  <si>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</si>
  <si>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</si>
  <si>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</si>
  <si>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</si>
  <si>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</si>
  <si>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</si>
  <si>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</si>
  <si>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</si>
  <si>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</si>
  <si>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</si>
  <si>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</si>
  <si>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</si>
  <si>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</si>
  <si>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</si>
  <si>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</si>
  <si>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</si>
  <si>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</si>
  <si>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</si>
  <si>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</si>
  <si>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</si>
  <si>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</si>
  <si>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</si>
  <si>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</si>
  <si>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</si>
  <si>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</si>
  <si>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</si>
  <si>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</si>
  <si>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</si>
  <si>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</si>
  <si>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</si>
  <si>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</si>
  <si>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</si>
  <si>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</si>
  <si>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</si>
  <si>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</si>
  <si>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</si>
  <si>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</si>
  <si>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</si>
  <si>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</si>
  <si>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</si>
  <si>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</si>
  <si>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</si>
  <si>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</si>
  <si>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</si>
  <si>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</si>
  <si>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</si>
  <si>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</si>
  <si>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</si>
  <si>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</si>
  <si>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</si>
  <si>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</si>
  <si>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</si>
  <si>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</si>
  <si>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</si>
  <si>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</si>
  <si>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</si>
  <si>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</si>
  <si>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</si>
  <si>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</si>
  <si>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</si>
  <si>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</si>
  <si>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</si>
  <si>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</si>
  <si>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</si>
  <si>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</si>
  <si>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</si>
  <si>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</si>
  <si>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</si>
  <si>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</si>
  <si>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</si>
  <si>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</si>
  <si>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</si>
  <si>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</si>
  <si>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</si>
  <si>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</si>
  <si>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</si>
  <si>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</si>
  <si>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</si>
  <si>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</si>
  <si>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</si>
  <si>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</si>
  <si>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</si>
  <si>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</si>
  <si>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</si>
  <si>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</si>
  <si>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</si>
  <si>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</si>
  <si>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</si>
  <si>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</si>
  <si>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</si>
  <si>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</si>
  <si>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</si>
  <si>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</si>
  <si>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</si>
  <si>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</si>
  <si>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</si>
  <si>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</si>
  <si>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</si>
  <si>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</si>
  <si>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</si>
  <si>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</si>
  <si>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</si>
  <si>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</si>
  <si>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</si>
  <si>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</si>
  <si>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</si>
  <si>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</si>
  <si>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</si>
  <si>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</si>
  <si>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</si>
  <si>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</si>
  <si>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</si>
  <si>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</si>
  <si>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</si>
  <si>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</si>
  <si>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</si>
  <si>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</si>
  <si>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</si>
  <si>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</si>
  <si>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</si>
  <si>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</si>
  <si>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</si>
  <si>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</si>
  <si>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</si>
  <si>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</si>
  <si>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</si>
  <si>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</si>
  <si>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</si>
  <si>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</si>
  <si>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</si>
  <si>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</si>
  <si>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</si>
  <si>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</si>
  <si>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</si>
  <si>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</si>
  <si>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</si>
  <si>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</si>
  <si>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</si>
  <si>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</si>
  <si>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</si>
  <si>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</si>
  <si>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</si>
  <si>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</si>
  <si>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</si>
  <si>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</si>
  <si>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</si>
  <si>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</si>
  <si>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</si>
  <si>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</si>
  <si>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</si>
  <si>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</si>
  <si>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</si>
  <si>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</si>
  <si>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</si>
  <si>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</si>
  <si>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</si>
  <si>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</si>
  <si>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</si>
  <si>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</si>
  <si>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</si>
  <si>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</si>
  <si>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</si>
  <si>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</si>
  <si>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</si>
  <si>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</si>
  <si>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</si>
  <si>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</si>
  <si>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</si>
  <si>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</si>
  <si>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</si>
  <si>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</si>
  <si>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</si>
  <si>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</si>
  <si>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</si>
  <si>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</si>
  <si>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</si>
  <si>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</si>
  <si>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</si>
  <si>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</si>
  <si>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</si>
  <si>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</si>
  <si>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</si>
  <si>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</si>
  <si>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</si>
  <si>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</si>
  <si>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</si>
  <si>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</si>
  <si>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</si>
  <si>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</si>
  <si>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</si>
  <si>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</si>
  <si>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</si>
  <si>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</si>
  <si>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</si>
  <si>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</si>
  <si>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</si>
  <si>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</si>
  <si>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</si>
  <si>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</si>
  <si>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</si>
  <si>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</si>
  <si>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</si>
  <si>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</si>
  <si>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</si>
  <si>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</si>
  <si>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</si>
  <si>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</si>
  <si>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</si>
  <si>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</si>
  <si>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</si>
  <si>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</si>
  <si>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</si>
  <si>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</si>
  <si>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</si>
  <si>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</si>
  <si>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</si>
  <si>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</si>
  <si>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</si>
  <si>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</si>
  <si>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</si>
  <si>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</si>
  <si>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</si>
  <si>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</si>
  <si>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</si>
  <si>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</si>
  <si>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</si>
  <si>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</si>
  <si>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</si>
  <si>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</si>
  <si>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</si>
  <si>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</si>
  <si>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</si>
  <si>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</si>
  <si>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</si>
  <si>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</si>
  <si>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</si>
  <si>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</si>
  <si>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</si>
  <si>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</si>
  <si>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</si>
  <si>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</si>
  <si>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</si>
  <si>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</si>
  <si>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</si>
  <si>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</si>
  <si>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</si>
  <si>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</si>
  <si>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</si>
  <si>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</si>
  <si>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</si>
  <si>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</si>
  <si>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</si>
  <si>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</si>
  <si>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</si>
  <si>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</si>
  <si>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</si>
  <si>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</si>
  <si>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</si>
  <si>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</si>
  <si>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</si>
  <si>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</si>
  <si>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</si>
  <si>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</si>
  <si>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</si>
  <si>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</si>
  <si>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</si>
  <si>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</si>
  <si>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</si>
  <si>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</si>
  <si>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</si>
  <si>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</si>
  <si>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</si>
  <si>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</si>
  <si>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</si>
  <si>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</si>
  <si>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</si>
  <si>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</si>
  <si>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</si>
  <si>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</si>
  <si>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</si>
  <si>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</si>
  <si>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</si>
  <si>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</si>
  <si>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</si>
  <si>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</si>
  <si>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</si>
  <si>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</si>
  <si>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</si>
  <si>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</si>
  <si>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</si>
  <si>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</si>
  <si>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</si>
  <si>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</si>
  <si>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</si>
  <si>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</si>
  <si>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</si>
  <si>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</si>
  <si>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</si>
  <si>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</si>
  <si>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</si>
  <si>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</si>
  <si>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</si>
  <si>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</si>
  <si>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</si>
  <si>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</si>
  <si>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</si>
  <si>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</si>
  <si>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</si>
  <si>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</si>
  <si>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</si>
  <si>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</si>
  <si>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</si>
  <si>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</si>
  <si>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</si>
  <si>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</si>
  <si>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</si>
  <si>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</si>
  <si>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</si>
  <si>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</si>
  <si>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</si>
  <si>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</si>
  <si>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</si>
  <si>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</si>
  <si>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</si>
  <si>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</si>
  <si>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</si>
  <si>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</si>
  <si>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</si>
  <si>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</si>
  <si>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</si>
  <si>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</si>
  <si>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</si>
  <si>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</si>
  <si>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</si>
  <si>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</si>
  <si>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</si>
  <si>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</si>
  <si>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</si>
  <si>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</si>
  <si>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</si>
  <si>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</si>
  <si>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</si>
  <si>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</si>
  <si>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</si>
  <si>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</si>
  <si>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</si>
  <si>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</si>
  <si>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</si>
  <si>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</si>
  <si>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</si>
  <si>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</si>
  <si>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</si>
  <si>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</si>
  <si>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</si>
  <si>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</si>
  <si>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</si>
  <si>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</si>
  <si>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</si>
  <si>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</si>
  <si>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</si>
  <si>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</si>
  <si>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</si>
  <si>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</si>
  <si>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</si>
  <si>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</si>
  <si>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</si>
  <si>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</si>
  <si>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</si>
  <si>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</si>
  <si>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</si>
  <si>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</si>
  <si>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</si>
  <si>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</si>
  <si>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</si>
  <si>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</si>
  <si>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</si>
  <si>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</si>
  <si>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</si>
  <si>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</si>
  <si>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</si>
  <si>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</si>
  <si>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</si>
  <si>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</si>
  <si>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</si>
  <si>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</si>
  <si>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</si>
  <si>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</si>
  <si>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</si>
  <si>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</si>
  <si>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</si>
  <si>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</si>
  <si>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</si>
  <si>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</si>
  <si>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</si>
  <si>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</si>
  <si>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</si>
  <si>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</si>
  <si>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</si>
  <si>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</si>
  <si>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</si>
  <si>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</si>
  <si>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</si>
  <si>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</si>
  <si>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</si>
  <si>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</si>
  <si>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</si>
  <si>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</si>
  <si>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</si>
  <si>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</si>
  <si>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</si>
  <si>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</si>
  <si>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</si>
  <si>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</si>
  <si>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</si>
  <si>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</si>
  <si>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</si>
  <si>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</si>
  <si>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</si>
  <si>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</si>
  <si>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</si>
  <si>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</si>
  <si>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</si>
  <si>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</si>
  <si>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</si>
  <si>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</si>
  <si>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</si>
  <si>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</si>
  <si>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</si>
  <si>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</si>
  <si>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</si>
  <si>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</si>
  <si>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</si>
  <si>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</si>
  <si>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</si>
  <si>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</si>
  <si>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</si>
  <si>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</si>
  <si>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</si>
  <si>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</si>
  <si>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</si>
  <si>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</si>
  <si>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</si>
  <si>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</si>
  <si>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</si>
  <si>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</si>
  <si>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</si>
  <si>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</si>
  <si>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</si>
  <si>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</si>
  <si>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</si>
  <si>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</si>
  <si>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</si>
  <si>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</si>
  <si>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</si>
  <si>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</si>
  <si>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</si>
  <si>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</si>
  <si>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</si>
  <si>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</si>
  <si>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</si>
  <si>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</si>
  <si>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</si>
  <si>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</si>
  <si>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</si>
  <si>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</si>
  <si>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</si>
  <si>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</si>
  <si>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</si>
  <si>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</si>
  <si>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</si>
  <si>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</si>
  <si>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</si>
  <si>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</si>
  <si>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</si>
  <si>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</si>
  <si>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</si>
  <si>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</si>
  <si>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</si>
  <si>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</si>
  <si>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</si>
  <si>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</si>
  <si>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</si>
  <si>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</si>
  <si>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</si>
  <si>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</si>
  <si>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</si>
  <si>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</si>
  <si>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</si>
  <si>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</si>
  <si>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</si>
  <si>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</si>
  <si>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</si>
  <si>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</si>
  <si>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</si>
  <si>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</si>
  <si>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</si>
  <si>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</si>
  <si>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</si>
  <si>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</si>
  <si>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</si>
  <si>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</si>
  <si>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</si>
  <si>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</si>
  <si>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</si>
  <si>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</si>
  <si>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</si>
  <si>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</si>
  <si>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</si>
  <si>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</si>
  <si>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</si>
  <si>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</si>
  <si>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</si>
  <si>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</si>
  <si>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</si>
  <si>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</si>
  <si>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</si>
  <si>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</si>
  <si>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</si>
  <si>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</si>
  <si>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</si>
  <si>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</si>
  <si>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</si>
  <si>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</si>
  <si>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</si>
  <si>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</si>
  <si>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</si>
  <si>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</si>
  <si>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</si>
  <si>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</si>
  <si>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</si>
  <si>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</si>
  <si>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</si>
  <si>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</si>
  <si>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</si>
  <si>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</si>
  <si>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</si>
  <si>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</si>
  <si>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</si>
  <si>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</si>
  <si>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</si>
  <si>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</si>
  <si>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</si>
  <si>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</si>
  <si>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</si>
  <si>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</si>
  <si>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</si>
  <si>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</si>
  <si>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</si>
  <si>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</si>
  <si>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</si>
  <si>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</si>
  <si>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</si>
  <si>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</si>
  <si>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</si>
  <si>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</si>
  <si>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</si>
  <si>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</si>
  <si>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</si>
  <si>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</si>
  <si>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</si>
  <si>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</si>
  <si>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</si>
  <si>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</si>
  <si>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</si>
  <si>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</si>
  <si>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</si>
  <si>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</si>
  <si>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</si>
  <si>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</si>
  <si>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</si>
  <si>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</si>
  <si>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</si>
  <si>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</si>
  <si>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</si>
  <si>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</si>
  <si>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</si>
  <si>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</si>
  <si>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</si>
  <si>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</si>
  <si>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</si>
  <si>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</si>
  <si>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</si>
  <si>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</si>
  <si>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</si>
  <si>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</si>
  <si>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</si>
  <si>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</si>
  <si>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</si>
  <si>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</si>
  <si>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</si>
  <si>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</si>
  <si>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</si>
  <si>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</si>
  <si>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</si>
  <si>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</si>
  <si>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</si>
  <si>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</si>
  <si>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</si>
  <si>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</si>
  <si>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</si>
  <si>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</si>
  <si>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</si>
  <si>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</si>
  <si>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</si>
  <si>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</si>
  <si>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</si>
  <si>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</si>
  <si>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</si>
  <si>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</si>
  <si>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</si>
  <si>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</si>
  <si>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</si>
  <si>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</si>
  <si>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</si>
  <si>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</si>
  <si>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</si>
  <si>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</si>
  <si>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</si>
  <si>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</si>
  <si>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</si>
  <si>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</si>
  <si>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</si>
  <si>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</si>
  <si>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</si>
  <si>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</si>
  <si>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</si>
  <si>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</si>
  <si>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</si>
  <si>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</si>
  <si>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</si>
  <si>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</si>
  <si>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</si>
  <si>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</si>
  <si>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</si>
  <si>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</si>
  <si>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</si>
  <si>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</si>
  <si>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</si>
  <si>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</si>
  <si>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</si>
  <si>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</si>
  <si>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</si>
  <si>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</si>
  <si>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</si>
  <si>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</si>
  <si>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</si>
  <si>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</si>
  <si>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</si>
  <si>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</si>
  <si>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</si>
  <si>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</si>
  <si>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</si>
  <si>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</si>
  <si>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</si>
  <si>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</si>
  <si>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</si>
  <si>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</si>
  <si>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</si>
  <si>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</si>
  <si>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</si>
  <si>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</si>
  <si>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</si>
  <si>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</si>
  <si>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</si>
  <si>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</si>
  <si>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</si>
  <si>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</si>
  <si>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</si>
  <si>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</si>
  <si>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</si>
  <si>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</si>
  <si>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</si>
  <si>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</si>
  <si>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</si>
  <si>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</si>
  <si>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</si>
  <si>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</si>
  <si>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</si>
  <si>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</si>
  <si>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</si>
  <si>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</si>
  <si>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</si>
  <si>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</si>
  <si>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</si>
  <si>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</si>
  <si>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</si>
  <si>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</si>
  <si>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</si>
  <si>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</si>
  <si>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</si>
  <si>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</si>
  <si>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</si>
  <si>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</si>
  <si>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</si>
  <si>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</si>
  <si>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</si>
  <si>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</si>
  <si>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</si>
  <si>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</si>
  <si>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</si>
  <si>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</si>
  <si>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</si>
  <si>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</si>
  <si>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</si>
  <si>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</si>
  <si>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</si>
  <si>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</si>
  <si>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</si>
  <si>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</si>
  <si>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</si>
  <si>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</si>
  <si>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</si>
  <si>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</si>
  <si>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</si>
  <si>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</si>
  <si>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</si>
  <si>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</si>
  <si>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</si>
  <si>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</si>
  <si>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</si>
  <si>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</si>
  <si>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</si>
  <si>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</si>
  <si>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</si>
  <si>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</si>
  <si>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</si>
  <si>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</si>
  <si>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</si>
  <si>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</si>
  <si>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</si>
  <si>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</si>
  <si>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</si>
  <si>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</si>
  <si>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</si>
  <si>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</si>
  <si>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</si>
  <si>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</si>
  <si>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</si>
  <si>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</si>
  <si>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</si>
  <si>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</si>
  <si>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</si>
  <si>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</si>
  <si>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</si>
  <si>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</si>
  <si>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</si>
  <si>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</si>
  <si>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</si>
  <si>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</si>
  <si>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</si>
  <si>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</si>
  <si>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</si>
  <si>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</si>
  <si>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</si>
  <si>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</si>
  <si>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</si>
  <si>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</si>
  <si>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</si>
  <si>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</si>
  <si>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</si>
  <si>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</si>
  <si>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</si>
  <si>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</si>
  <si>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</si>
  <si>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</si>
  <si>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</si>
  <si>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</si>
  <si>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</si>
  <si>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</si>
  <si>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</si>
  <si>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</si>
  <si>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</si>
  <si>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</si>
  <si>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</si>
  <si>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</si>
  <si>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</si>
  <si>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</si>
  <si>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</si>
  <si>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</si>
  <si>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</si>
  <si>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</si>
  <si>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</si>
  <si>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</si>
  <si>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</si>
  <si>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</si>
  <si>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</si>
  <si>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</si>
  <si>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</si>
  <si>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</si>
  <si>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</si>
  <si>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</si>
  <si>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</si>
  <si>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</si>
  <si>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</si>
  <si>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</si>
  <si>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</si>
  <si>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</si>
  <si>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</si>
  <si>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</si>
  <si>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</si>
  <si>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</si>
  <si>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</si>
  <si>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</si>
  <si>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</si>
  <si>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</si>
  <si>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</si>
  <si>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</si>
  <si>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</si>
  <si>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</si>
  <si>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</si>
  <si>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</si>
  <si>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</si>
  <si>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</si>
  <si>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</si>
  <si>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</si>
  <si>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</si>
  <si>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</si>
  <si>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</si>
  <si>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</si>
  <si>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</si>
  <si>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</si>
  <si>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</si>
  <si>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</si>
  <si>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</si>
  <si>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</si>
  <si>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</si>
  <si>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</si>
  <si>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</si>
  <si>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</si>
  <si>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</si>
  <si>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</si>
  <si>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</si>
  <si>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</si>
  <si>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</si>
  <si>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</si>
  <si>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</si>
  <si>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</si>
  <si>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</si>
  <si>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</si>
  <si>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</si>
  <si>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</si>
  <si>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</si>
  <si>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</si>
  <si>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</si>
  <si>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</si>
  <si>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</si>
  <si>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</si>
  <si>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</si>
  <si>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</si>
  <si>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</si>
  <si>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</si>
  <si>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</si>
  <si>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</si>
  <si>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</si>
  <si>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</si>
  <si>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</si>
  <si>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</si>
  <si>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</si>
  <si>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</si>
  <si>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</si>
  <si>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</si>
  <si>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</si>
  <si>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</si>
  <si>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</si>
  <si>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</si>
  <si>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</si>
  <si>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</si>
  <si>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</si>
  <si>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</si>
  <si>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</si>
  <si>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</si>
  <si>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</si>
  <si>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</si>
  <si>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</si>
  <si>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</si>
  <si>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</si>
  <si>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</si>
  <si>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</si>
  <si>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</si>
  <si>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</si>
  <si>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</si>
  <si>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</si>
  <si>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</si>
  <si>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</si>
  <si>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</si>
  <si>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</si>
  <si>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</si>
  <si>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</si>
  <si>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</si>
  <si>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</si>
  <si>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</si>
  <si>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</si>
  <si>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</si>
  <si>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</si>
  <si>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</si>
  <si>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</si>
  <si>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</si>
  <si>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</si>
  <si>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</si>
  <si>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</si>
  <si>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</si>
  <si>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</si>
  <si>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</si>
  <si>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</si>
  <si>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</si>
  <si>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</si>
  <si>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</si>
  <si>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</si>
  <si>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</si>
  <si>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</si>
  <si>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</si>
  <si>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</si>
  <si>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</si>
  <si>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</si>
  <si>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</si>
  <si>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</si>
  <si>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</si>
  <si>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</si>
  <si>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</si>
  <si>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</si>
  <si>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</si>
  <si>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</si>
  <si>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</si>
  <si>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</si>
  <si>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</si>
  <si>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</si>
  <si>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</si>
  <si>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</si>
  <si>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</si>
  <si>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</si>
  <si>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</si>
  <si>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</si>
  <si>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</si>
  <si>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</si>
  <si>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</si>
  <si>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</si>
  <si>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</si>
  <si>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</si>
  <si>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</si>
  <si>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</si>
  <si>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</si>
  <si>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</si>
  <si>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</si>
  <si>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</si>
  <si>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</si>
  <si>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</si>
  <si>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</si>
  <si>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</si>
  <si>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</si>
  <si>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</si>
  <si>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</si>
  <si>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</si>
  <si>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</si>
  <si>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</si>
  <si>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</si>
  <si>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</si>
  <si>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</si>
  <si>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</si>
  <si>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</si>
  <si>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</si>
  <si>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</si>
  <si>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</si>
  <si>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</si>
  <si>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</si>
  <si>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</si>
  <si>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</si>
  <si>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</si>
  <si>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</si>
  <si>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</si>
  <si>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</si>
  <si>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</si>
  <si>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</si>
  <si>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</si>
  <si>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</si>
  <si>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</si>
  <si>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</si>
  <si>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</si>
  <si>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</si>
  <si>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</si>
  <si>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</si>
  <si>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</si>
  <si>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</si>
  <si>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</si>
  <si>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</si>
  <si>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</si>
  <si>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</si>
  <si>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</si>
  <si>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</si>
  <si>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</si>
  <si>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</si>
  <si>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</si>
  <si>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</si>
  <si>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</si>
  <si>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</si>
  <si>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</si>
  <si>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</si>
  <si>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</si>
  <si>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</si>
  <si>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</si>
  <si>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</si>
  <si>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</si>
  <si>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</si>
  <si>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</si>
  <si>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</si>
  <si>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</si>
  <si>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</si>
  <si>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</si>
  <si>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</si>
  <si>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</si>
  <si>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</si>
  <si>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</si>
  <si>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</si>
  <si>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</si>
  <si>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</si>
  <si>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</si>
  <si>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</si>
  <si>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</si>
  <si>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</si>
  <si>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</si>
  <si>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</si>
  <si>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</si>
  <si>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</si>
  <si>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</si>
  <si>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</si>
  <si>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</si>
  <si>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</si>
  <si>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</si>
  <si>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</si>
  <si>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</si>
  <si>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</si>
  <si>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</si>
  <si>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</si>
  <si>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</si>
  <si>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</si>
  <si>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</si>
  <si>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</si>
  <si>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</si>
  <si>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</si>
  <si>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</si>
  <si>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</si>
  <si>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</si>
  <si>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</si>
  <si>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</si>
  <si>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</si>
  <si>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</si>
  <si>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</si>
  <si>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</si>
  <si>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</si>
  <si>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</si>
  <si>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</si>
  <si>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</si>
  <si>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</si>
  <si>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</si>
  <si>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</si>
  <si>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</si>
  <si>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</si>
  <si>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</si>
  <si>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</si>
  <si>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</si>
  <si>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</si>
  <si>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</si>
  <si>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</si>
  <si>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</si>
  <si>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</si>
  <si>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</si>
  <si>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</si>
  <si>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</si>
  <si>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</si>
  <si>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</si>
  <si>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</si>
  <si>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</si>
  <si>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</si>
  <si>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</si>
  <si>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</si>
  <si>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</si>
  <si>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</si>
  <si>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</si>
  <si>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</si>
  <si>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</si>
  <si>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</si>
  <si>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</si>
  <si>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</si>
  <si>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</si>
  <si>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</si>
  <si>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</si>
  <si>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</si>
  <si>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</si>
  <si>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</si>
  <si>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</si>
  <si>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</si>
  <si>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</si>
  <si>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</si>
  <si>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</si>
  <si>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</si>
  <si>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</si>
  <si>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</si>
  <si>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</si>
  <si>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</si>
  <si>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</si>
  <si>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</si>
  <si>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</si>
  <si>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</si>
  <si>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</si>
  <si>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</si>
  <si>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</si>
  <si>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</si>
  <si>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</si>
  <si>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</si>
  <si>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</si>
  <si>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</si>
  <si>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</si>
  <si>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</si>
  <si>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</si>
  <si>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</si>
  <si>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</si>
  <si>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</si>
  <si>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</si>
  <si>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</si>
  <si>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</si>
  <si>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</si>
  <si>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</si>
  <si>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</si>
  <si>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</si>
  <si>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</si>
  <si>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</si>
  <si>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</si>
  <si>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</si>
  <si>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</si>
  <si>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</si>
  <si>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</si>
  <si>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</si>
  <si>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</si>
  <si>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</si>
  <si>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</si>
  <si>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</si>
  <si>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</si>
  <si>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</si>
  <si>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</si>
  <si>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</si>
  <si>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</si>
  <si>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</si>
  <si>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</si>
  <si>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</si>
  <si>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</si>
  <si>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</si>
  <si>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</si>
  <si>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</si>
  <si>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</si>
  <si>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</si>
  <si>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</si>
  <si>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</si>
  <si>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</si>
  <si>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</si>
  <si>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</si>
  <si>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</si>
  <si>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</si>
  <si>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</si>
  <si>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</si>
  <si>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</si>
  <si>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</si>
  <si>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</si>
  <si>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</si>
  <si>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</si>
  <si>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</si>
  <si>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</si>
  <si>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</si>
  <si>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</si>
  <si>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</si>
  <si>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</si>
  <si>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</si>
  <si>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</si>
  <si>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</si>
  <si>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</si>
  <si>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</si>
  <si>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</si>
  <si>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</si>
  <si>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</si>
  <si>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</si>
  <si>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</si>
  <si>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</si>
  <si>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</si>
  <si>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</si>
  <si>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</si>
  <si>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</si>
  <si>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</si>
  <si>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</si>
  <si>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</si>
  <si>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</si>
  <si>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</si>
  <si>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</si>
  <si>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</si>
  <si>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</si>
  <si>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</si>
  <si>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</si>
  <si>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</si>
  <si>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</si>
  <si>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</si>
  <si>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</si>
  <si>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</si>
  <si>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</si>
  <si>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</si>
  <si>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</si>
  <si>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</si>
  <si>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</si>
  <si>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</si>
  <si>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</si>
  <si>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</si>
  <si>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</si>
  <si>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</si>
  <si>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</si>
  <si>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</si>
  <si>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</si>
  <si>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</si>
  <si>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</si>
  <si>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</si>
  <si>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</si>
  <si>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</si>
  <si>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</si>
  <si>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</si>
  <si>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</si>
  <si>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</si>
  <si>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</si>
  <si>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</si>
  <si>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</si>
  <si>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</si>
  <si>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</si>
  <si>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</si>
  <si>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</si>
  <si>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</si>
  <si>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</si>
  <si>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</si>
  <si>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</si>
  <si>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</si>
  <si>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</si>
  <si>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</si>
  <si>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</si>
  <si>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</si>
  <si>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</si>
  <si>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</si>
  <si>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</si>
  <si>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</si>
  <si>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</si>
  <si>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</si>
  <si>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</si>
  <si>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</si>
  <si>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</si>
  <si>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</si>
  <si>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</si>
  <si>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</si>
  <si>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</si>
  <si>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</si>
  <si>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</si>
  <si>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</si>
  <si>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</si>
  <si>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</si>
  <si>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</si>
  <si>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</si>
  <si>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</si>
  <si>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</si>
  <si>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</si>
  <si>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</si>
  <si>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</si>
  <si>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</si>
  <si>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</si>
  <si>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</si>
  <si>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</si>
  <si>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</si>
  <si>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</si>
  <si>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</si>
  <si>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</si>
  <si>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</si>
  <si>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</si>
  <si>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</si>
  <si>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</si>
  <si>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</si>
  <si>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</si>
  <si>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</si>
  <si>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</si>
  <si>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</si>
  <si>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</si>
  <si>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</si>
  <si>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</si>
  <si>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</si>
  <si>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</si>
  <si>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</si>
  <si>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</si>
  <si>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</si>
  <si>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</si>
  <si>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</si>
  <si>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</si>
  <si>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</si>
  <si>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</si>
  <si>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</si>
  <si>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</si>
  <si>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</si>
  <si>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</si>
  <si>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</si>
  <si>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</si>
  <si>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</si>
  <si>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</si>
  <si>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</si>
  <si>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</si>
  <si>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</si>
  <si>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</si>
  <si>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</si>
  <si>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</si>
  <si>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</si>
  <si>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</si>
  <si>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</si>
  <si>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</si>
  <si>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</si>
  <si>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</si>
  <si>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</si>
  <si>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</si>
  <si>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</si>
  <si>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</si>
  <si>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</si>
  <si>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</si>
  <si>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</si>
  <si>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</si>
  <si>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</si>
  <si>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</si>
  <si>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</si>
  <si>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</si>
  <si>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</si>
  <si>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</si>
  <si>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</si>
  <si>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</si>
  <si>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</si>
  <si>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</si>
  <si>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</si>
  <si>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</si>
  <si>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</si>
  <si>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</si>
  <si>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</si>
  <si>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</si>
  <si>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</si>
  <si>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</si>
  <si>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</si>
  <si>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</si>
  <si>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</si>
  <si>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</si>
  <si>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</si>
  <si>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</si>
  <si>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</si>
  <si>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</si>
  <si>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</si>
  <si>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</si>
  <si>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</si>
  <si>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</si>
  <si>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</si>
  <si>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</si>
  <si>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</si>
  <si>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</si>
  <si>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</si>
  <si>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</si>
  <si>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</si>
  <si>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</si>
  <si>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</si>
  <si>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</si>
  <si>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</si>
  <si>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</si>
  <si>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</si>
  <si>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</si>
  <si>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</si>
  <si>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</si>
  <si>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</si>
  <si>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</si>
  <si>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</si>
  <si>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</si>
  <si>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</si>
  <si>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</si>
  <si>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</si>
  <si>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</si>
  <si>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</si>
  <si>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</si>
  <si>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</si>
  <si>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</si>
  <si>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</si>
  <si>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</si>
  <si>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</si>
  <si>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</si>
  <si>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</si>
  <si>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</si>
  <si>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</si>
  <si>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</si>
  <si>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</si>
  <si>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</si>
  <si>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</si>
  <si>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</si>
  <si>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</si>
  <si>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</si>
  <si>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</si>
  <si>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</si>
  <si>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</si>
  <si>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</si>
  <si>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</si>
  <si>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</si>
  <si>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</si>
  <si>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</si>
  <si>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</si>
  <si>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</si>
  <si>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</si>
  <si>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</si>
  <si>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</si>
  <si>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</si>
  <si>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</si>
  <si>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</si>
  <si>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</si>
  <si>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</si>
  <si>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</si>
  <si>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</si>
  <si>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</si>
  <si>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</si>
  <si>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</si>
  <si>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</si>
  <si>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</si>
  <si>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</si>
  <si>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</si>
  <si>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</si>
  <si>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</si>
  <si>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</si>
  <si>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</si>
  <si>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</si>
  <si>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</si>
  <si>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</si>
  <si>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</si>
  <si>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</si>
  <si>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</si>
  <si>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</si>
  <si>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</si>
  <si>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</si>
  <si>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</si>
  <si>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</si>
  <si>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</si>
  <si>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</si>
  <si>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</si>
  <si>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</si>
  <si>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</si>
  <si>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</si>
  <si>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</si>
  <si>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</si>
  <si>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</si>
  <si>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</si>
  <si>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</si>
  <si>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</si>
  <si>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</si>
  <si>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</si>
  <si>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</si>
  <si>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</si>
  <si>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</si>
  <si>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</si>
  <si>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</si>
  <si>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</si>
  <si>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</si>
  <si>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</si>
  <si>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</si>
  <si>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</si>
  <si>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</si>
  <si>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</si>
  <si>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</si>
  <si>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</si>
  <si>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</si>
  <si>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</si>
  <si>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</si>
  <si>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</si>
  <si>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</si>
  <si>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</si>
  <si>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</si>
  <si>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</si>
  <si>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</si>
  <si>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</si>
  <si>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</si>
  <si>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</si>
  <si>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</si>
  <si>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</si>
  <si>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</si>
  <si>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</si>
  <si>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</si>
  <si>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</si>
  <si>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</si>
  <si>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</si>
  <si>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</si>
  <si>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</si>
  <si>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</si>
  <si>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</si>
  <si>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</si>
  <si>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</si>
  <si>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</si>
  <si>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</si>
  <si>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</si>
  <si>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</si>
  <si>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</si>
  <si>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</si>
  <si>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</si>
  <si>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</si>
  <si>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</si>
  <si>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</si>
  <si>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</si>
  <si>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</si>
  <si>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</si>
  <si>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</si>
  <si>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</si>
  <si>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</si>
  <si>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</si>
  <si>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</si>
  <si>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</si>
  <si>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</si>
  <si>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</si>
  <si>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</si>
  <si>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</si>
  <si>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</si>
  <si>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</si>
  <si>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</si>
  <si>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</si>
  <si>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</si>
  <si>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</si>
  <si>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</si>
  <si>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</si>
  <si>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</si>
  <si>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</si>
  <si>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</si>
  <si>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</si>
  <si>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</si>
  <si>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</si>
  <si>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</si>
  <si>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</si>
  <si>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</si>
  <si>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</si>
  <si>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</si>
  <si>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</si>
  <si>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</si>
  <si>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</si>
  <si>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</si>
  <si>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</si>
  <si>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</si>
  <si>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</si>
  <si>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</si>
  <si>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</si>
  <si>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</si>
  <si>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</si>
  <si>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</si>
  <si>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</si>
  <si>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</si>
  <si>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</si>
  <si>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</si>
  <si>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</si>
  <si>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</si>
  <si>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</si>
  <si>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</si>
  <si>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</si>
  <si>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</si>
  <si>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</si>
  <si>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</si>
  <si>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</si>
  <si>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</si>
  <si>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</si>
  <si>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</si>
  <si>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</si>
  <si>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</si>
  <si>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</si>
  <si>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</si>
  <si>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</si>
  <si>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</si>
  <si>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</si>
  <si>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</si>
  <si>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</si>
  <si>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</si>
  <si>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</si>
  <si>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</si>
  <si>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</si>
  <si>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</si>
  <si>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</si>
  <si>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</si>
  <si>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</si>
  <si>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</si>
  <si>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</si>
  <si>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</si>
  <si>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</si>
  <si>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</si>
  <si>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</si>
  <si>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</si>
  <si>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</si>
  <si>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</si>
  <si>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</si>
  <si>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</si>
  <si>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</si>
  <si>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</si>
  <si>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</si>
  <si>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</si>
  <si>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</si>
  <si>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</si>
  <si>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</si>
  <si>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</si>
  <si>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</si>
  <si>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</si>
  <si>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</si>
  <si>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</si>
  <si>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</si>
  <si>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</si>
  <si>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</si>
  <si>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</si>
  <si>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</si>
  <si>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</si>
  <si>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</si>
  <si>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</si>
  <si>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</si>
  <si>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</si>
  <si>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</si>
  <si>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</si>
  <si>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</si>
  <si>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</si>
  <si>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</si>
  <si>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</si>
  <si>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</si>
  <si>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</si>
  <si>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</si>
  <si>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</si>
  <si>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</si>
  <si>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</si>
  <si>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</si>
  <si>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</si>
  <si>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</si>
  <si>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</si>
  <si>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</si>
  <si>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</si>
  <si>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</si>
  <si>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</si>
  <si>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</si>
  <si>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</si>
  <si>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</si>
  <si>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</si>
  <si>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</si>
  <si>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</si>
  <si>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</si>
  <si>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</si>
  <si>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</si>
  <si>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</si>
  <si>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</si>
  <si>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</si>
  <si>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</si>
  <si>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</si>
  <si>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</si>
  <si>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</si>
  <si>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</si>
  <si>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</si>
  <si>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</si>
  <si>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</si>
  <si>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</si>
  <si>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</si>
  <si>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</si>
  <si>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</si>
  <si>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</si>
  <si>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</si>
  <si>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</si>
  <si>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</si>
  <si>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</si>
  <si>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</si>
  <si>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</si>
  <si>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</si>
  <si>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</si>
  <si>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</si>
  <si>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</si>
  <si>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</si>
  <si>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</si>
  <si>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</si>
  <si>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</si>
  <si>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</si>
  <si>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</si>
  <si>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</si>
  <si>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</si>
  <si>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</si>
  <si>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</si>
  <si>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</si>
  <si>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</si>
  <si>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</si>
  <si>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</si>
  <si>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</si>
  <si>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</si>
  <si>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</si>
  <si>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</si>
  <si>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</si>
  <si>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</si>
  <si>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</si>
  <si>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</si>
  <si>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</si>
  <si>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</si>
  <si>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</si>
  <si>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</si>
  <si>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</si>
  <si>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</si>
  <si>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</si>
  <si>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</si>
  <si>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</si>
  <si>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</si>
  <si>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</si>
  <si>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</si>
  <si>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</si>
  <si>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</si>
  <si>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</si>
  <si>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</si>
  <si>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</si>
  <si>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</si>
  <si>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</si>
  <si>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</si>
  <si>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</si>
  <si>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</si>
  <si>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</si>
  <si>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</si>
  <si>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</si>
  <si>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</si>
  <si>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</si>
  <si>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</si>
  <si>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</si>
  <si>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</si>
  <si>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</si>
  <si>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</si>
  <si>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</si>
  <si>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</si>
  <si>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</si>
  <si>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</si>
  <si>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</si>
  <si>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</si>
  <si>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</si>
  <si>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</si>
  <si>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</si>
  <si>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</si>
  <si>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</si>
  <si>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</si>
  <si>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</si>
  <si>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</si>
  <si>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</si>
  <si>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</si>
  <si>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</si>
  <si>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</si>
  <si>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</si>
  <si>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</si>
  <si>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</si>
  <si>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</si>
  <si>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</si>
  <si>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</si>
  <si>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</si>
  <si>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</si>
  <si>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</si>
  <si>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</si>
  <si>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</si>
  <si>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</si>
  <si>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</si>
  <si>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</si>
  <si>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</si>
  <si>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</si>
  <si>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</si>
  <si>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</si>
  <si>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</si>
  <si>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</si>
  <si>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</si>
  <si>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</si>
  <si>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</si>
  <si>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</si>
  <si>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</si>
  <si>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</si>
  <si>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</si>
  <si>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</si>
  <si>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</si>
  <si>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</si>
  <si>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</si>
  <si>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</si>
  <si>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</si>
  <si>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</si>
  <si>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</si>
  <si>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</si>
  <si>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</si>
  <si>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</si>
  <si>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</si>
  <si>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</si>
  <si>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</si>
  <si>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</si>
  <si>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</si>
  <si>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</si>
  <si>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</si>
  <si>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</si>
  <si>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</si>
  <si>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</si>
  <si>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</si>
  <si>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</si>
  <si>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</si>
  <si>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</si>
  <si>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</si>
  <si>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</si>
  <si>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</si>
  <si>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</si>
  <si>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</si>
  <si>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</si>
  <si>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</si>
  <si>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</si>
  <si>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</si>
  <si>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</si>
  <si>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</si>
  <si>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</si>
  <si>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</si>
  <si>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</si>
  <si>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</si>
  <si>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</si>
  <si>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</si>
  <si>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</si>
  <si>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</si>
  <si>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</si>
  <si>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</si>
  <si>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</si>
  <si>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</si>
  <si>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</si>
  <si>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</si>
  <si>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</si>
  <si>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</si>
  <si>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</si>
  <si>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</si>
  <si>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</si>
  <si>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</si>
  <si>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</si>
  <si>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</si>
  <si>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</si>
  <si>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</si>
  <si>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</si>
  <si>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</si>
  <si>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</si>
  <si>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</si>
  <si>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</si>
  <si>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</si>
  <si>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</si>
  <si>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</si>
  <si>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</si>
  <si>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</si>
  <si>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</si>
  <si>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</si>
  <si>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</si>
  <si>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</si>
  <si>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</si>
  <si>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</si>
  <si>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</si>
  <si>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</si>
  <si>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</si>
  <si>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</si>
  <si>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</si>
  <si>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</si>
  <si>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</si>
  <si>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</si>
  <si>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</si>
  <si>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</si>
  <si>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</si>
  <si>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</si>
  <si>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</si>
  <si>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</si>
  <si>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</si>
  <si>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</si>
  <si>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</si>
  <si>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</si>
  <si>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</si>
  <si>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</si>
  <si>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</si>
  <si>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</si>
  <si>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</si>
  <si>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</si>
  <si>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</si>
  <si>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</si>
  <si>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</si>
  <si>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</si>
  <si>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</si>
  <si>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</si>
  <si>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</si>
  <si>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</si>
  <si>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</si>
  <si>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</si>
  <si>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</si>
  <si>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</si>
  <si>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</si>
  <si>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</si>
  <si>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</si>
  <si>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</si>
  <si>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</si>
  <si>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</si>
  <si>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</si>
  <si>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</si>
  <si>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</si>
  <si>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</si>
  <si>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</si>
  <si>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</si>
  <si>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</si>
  <si>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</si>
  <si>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</si>
  <si>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</si>
  <si>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</si>
  <si>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</si>
  <si>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</si>
  <si>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</si>
  <si>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</si>
  <si>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</si>
  <si>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</si>
  <si>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</si>
  <si>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</si>
  <si>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</si>
  <si>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</si>
  <si>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</si>
  <si>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</si>
  <si>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</si>
  <si>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Scott Duenser</t>
  </si>
  <si>
    <t>3957 75th Street</t>
  </si>
  <si>
    <t>Aurora</t>
  </si>
  <si>
    <t>630-898-5578</t>
  </si>
  <si>
    <t>630-225-5128</t>
  </si>
  <si>
    <t>scott.duenser@wipfli.com</t>
  </si>
  <si>
    <t>066-004023</t>
  </si>
  <si>
    <t>Medicaid Admin fee</t>
  </si>
  <si>
    <t>None</t>
  </si>
  <si>
    <t>Unmodified</t>
  </si>
  <si>
    <t>84.027 &amp; 84.173</t>
  </si>
  <si>
    <t>Special Education (IDEA) cluster</t>
  </si>
  <si>
    <t>N/A</t>
  </si>
  <si>
    <t>x</t>
  </si>
  <si>
    <t>DuPage</t>
  </si>
  <si>
    <t xml:space="preserve">General Obligation Bonds </t>
  </si>
  <si>
    <t>Capital Lease</t>
  </si>
  <si>
    <t>Year Ending June 30, 2020</t>
  </si>
  <si>
    <t>Expenditures/Disbursements</t>
  </si>
  <si>
    <t>Final</t>
  </si>
  <si>
    <t>Federal Grantor</t>
  </si>
  <si>
    <t>7/1/18 to</t>
  </si>
  <si>
    <t>Major</t>
  </si>
  <si>
    <t>Pass-Through</t>
  </si>
  <si>
    <t>Number</t>
  </si>
  <si>
    <t>or Contract #</t>
  </si>
  <si>
    <t>6/30/19</t>
  </si>
  <si>
    <t>Pass-Through to</t>
  </si>
  <si>
    <t>Program or Cluster Title</t>
  </si>
  <si>
    <t>(M)</t>
  </si>
  <si>
    <t>Grantor</t>
  </si>
  <si>
    <t>Child Nutrition Cluster</t>
  </si>
  <si>
    <t>United States Department of Agriculture</t>
  </si>
  <si>
    <t>Illinois State Board of Education</t>
  </si>
  <si>
    <t>10.555</t>
  </si>
  <si>
    <t>19-4210-00</t>
  </si>
  <si>
    <t>20-4210-00</t>
  </si>
  <si>
    <t>10.553</t>
  </si>
  <si>
    <t>19-4220-00</t>
  </si>
  <si>
    <t>20-4220-00</t>
  </si>
  <si>
    <t>10.556</t>
  </si>
  <si>
    <t>19-4215-00</t>
  </si>
  <si>
    <t>20-4215-00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</si>
  <si>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</si>
  <si>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</si>
  <si>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</si>
  <si>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</si>
  <si>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</si>
  <si>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</si>
  <si>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</si>
  <si>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</si>
  <si>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</si>
  <si>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</si>
  <si>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IDEA - Flow Through</t>
  </si>
  <si>
    <t>84.027</t>
  </si>
  <si>
    <t>19-4620-00</t>
  </si>
  <si>
    <t>20-4620-00</t>
  </si>
  <si>
    <t>19-4620-EI</t>
  </si>
  <si>
    <t>20-4620-EI</t>
  </si>
  <si>
    <t>IDEA - Room &amp; Board</t>
  </si>
  <si>
    <t>19-4625-00</t>
  </si>
  <si>
    <t>20-4625-00</t>
  </si>
  <si>
    <t>IDEA  - Flow Through Pre-School</t>
  </si>
  <si>
    <t>84.173</t>
  </si>
  <si>
    <t>19-4600-00</t>
  </si>
  <si>
    <t>20-4600-00</t>
  </si>
  <si>
    <t>Total Special Education (IDEA) Cluster</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</si>
  <si>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</si>
  <si>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</si>
  <si>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</si>
  <si>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</si>
  <si>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</si>
  <si>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</si>
  <si>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</si>
  <si>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</si>
  <si>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</si>
  <si>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</si>
  <si>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</si>
  <si>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</si>
  <si>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</si>
  <si>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</si>
  <si>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</si>
  <si>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</si>
  <si>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19-4400-00</t>
  </si>
  <si>
    <t>20-4400-00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</si>
  <si>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</si>
  <si>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</si>
  <si>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</si>
  <si>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</si>
  <si>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</si>
  <si>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</si>
  <si>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</si>
  <si>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</si>
  <si>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</si>
  <si>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</si>
  <si>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</si>
  <si>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</si>
  <si>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</si>
  <si>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</si>
  <si>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</si>
  <si>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</si>
  <si>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Safe Routes to School</t>
  </si>
  <si>
    <t>Illinois Department of Transportation</t>
  </si>
  <si>
    <t>20.205</t>
  </si>
  <si>
    <t>Medical Assistance Program</t>
  </si>
  <si>
    <t>93.778</t>
  </si>
  <si>
    <t>19-4991-00</t>
  </si>
  <si>
    <t>20-4991-00</t>
  </si>
  <si>
    <t>Teen Reach</t>
  </si>
  <si>
    <t>93.558</t>
  </si>
  <si>
    <t>TOTAL FEDERAL AWARDS</t>
  </si>
  <si>
    <t>(M) Program was audited as a major program as defined by §200.518.</t>
  </si>
  <si>
    <t>The accompanying notes are an integral part of this schedule</t>
  </si>
  <si>
    <t>6/30/20</t>
  </si>
  <si>
    <t>7/1/19 to</t>
  </si>
  <si>
    <t>7/1/19-6/30/20</t>
  </si>
  <si>
    <t>IL</t>
  </si>
  <si>
    <t>1 S. Cass Avenue</t>
  </si>
  <si>
    <t>Westmont</t>
  </si>
  <si>
    <t>Capital Lease - Copiers</t>
  </si>
  <si>
    <t>Capital Lease - Buses</t>
  </si>
  <si>
    <t>Cpaital Lease - Devices</t>
  </si>
  <si>
    <t>Capital Lease - Staff Computers</t>
  </si>
  <si>
    <t>Capital Lease - Wireless Infrastructure</t>
  </si>
  <si>
    <t>Capital Lease - Projectors</t>
  </si>
  <si>
    <t>3MD Relocation Services</t>
  </si>
  <si>
    <t>Imperial Services</t>
  </si>
  <si>
    <t>Amsco Engineering</t>
  </si>
  <si>
    <t>Arbor Management</t>
  </si>
  <si>
    <t>O&amp;M - Operations of Plant &amp; Facilities - purchased services</t>
  </si>
  <si>
    <t>Ed - Food Services - purchased services</t>
  </si>
  <si>
    <t>Arbor</t>
  </si>
  <si>
    <t>CLIC/EBF</t>
  </si>
  <si>
    <t>ISDLAF</t>
  </si>
  <si>
    <t>SASED</t>
  </si>
  <si>
    <t>State of Illinois Joint Purchasing</t>
  </si>
  <si>
    <t>The accompanying Schedule of Expenditures of Federal Awards includes the federal grant activity of Maercker School District No. 60 and is presented on the modified accrual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</si>
  <si>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 xml:space="preserve">The following amounts were expended in the form of non-cash assistance by Maercker School District No. 60 and </t>
    </r>
    <r>
      <rPr>
        <b/>
        <sz val="9"/>
        <rFont val="Calibri"/>
        <family val="2"/>
        <scheme val="minor"/>
      </rPr>
      <t>should be</t>
    </r>
    <r>
      <rPr>
        <sz val="9"/>
        <rFont val="Calibri"/>
        <family val="2"/>
        <scheme val="minor"/>
      </rPr>
      <t xml:space="preserve"> included in the Schedule of Expenditures of Federal Awards:</t>
    </r>
  </si>
  <si>
    <t>Of the federal expenditures presented in the schedule, Maercker School District No. 60 provided federal awards to subrecipients as follows:</t>
  </si>
  <si>
    <t>Summer Food Services Program</t>
  </si>
  <si>
    <t>10.559</t>
  </si>
  <si>
    <t>19-4225-00</t>
  </si>
  <si>
    <t>20-4225-00</t>
  </si>
  <si>
    <t>Department of Education</t>
  </si>
  <si>
    <t>School Assoc for Spec Ed in DuPage Co</t>
  </si>
  <si>
    <t>Total Department of Education</t>
  </si>
  <si>
    <t>Title IVA - Student Support</t>
  </si>
  <si>
    <t>Professional Development for Arts Educators</t>
  </si>
  <si>
    <t>84.351</t>
  </si>
  <si>
    <t>19-4998-00</t>
  </si>
  <si>
    <t>20-4998-00</t>
  </si>
  <si>
    <t>Federal Highway Administration</t>
  </si>
  <si>
    <t>Total Federal Highway Administration</t>
  </si>
  <si>
    <t>Department of Health and Human Services</t>
  </si>
  <si>
    <t>Total Department of Health and Human Services</t>
  </si>
  <si>
    <t>Long-term debt errors due to capital lease proceeds and refunding</t>
  </si>
  <si>
    <t xml:space="preserve"> Maercker SD 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</si>
</sst>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sz val="9"/>
      <name val="Helv"/>
    </font>
    <font>
      <b/>
      <sz val="10"/>
      <color theme="1"/>
      <name val="Arial Narrow"/>
      <family val="2"/>
    </font>
    <font>
      <sz val="10"/>
      <color theme="1"/>
      <name val="Arial Narrow"/>
      <family val="2"/>
    </font>
    <font>
      <u/>
      <sz val="12"/>
      <color theme="10"/>
      <name val="Arial Narrow"/>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bottom style="medium">
        <color indexed="64"/>
      </bottom>
      <diagonal/>
    </border>
    <border>
      <left style="thin">
        <color theme="0" tint="-0.499984740745262"/>
      </left>
      <right style="thin">
        <color theme="0" tint="-0.499984740745262"/>
      </right>
      <top style="medium">
        <color auto="1"/>
      </top>
      <bottom style="medium">
        <color indexed="64"/>
      </bottom>
      <diagonal/>
    </border>
    <border>
      <left style="thin">
        <color indexed="64"/>
      </left>
      <right/>
      <top style="thin">
        <color theme="0" tint="-0.499984740745262"/>
      </top>
      <bottom style="thin">
        <color theme="0" tint="-0.499984740745262"/>
      </bottom>
      <diagonal/>
    </border>
  </borders>
  <cellStyleXfs count="2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37" fontId="145" fillId="0" borderId="0"/>
    <xf numFmtId="0" fontId="148" fillId="0" borderId="0" applyNumberFormat="0" applyFill="0" applyBorder="0" applyAlignment="0" applyProtection="0"/>
  </cellStyleXfs>
  <cellXfs count="266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38" fontId="3" fillId="0" borderId="155" xfId="19" applyNumberFormat="1" applyFont="1" applyBorder="1" applyAlignment="1" applyProtection="1">
      <alignment horizontal="right" vertical="top"/>
      <protection locked="0"/>
    </xf>
    <xf numFmtId="0" fontId="147" fillId="0" borderId="0" xfId="21" applyFont="1"/>
    <xf numFmtId="0" fontId="146" fillId="0" borderId="205" xfId="21" applyFont="1" applyBorder="1"/>
    <xf numFmtId="0" fontId="147" fillId="0" borderId="206" xfId="21" applyFont="1" applyBorder="1"/>
    <xf numFmtId="0" fontId="147" fillId="0" borderId="207" xfId="21" applyFont="1" applyBorder="1"/>
    <xf numFmtId="0" fontId="146" fillId="0" borderId="207" xfId="21" applyFont="1" applyBorder="1" applyAlignment="1">
      <alignment horizontal="center"/>
    </xf>
    <xf numFmtId="0" fontId="147" fillId="0" borderId="207" xfId="21" applyFont="1" applyBorder="1" applyAlignment="1">
      <alignment horizontal="center" wrapText="1"/>
    </xf>
    <xf numFmtId="0" fontId="147" fillId="0" borderId="196" xfId="21" applyFont="1" applyBorder="1" applyAlignment="1">
      <alignment horizontal="center"/>
    </xf>
    <xf numFmtId="0" fontId="147" fillId="0" borderId="196" xfId="21" quotePrefix="1" applyFont="1" applyBorder="1" applyAlignment="1">
      <alignment horizontal="center"/>
    </xf>
    <xf numFmtId="185" fontId="147" fillId="0" borderId="204" xfId="22" applyNumberFormat="1" applyFont="1" applyFill="1" applyBorder="1"/>
    <xf numFmtId="0" fontId="147" fillId="0" borderId="205" xfId="21" applyFont="1" applyBorder="1"/>
    <xf numFmtId="0" fontId="147" fillId="0" borderId="0" xfId="21" applyFont="1" applyAlignment="1">
      <alignment horizontal="center" wrapText="1"/>
    </xf>
    <xf numFmtId="185" fontId="147" fillId="0" borderId="0" xfId="21" applyNumberFormat="1" applyFont="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46" fillId="0" borderId="199" xfId="21" applyFont="1" applyBorder="1" applyAlignment="1">
      <alignment horizontal="center" wrapText="1"/>
    </xf>
    <xf numFmtId="0" fontId="146" fillId="0" borderId="202" xfId="21" applyFont="1" applyBorder="1" applyAlignment="1">
      <alignment horizontal="center"/>
    </xf>
    <xf numFmtId="0" fontId="146" fillId="0" borderId="201" xfId="21" applyFont="1" applyBorder="1" applyAlignment="1">
      <alignment horizontal="center" wrapText="1"/>
    </xf>
    <xf numFmtId="0" fontId="146" fillId="0" borderId="203" xfId="21" applyFont="1" applyBorder="1" applyAlignment="1">
      <alignment horizontal="center"/>
    </xf>
    <xf numFmtId="0" fontId="146" fillId="0" borderId="203" xfId="21" applyFont="1" applyBorder="1" applyAlignment="1">
      <alignment horizontal="center" wrapText="1"/>
    </xf>
    <xf numFmtId="0" fontId="146" fillId="0" borderId="203" xfId="21" quotePrefix="1" applyFont="1" applyBorder="1" applyAlignment="1">
      <alignment horizontal="center"/>
    </xf>
    <xf numFmtId="0" fontId="146" fillId="0" borderId="208" xfId="21" applyFont="1" applyBorder="1" applyAlignment="1">
      <alignment horizontal="center" wrapText="1"/>
    </xf>
    <xf numFmtId="0" fontId="146" fillId="0" borderId="208" xfId="21" applyFont="1" applyBorder="1" applyAlignment="1">
      <alignment horizontal="center"/>
    </xf>
    <xf numFmtId="185" fontId="147" fillId="0" borderId="204" xfId="22" applyNumberFormat="1" applyFont="1" applyFill="1" applyBorder="1" applyAlignment="1">
      <alignment horizontal="center"/>
    </xf>
    <xf numFmtId="185" fontId="147" fillId="0" borderId="210" xfId="22" applyNumberFormat="1" applyFont="1" applyFill="1" applyBorder="1"/>
    <xf numFmtId="185" fontId="147" fillId="0" borderId="196" xfId="22" applyNumberFormat="1" applyFont="1" applyFill="1" applyBorder="1"/>
    <xf numFmtId="185" fontId="147" fillId="0" borderId="211" xfId="22" applyNumberFormat="1" applyFont="1" applyFill="1" applyBorder="1"/>
    <xf numFmtId="0" fontId="148" fillId="0" borderId="0" xfId="24" quotePrefix="1" applyFill="1" applyAlignment="1">
      <alignment horizontal="center"/>
    </xf>
    <xf numFmtId="0" fontId="146" fillId="0" borderId="0" xfId="21" applyFont="1" applyAlignment="1">
      <alignment horizontal="center"/>
    </xf>
    <xf numFmtId="0" fontId="146" fillId="0" borderId="201" xfId="21" applyFont="1" applyBorder="1" applyAlignment="1">
      <alignment horizontal="center"/>
    </xf>
    <xf numFmtId="0" fontId="146" fillId="0" borderId="209" xfId="21" applyFont="1" applyBorder="1" applyAlignment="1">
      <alignment horizontal="center"/>
    </xf>
    <xf numFmtId="0" fontId="147" fillId="0" borderId="0" xfId="21" applyFont="1" applyAlignment="1">
      <alignment horizontal="center"/>
    </xf>
    <xf numFmtId="0" fontId="146" fillId="0" borderId="199" xfId="21" applyFont="1" applyBorder="1" applyAlignment="1">
      <alignment horizontal="center"/>
    </xf>
    <xf numFmtId="185" fontId="147" fillId="0" borderId="216" xfId="22" applyNumberFormat="1" applyFont="1" applyFill="1" applyBorder="1"/>
    <xf numFmtId="0" fontId="147" fillId="0" borderId="217" xfId="2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146" fillId="0" borderId="200" xfId="21" applyFont="1" applyBorder="1" applyAlignment="1">
      <alignment horizontal="center"/>
    </xf>
    <xf numFmtId="0" fontId="146" fillId="0" borderId="0" xfId="21" applyFont="1" applyAlignment="1">
      <alignment horizontal="center"/>
    </xf>
    <xf numFmtId="0" fontId="146" fillId="0" borderId="201" xfId="21" applyFont="1" applyBorder="1" applyAlignment="1">
      <alignment horizontal="center"/>
    </xf>
    <xf numFmtId="0" fontId="146" fillId="0" borderId="215" xfId="21" applyFont="1" applyBorder="1" applyAlignment="1">
      <alignment horizontal="center"/>
    </xf>
    <xf numFmtId="0" fontId="146" fillId="0" borderId="188" xfId="21" applyFont="1" applyBorder="1" applyAlignment="1">
      <alignment horizontal="center"/>
    </xf>
    <xf numFmtId="0" fontId="146" fillId="0" borderId="209" xfId="21" applyFont="1" applyBorder="1" applyAlignment="1">
      <alignment horizontal="center"/>
    </xf>
    <xf numFmtId="0" fontId="147" fillId="0" borderId="0" xfId="21" applyFont="1" applyAlignment="1">
      <alignment horizontal="center"/>
    </xf>
    <xf numFmtId="0" fontId="146" fillId="0" borderId="197" xfId="21" applyFont="1" applyBorder="1" applyAlignment="1">
      <alignment horizontal="center"/>
    </xf>
    <xf numFmtId="0" fontId="146" fillId="0" borderId="198" xfId="21" applyFont="1" applyBorder="1" applyAlignment="1">
      <alignment horizontal="center"/>
    </xf>
    <xf numFmtId="0" fontId="146" fillId="0" borderId="199" xfId="21" applyFont="1" applyBorder="1" applyAlignment="1">
      <alignment horizontal="center"/>
    </xf>
    <xf numFmtId="0" fontId="146" fillId="0" borderId="212" xfId="21" applyFont="1" applyBorder="1" applyAlignment="1">
      <alignment horizontal="center"/>
    </xf>
    <xf numFmtId="0" fontId="146" fillId="0" borderId="213" xfId="21" applyFont="1" applyBorder="1" applyAlignment="1">
      <alignment horizontal="center"/>
    </xf>
    <xf numFmtId="0" fontId="146" fillId="0" borderId="214" xfId="21"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5">
    <cellStyle name="Comma" xfId="1" builtinId="3"/>
    <cellStyle name="Comma 2" xfId="22" xr:uid="{A2492703-B0AF-48E7-B7A0-DC7778D557B7}"/>
    <cellStyle name="Hyperlink" xfId="2" builtinId="8"/>
    <cellStyle name="Hyperlink 2" xfId="15" xr:uid="{00000000-0005-0000-0000-000002000000}"/>
    <cellStyle name="Hyperlink 3" xfId="24" xr:uid="{336976C1-FEAB-4799-835F-AB7ECEF7D0C8}"/>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3" xr:uid="{6A037FF9-C1C1-40B7-9CBC-18C63F63435C}"/>
    <cellStyle name="Normal 5" xfId="17" xr:uid="{00000000-0005-0000-0000-000009000000}"/>
    <cellStyle name="Normal 5 2" xfId="19" xr:uid="{00000000-0005-0000-0000-00000A000000}"/>
    <cellStyle name="Normal 6" xfId="20" xr:uid="{00000000-0005-0000-0000-00000B000000}"/>
    <cellStyle name="Normal 7" xfId="21" xr:uid="{7600BEC6-F101-42A2-8569-13232E63967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498175%2006-2020%20Maercker%20School%20District%2060%20(Sync)\Federal%20Summary%20and%20SEF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178186</v>
          </cell>
          <cell r="N9">
            <v>178186</v>
          </cell>
        </row>
        <row r="10">
          <cell r="G10">
            <v>18854</v>
          </cell>
          <cell r="I10">
            <v>137157</v>
          </cell>
          <cell r="N10">
            <v>18854</v>
          </cell>
          <cell r="P10">
            <v>137157</v>
          </cell>
        </row>
        <row r="13">
          <cell r="G13">
            <v>31193</v>
          </cell>
          <cell r="N13">
            <v>31193</v>
          </cell>
        </row>
        <row r="14">
          <cell r="G14">
            <v>2388</v>
          </cell>
          <cell r="I14">
            <v>20916</v>
          </cell>
          <cell r="N14">
            <v>2388</v>
          </cell>
          <cell r="P14">
            <v>20916</v>
          </cell>
        </row>
        <row r="22">
          <cell r="I22">
            <v>29448</v>
          </cell>
          <cell r="P22">
            <v>45819</v>
          </cell>
        </row>
        <row r="23">
          <cell r="I23">
            <v>16371</v>
          </cell>
        </row>
        <row r="25">
          <cell r="G25">
            <v>23430</v>
          </cell>
          <cell r="N25">
            <v>23430</v>
          </cell>
        </row>
        <row r="26">
          <cell r="I26">
            <v>25034</v>
          </cell>
          <cell r="P26">
            <v>25034</v>
          </cell>
        </row>
        <row r="29">
          <cell r="G29">
            <v>13087</v>
          </cell>
          <cell r="N29">
            <v>13087</v>
          </cell>
        </row>
        <row r="30">
          <cell r="I30">
            <v>11991</v>
          </cell>
          <cell r="P30">
            <v>11991</v>
          </cell>
        </row>
        <row r="36">
          <cell r="G36">
            <v>211797</v>
          </cell>
          <cell r="N36">
            <v>211797</v>
          </cell>
          <cell r="U36" t="str">
            <v>X</v>
          </cell>
        </row>
        <row r="37">
          <cell r="G37">
            <v>140360</v>
          </cell>
          <cell r="I37">
            <v>271356</v>
          </cell>
          <cell r="N37">
            <v>140360</v>
          </cell>
          <cell r="P37">
            <v>345885</v>
          </cell>
        </row>
        <row r="38">
          <cell r="I38">
            <v>74529</v>
          </cell>
        </row>
        <row r="40">
          <cell r="G40">
            <v>0</v>
          </cell>
          <cell r="N40">
            <v>0</v>
          </cell>
          <cell r="U40" t="str">
            <v>X</v>
          </cell>
        </row>
        <row r="41">
          <cell r="G41">
            <v>0</v>
          </cell>
          <cell r="I41">
            <v>28949</v>
          </cell>
          <cell r="N41">
            <v>0</v>
          </cell>
          <cell r="P41">
            <v>29829</v>
          </cell>
        </row>
        <row r="42">
          <cell r="I42">
            <v>880</v>
          </cell>
        </row>
        <row r="44">
          <cell r="U44" t="str">
            <v>X</v>
          </cell>
        </row>
        <row r="45">
          <cell r="G45">
            <v>12391</v>
          </cell>
          <cell r="N45">
            <v>12391</v>
          </cell>
        </row>
        <row r="48">
          <cell r="G48">
            <v>5270</v>
          </cell>
          <cell r="N48">
            <v>5270</v>
          </cell>
          <cell r="U48" t="str">
            <v>X</v>
          </cell>
        </row>
        <row r="49">
          <cell r="G49">
            <v>3453</v>
          </cell>
          <cell r="I49">
            <v>6907</v>
          </cell>
          <cell r="N49">
            <v>3453</v>
          </cell>
          <cell r="P49">
            <v>10533</v>
          </cell>
        </row>
        <row r="50">
          <cell r="I50">
            <v>3626</v>
          </cell>
        </row>
        <row r="55">
          <cell r="G55">
            <v>164108</v>
          </cell>
          <cell r="N55">
            <v>164108</v>
          </cell>
        </row>
        <row r="56">
          <cell r="I56">
            <v>87963</v>
          </cell>
          <cell r="P56">
            <v>140019</v>
          </cell>
        </row>
        <row r="57">
          <cell r="I57">
            <v>52056</v>
          </cell>
        </row>
        <row r="63">
          <cell r="G63">
            <v>23492</v>
          </cell>
          <cell r="N63">
            <v>23492</v>
          </cell>
        </row>
        <row r="64">
          <cell r="I64">
            <v>45900</v>
          </cell>
          <cell r="N64">
            <v>0</v>
          </cell>
          <cell r="P64">
            <v>66232</v>
          </cell>
        </row>
        <row r="65">
          <cell r="I65">
            <v>20332</v>
          </cell>
        </row>
        <row r="67">
          <cell r="G67">
            <v>20652</v>
          </cell>
          <cell r="N67">
            <v>20652</v>
          </cell>
        </row>
        <row r="68">
          <cell r="G68">
            <v>721</v>
          </cell>
          <cell r="I68">
            <v>12089</v>
          </cell>
          <cell r="N68">
            <v>721</v>
          </cell>
          <cell r="P68">
            <v>18505</v>
          </cell>
        </row>
        <row r="69">
          <cell r="I69">
            <v>6416</v>
          </cell>
        </row>
        <row r="71">
          <cell r="G71">
            <v>3380</v>
          </cell>
          <cell r="N71">
            <v>3380</v>
          </cell>
        </row>
        <row r="72">
          <cell r="I72">
            <v>0</v>
          </cell>
          <cell r="P72">
            <v>0</v>
          </cell>
        </row>
        <row r="75">
          <cell r="G75">
            <v>21435</v>
          </cell>
          <cell r="N75">
            <v>21435</v>
          </cell>
        </row>
        <row r="76">
          <cell r="I76">
            <v>10870</v>
          </cell>
          <cell r="P76">
            <v>10870</v>
          </cell>
        </row>
        <row r="103">
          <cell r="G103">
            <v>25047</v>
          </cell>
          <cell r="N103">
            <v>25047</v>
          </cell>
        </row>
        <row r="104">
          <cell r="I104">
            <v>30431</v>
          </cell>
          <cell r="P104">
            <v>30431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54">
        <f>+'AFR20'!E4</f>
        <v>44119</v>
      </c>
      <c r="C1" s="2154"/>
      <c r="D1" s="2155"/>
      <c r="I1" s="2113" t="s">
        <v>401</v>
      </c>
      <c r="J1" s="2114"/>
      <c r="K1" s="2114"/>
      <c r="L1" s="2114"/>
      <c r="M1" s="2114"/>
      <c r="N1" s="2114"/>
      <c r="O1" s="2114"/>
      <c r="P1" s="2114"/>
      <c r="Q1" s="2114"/>
      <c r="R1" s="2114"/>
      <c r="S1" s="2114"/>
    </row>
    <row r="2" spans="1:32" ht="12" customHeight="1" x14ac:dyDescent="0.2">
      <c r="A2" s="1830" t="str">
        <f>"Due to ISBE on "</f>
        <v xml:space="preserve">Due to ISBE on </v>
      </c>
      <c r="B2" s="2156">
        <f>+'AFR20'!F4</f>
        <v>44151</v>
      </c>
      <c r="C2" s="2156"/>
      <c r="D2" s="2157"/>
      <c r="I2" s="2115" t="s">
        <v>2002</v>
      </c>
      <c r="J2" s="2114"/>
      <c r="K2" s="2114"/>
      <c r="L2" s="2114"/>
      <c r="M2" s="2114"/>
      <c r="N2" s="2114"/>
      <c r="O2" s="2114"/>
      <c r="P2" s="2114"/>
      <c r="Q2" s="2114"/>
      <c r="R2" s="2114"/>
      <c r="S2" s="2114"/>
    </row>
    <row r="3" spans="1:32" ht="12" customHeight="1" x14ac:dyDescent="0.2">
      <c r="A3" s="1833" t="str">
        <f>"SD/JA"&amp;MID('AFR20'!E2,3,2)</f>
        <v>SD/JA20</v>
      </c>
      <c r="B3" s="151"/>
      <c r="C3" s="151"/>
      <c r="D3" s="152"/>
      <c r="I3" s="2115" t="s">
        <v>52</v>
      </c>
      <c r="J3" s="2114"/>
      <c r="K3" s="2114"/>
      <c r="L3" s="2114"/>
      <c r="M3" s="2114"/>
      <c r="N3" s="2114"/>
      <c r="O3" s="2114"/>
      <c r="P3" s="2114"/>
      <c r="Q3" s="2114"/>
      <c r="R3" s="2114"/>
      <c r="S3" s="2114"/>
    </row>
    <row r="4" spans="1:32" ht="12" customHeight="1" x14ac:dyDescent="0.2">
      <c r="A4" s="37"/>
      <c r="I4" s="2115" t="s">
        <v>520</v>
      </c>
      <c r="J4" s="2114"/>
      <c r="K4" s="2114"/>
      <c r="L4" s="2114"/>
      <c r="M4" s="2114"/>
      <c r="N4" s="2114"/>
      <c r="O4" s="2114"/>
      <c r="P4" s="2114"/>
      <c r="Q4" s="2114"/>
      <c r="R4" s="2114"/>
      <c r="S4" s="2114"/>
    </row>
    <row r="5" spans="1:32" ht="14.1" customHeight="1" x14ac:dyDescent="0.2">
      <c r="B5" s="101" t="s">
        <v>2047</v>
      </c>
      <c r="C5" s="26" t="s">
        <v>903</v>
      </c>
      <c r="D5" s="81"/>
      <c r="E5" s="81"/>
      <c r="H5" s="38"/>
      <c r="I5" s="2123" t="s">
        <v>674</v>
      </c>
      <c r="J5" s="2122"/>
      <c r="K5" s="2122"/>
      <c r="L5" s="2122"/>
      <c r="M5" s="2122"/>
      <c r="N5" s="2122"/>
      <c r="O5" s="2122"/>
      <c r="P5" s="2122"/>
      <c r="Q5" s="2122"/>
      <c r="R5" s="2122"/>
      <c r="S5" s="2122"/>
      <c r="AF5" s="1826"/>
    </row>
    <row r="6" spans="1:32" ht="14.1" customHeight="1" x14ac:dyDescent="0.2">
      <c r="B6" s="101"/>
      <c r="C6" s="26" t="s">
        <v>904</v>
      </c>
      <c r="D6" s="81"/>
      <c r="E6" s="81"/>
      <c r="I6" s="2121" t="s">
        <v>876</v>
      </c>
      <c r="J6" s="2122"/>
      <c r="K6" s="2122"/>
      <c r="L6" s="2122"/>
      <c r="M6" s="2122"/>
      <c r="N6" s="2122"/>
      <c r="O6" s="2122"/>
      <c r="P6" s="2122"/>
      <c r="Q6" s="2122"/>
      <c r="R6" s="2122"/>
      <c r="S6" s="2122"/>
    </row>
    <row r="7" spans="1:32" ht="12.2" customHeight="1" x14ac:dyDescent="0.2">
      <c r="I7" s="2116" t="str">
        <f>"June 30, "&amp;'AFR20'!E2</f>
        <v>June 30, 2020</v>
      </c>
      <c r="J7" s="2117"/>
      <c r="K7" s="2117"/>
      <c r="L7" s="2117"/>
      <c r="M7" s="2117"/>
      <c r="N7" s="2117"/>
      <c r="O7" s="2117"/>
      <c r="P7" s="2117"/>
      <c r="Q7" s="2117"/>
      <c r="R7" s="2117"/>
      <c r="S7" s="211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8" t="s">
        <v>668</v>
      </c>
      <c r="J9" s="2119"/>
      <c r="K9" s="2119"/>
      <c r="L9" s="2119"/>
      <c r="M9" s="2119"/>
      <c r="N9" s="2119"/>
      <c r="O9" s="2119"/>
      <c r="P9" s="2119"/>
      <c r="Q9" s="2119"/>
      <c r="R9" s="2119"/>
      <c r="S9" s="2120"/>
      <c r="T9" s="2171" t="s">
        <v>529</v>
      </c>
      <c r="U9" s="2172"/>
      <c r="V9" s="2172"/>
      <c r="W9" s="2172"/>
      <c r="X9" s="2172"/>
      <c r="Y9" s="2172"/>
      <c r="Z9" s="2172"/>
      <c r="AA9" s="2173"/>
    </row>
    <row r="10" spans="1:32" ht="13.5" customHeight="1" x14ac:dyDescent="0.2">
      <c r="A10" s="2178" t="s">
        <v>669</v>
      </c>
      <c r="B10" s="2179"/>
      <c r="C10" s="2179"/>
      <c r="D10" s="2179"/>
      <c r="E10" s="2179"/>
      <c r="F10" s="2179"/>
      <c r="G10" s="2179"/>
      <c r="H10" s="2180"/>
      <c r="I10" s="29"/>
      <c r="J10" s="30"/>
      <c r="K10" s="28"/>
      <c r="R10" s="30"/>
      <c r="S10" s="30"/>
      <c r="T10" s="2174"/>
      <c r="U10" s="2122"/>
      <c r="V10" s="2122"/>
      <c r="W10" s="2122"/>
      <c r="X10" s="2122"/>
      <c r="Y10" s="2122"/>
      <c r="Z10" s="2122"/>
      <c r="AA10" s="2128"/>
    </row>
    <row r="11" spans="1:32" ht="14.25" customHeight="1" x14ac:dyDescent="0.2">
      <c r="A11" s="2181" t="s">
        <v>948</v>
      </c>
      <c r="B11" s="2182"/>
      <c r="C11" s="2182"/>
      <c r="D11" s="2182"/>
      <c r="E11" s="2182"/>
      <c r="F11" s="2182"/>
      <c r="G11" s="2182"/>
      <c r="H11" s="2183"/>
      <c r="I11" s="27"/>
      <c r="J11" s="71"/>
      <c r="K11" s="27"/>
      <c r="O11" s="144"/>
      <c r="P11" s="97" t="s">
        <v>199</v>
      </c>
      <c r="Q11" s="30"/>
      <c r="R11" s="28"/>
      <c r="S11" s="27"/>
      <c r="T11" s="2175"/>
      <c r="U11" s="2176"/>
      <c r="V11" s="2176"/>
      <c r="W11" s="2176"/>
      <c r="X11" s="2176"/>
      <c r="Y11" s="2176"/>
      <c r="Z11" s="2176"/>
      <c r="AA11" s="2177"/>
    </row>
    <row r="12" spans="1:32" ht="13.5" customHeight="1" x14ac:dyDescent="0.2">
      <c r="A12" s="82" t="s">
        <v>918</v>
      </c>
      <c r="B12" s="73"/>
      <c r="C12" s="73"/>
      <c r="D12" s="73"/>
      <c r="E12" s="73"/>
      <c r="F12" s="73"/>
      <c r="G12" s="73"/>
      <c r="H12" s="50"/>
      <c r="I12" s="29"/>
      <c r="J12" s="30"/>
      <c r="K12" s="28"/>
      <c r="O12" s="145" t="s">
        <v>2047</v>
      </c>
      <c r="P12" s="97" t="s">
        <v>200</v>
      </c>
      <c r="Q12" s="71"/>
      <c r="R12" s="30"/>
      <c r="S12" s="30"/>
      <c r="T12" s="82" t="s">
        <v>262</v>
      </c>
      <c r="U12" s="48"/>
      <c r="V12" s="48"/>
      <c r="W12" s="48"/>
      <c r="X12" s="48"/>
      <c r="Y12" s="43"/>
      <c r="Z12" s="43"/>
      <c r="AA12" s="44"/>
    </row>
    <row r="13" spans="1:32" ht="13.5" customHeight="1" x14ac:dyDescent="0.2">
      <c r="A13" s="2134">
        <v>19022060002</v>
      </c>
      <c r="B13" s="2135"/>
      <c r="C13" s="2135"/>
      <c r="D13" s="2135"/>
      <c r="E13" s="2135"/>
      <c r="F13" s="2135"/>
      <c r="G13" s="2135"/>
      <c r="H13" s="2136"/>
      <c r="I13" s="31"/>
      <c r="J13" s="30"/>
      <c r="K13" s="28"/>
      <c r="L13" s="30"/>
      <c r="M13" s="30"/>
      <c r="N13" s="30"/>
      <c r="O13" s="30"/>
      <c r="P13" s="30"/>
      <c r="Q13" s="30"/>
      <c r="R13" s="30"/>
      <c r="S13" s="30"/>
      <c r="T13" s="2140" t="s">
        <v>2048</v>
      </c>
      <c r="U13" s="2141"/>
      <c r="V13" s="2141"/>
      <c r="W13" s="2141"/>
      <c r="X13" s="2141"/>
      <c r="Y13" s="2142"/>
      <c r="Z13" s="2142"/>
      <c r="AA13" s="2143"/>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37" t="s">
        <v>2063</v>
      </c>
      <c r="B15" s="2138"/>
      <c r="C15" s="2138"/>
      <c r="D15" s="2138"/>
      <c r="E15" s="2138"/>
      <c r="F15" s="2138"/>
      <c r="G15" s="2138"/>
      <c r="H15" s="2139"/>
      <c r="T15" s="2144" t="s">
        <v>2049</v>
      </c>
      <c r="U15" s="2101"/>
      <c r="V15" s="2101"/>
      <c r="W15" s="2101"/>
      <c r="X15" s="2101"/>
      <c r="Y15" s="2145"/>
      <c r="Z15" s="2145"/>
      <c r="AA15" s="214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07" t="s">
        <v>2205</v>
      </c>
      <c r="B17" s="2108"/>
      <c r="C17" s="2108"/>
      <c r="D17" s="2108"/>
      <c r="E17" s="2108"/>
      <c r="F17" s="2108"/>
      <c r="G17" s="2108"/>
      <c r="H17" s="2133"/>
      <c r="T17" s="2151" t="s">
        <v>2050</v>
      </c>
      <c r="U17" s="2152"/>
      <c r="V17" s="2152"/>
      <c r="W17" s="2152"/>
      <c r="X17" s="2152"/>
      <c r="Y17" s="2152"/>
      <c r="Z17" s="2152"/>
      <c r="AA17" s="2153"/>
    </row>
    <row r="18" spans="1:27" ht="13.5" customHeight="1" x14ac:dyDescent="0.2">
      <c r="A18" s="82" t="s">
        <v>526</v>
      </c>
      <c r="B18" s="73"/>
      <c r="C18" s="69"/>
      <c r="D18" s="73"/>
      <c r="E18" s="73"/>
      <c r="F18" s="73"/>
      <c r="G18" s="73"/>
      <c r="H18" s="53"/>
      <c r="I18" s="2132" t="s">
        <v>670</v>
      </c>
      <c r="J18" s="2083"/>
      <c r="K18" s="2083"/>
      <c r="L18" s="2083"/>
      <c r="M18" s="2083"/>
      <c r="N18" s="2083"/>
      <c r="O18" s="2083"/>
      <c r="P18" s="2083"/>
      <c r="Q18" s="2083"/>
      <c r="R18" s="2083"/>
      <c r="S18" s="2084"/>
      <c r="T18" s="82" t="s">
        <v>705</v>
      </c>
      <c r="U18" s="48"/>
      <c r="V18" s="69"/>
      <c r="W18" s="47"/>
      <c r="X18" s="82" t="s">
        <v>263</v>
      </c>
      <c r="Y18" s="78"/>
      <c r="Z18" s="154" t="s">
        <v>671</v>
      </c>
      <c r="AA18" s="44"/>
    </row>
    <row r="19" spans="1:27" ht="13.5" customHeight="1" x14ac:dyDescent="0.2">
      <c r="A19" s="2137" t="s">
        <v>2166</v>
      </c>
      <c r="B19" s="2093"/>
      <c r="C19" s="2093"/>
      <c r="D19" s="2093"/>
      <c r="E19" s="2093"/>
      <c r="F19" s="2093"/>
      <c r="G19" s="2093"/>
      <c r="H19" s="2073"/>
      <c r="I19" s="30"/>
      <c r="J19" s="96"/>
      <c r="K19" s="40"/>
      <c r="L19" s="38"/>
      <c r="M19" s="109" t="s">
        <v>311</v>
      </c>
      <c r="P19" s="27"/>
      <c r="Q19" s="27"/>
      <c r="R19" s="27"/>
      <c r="S19" s="31"/>
      <c r="T19" s="2137" t="s">
        <v>2051</v>
      </c>
      <c r="U19" s="2072"/>
      <c r="V19" s="2072"/>
      <c r="W19" s="2073"/>
      <c r="X19" s="2149" t="s">
        <v>2165</v>
      </c>
      <c r="Y19" s="2150"/>
      <c r="Z19" s="2147">
        <v>60504</v>
      </c>
      <c r="AA19" s="214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71" t="s">
        <v>2167</v>
      </c>
      <c r="B21" s="2072"/>
      <c r="C21" s="2072"/>
      <c r="D21" s="2072"/>
      <c r="E21" s="2072"/>
      <c r="F21" s="2072"/>
      <c r="G21" s="2072"/>
      <c r="H21" s="2073"/>
      <c r="I21" s="2127" t="s">
        <v>672</v>
      </c>
      <c r="J21" s="2122"/>
      <c r="K21" s="2122"/>
      <c r="L21" s="2122"/>
      <c r="M21" s="2122"/>
      <c r="N21" s="2122"/>
      <c r="O21" s="2122"/>
      <c r="P21" s="2122"/>
      <c r="Q21" s="2122"/>
      <c r="R21" s="2122"/>
      <c r="S21" s="2128"/>
      <c r="T21" s="2162" t="s">
        <v>2052</v>
      </c>
      <c r="U21" s="2163"/>
      <c r="V21" s="2163"/>
      <c r="W21" s="2163"/>
      <c r="X21" s="2168" t="s">
        <v>2053</v>
      </c>
      <c r="Y21" s="2169"/>
      <c r="Z21" s="2169"/>
      <c r="AA21" s="2170"/>
    </row>
    <row r="22" spans="1:27" ht="13.5" customHeight="1" x14ac:dyDescent="0.2">
      <c r="A22" s="84" t="s">
        <v>527</v>
      </c>
      <c r="B22" s="56"/>
      <c r="C22" s="56"/>
      <c r="D22" s="56"/>
      <c r="E22" s="56"/>
      <c r="F22" s="56"/>
      <c r="G22" s="56"/>
      <c r="H22" s="57"/>
      <c r="I22" s="2129" t="s">
        <v>1414</v>
      </c>
      <c r="J22" s="2130"/>
      <c r="K22" s="2130"/>
      <c r="L22" s="2130"/>
      <c r="M22" s="2130"/>
      <c r="N22" s="2130"/>
      <c r="O22" s="2130"/>
      <c r="P22" s="2130"/>
      <c r="Q22" s="2130"/>
      <c r="R22" s="2130"/>
      <c r="S22" s="2131"/>
      <c r="T22" s="82" t="s">
        <v>1501</v>
      </c>
      <c r="U22" s="48"/>
      <c r="V22" s="69"/>
      <c r="W22" s="48"/>
      <c r="X22" s="155" t="s">
        <v>1308</v>
      </c>
      <c r="Z22" s="43"/>
      <c r="AA22" s="44"/>
    </row>
    <row r="23" spans="1:27" ht="13.5" customHeight="1" x14ac:dyDescent="0.2">
      <c r="A23" s="2124"/>
      <c r="B23" s="2125"/>
      <c r="C23" s="2125"/>
      <c r="D23" s="2125"/>
      <c r="E23" s="2125"/>
      <c r="F23" s="2125"/>
      <c r="G23" s="2125"/>
      <c r="H23" s="2126"/>
      <c r="T23" s="2107" t="s">
        <v>2055</v>
      </c>
      <c r="U23" s="2161"/>
      <c r="V23" s="2161"/>
      <c r="W23" s="2161"/>
      <c r="X23" s="2165">
        <v>44530</v>
      </c>
      <c r="Y23" s="2166"/>
      <c r="Z23" s="2166"/>
      <c r="AA23" s="2167"/>
    </row>
    <row r="24" spans="1:27" ht="14.1" customHeight="1" x14ac:dyDescent="0.2">
      <c r="A24" s="85" t="s">
        <v>671</v>
      </c>
      <c r="B24" s="46"/>
      <c r="C24" s="46"/>
      <c r="D24" s="46"/>
      <c r="E24" s="46"/>
      <c r="F24" s="46"/>
      <c r="G24" s="46"/>
      <c r="H24" s="58"/>
      <c r="J24" s="2094">
        <f>IF(B5="x",IF(AUDITCHECK!D29="AFR form Incomplete.","",IF(AUDITCHECK!D29="Deficit reduction plan is required.","School District must complete a deficit reduction plan in the 2019-2020 Budget",)),"")</f>
        <v>0</v>
      </c>
      <c r="K24" s="2094"/>
      <c r="L24" s="2094"/>
      <c r="M24" s="2094"/>
      <c r="N24" s="2094"/>
      <c r="O24" s="2094"/>
      <c r="P24" s="2094"/>
      <c r="Q24" s="2094"/>
      <c r="R24" s="2094"/>
      <c r="S24" s="2095"/>
      <c r="T24" s="102" t="s">
        <v>527</v>
      </c>
      <c r="U24" s="103"/>
      <c r="V24" s="103"/>
      <c r="W24" s="103"/>
      <c r="X24" s="104"/>
      <c r="Y24" s="104"/>
      <c r="Z24" s="104"/>
      <c r="AA24" s="105"/>
    </row>
    <row r="25" spans="1:27" ht="14.1" customHeight="1" x14ac:dyDescent="0.2">
      <c r="A25" s="2071">
        <v>60559</v>
      </c>
      <c r="B25" s="2072"/>
      <c r="C25" s="2072"/>
      <c r="D25" s="2072"/>
      <c r="E25" s="2072"/>
      <c r="F25" s="2072"/>
      <c r="G25" s="2072"/>
      <c r="H25" s="2073"/>
      <c r="I25" s="110"/>
      <c r="J25" s="2096"/>
      <c r="K25" s="2096"/>
      <c r="L25" s="2096"/>
      <c r="M25" s="2096"/>
      <c r="N25" s="2096"/>
      <c r="O25" s="2096"/>
      <c r="P25" s="2096"/>
      <c r="Q25" s="2096"/>
      <c r="R25" s="2096"/>
      <c r="S25" s="2097"/>
      <c r="T25" s="2158" t="s">
        <v>2054</v>
      </c>
      <c r="U25" s="2159"/>
      <c r="V25" s="2159"/>
      <c r="W25" s="2159"/>
      <c r="X25" s="2159"/>
      <c r="Y25" s="2159"/>
      <c r="Z25" s="2159"/>
      <c r="AA25" s="216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82" t="s">
        <v>1496</v>
      </c>
      <c r="J27" s="2083"/>
      <c r="K27" s="2083"/>
      <c r="L27" s="2083"/>
      <c r="M27" s="2083"/>
      <c r="N27" s="2083"/>
      <c r="O27" s="2083"/>
      <c r="P27" s="2083"/>
      <c r="Q27" s="2083"/>
      <c r="R27" s="2083"/>
      <c r="S27" s="2084"/>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2047</v>
      </c>
      <c r="F29" s="137" t="s">
        <v>1306</v>
      </c>
      <c r="G29" s="111"/>
      <c r="I29" s="51"/>
      <c r="J29" s="144" t="s">
        <v>2047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2047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2047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93"/>
      <c r="Q35" s="2072"/>
      <c r="R35" s="207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07"/>
      <c r="B38" s="2108"/>
      <c r="C38" s="2108"/>
      <c r="D38" s="2108"/>
      <c r="E38" s="2108"/>
      <c r="F38" s="2072"/>
      <c r="G38" s="2072"/>
      <c r="H38" s="2073"/>
      <c r="I38" s="2100"/>
      <c r="J38" s="2101"/>
      <c r="K38" s="2101"/>
      <c r="L38" s="2101"/>
      <c r="M38" s="2101"/>
      <c r="N38" s="2101"/>
      <c r="O38" s="2101"/>
      <c r="P38" s="2102"/>
      <c r="Q38" s="2102"/>
      <c r="R38" s="2102"/>
      <c r="S38" s="2103"/>
      <c r="T38" s="2144"/>
      <c r="U38" s="2101"/>
      <c r="V38" s="2101"/>
      <c r="W38" s="2101"/>
      <c r="X38" s="2102"/>
      <c r="Y38" s="2102"/>
      <c r="Z38" s="2102"/>
      <c r="AA38" s="2103"/>
    </row>
    <row r="39" spans="1:27" ht="12" customHeight="1" x14ac:dyDescent="0.2">
      <c r="A39" s="2077" t="s">
        <v>527</v>
      </c>
      <c r="B39" s="2078"/>
      <c r="C39" s="69"/>
      <c r="D39" s="66"/>
      <c r="E39" s="66"/>
      <c r="F39" s="76"/>
      <c r="G39" s="66"/>
      <c r="H39" s="53"/>
      <c r="I39" s="2077" t="s">
        <v>527</v>
      </c>
      <c r="J39" s="2078"/>
      <c r="K39" s="2078"/>
      <c r="L39" s="2078"/>
      <c r="M39" s="2078"/>
      <c r="N39" s="64"/>
      <c r="O39" s="69"/>
      <c r="P39" s="69"/>
      <c r="Q39" s="75"/>
      <c r="R39" s="69"/>
      <c r="S39" s="53"/>
      <c r="T39" s="69" t="s">
        <v>527</v>
      </c>
      <c r="U39" s="48"/>
      <c r="V39" s="69"/>
      <c r="W39" s="47"/>
      <c r="X39" s="75"/>
      <c r="Y39" s="43"/>
      <c r="Z39" s="43"/>
      <c r="AA39" s="44"/>
    </row>
    <row r="40" spans="1:27" ht="13.5" customHeight="1" x14ac:dyDescent="0.2">
      <c r="A40" s="2085"/>
      <c r="B40" s="2086"/>
      <c r="C40" s="2087"/>
      <c r="D40" s="2087"/>
      <c r="E40" s="2087"/>
      <c r="F40" s="2088"/>
      <c r="G40" s="2088"/>
      <c r="H40" s="2089"/>
      <c r="I40" s="2110"/>
      <c r="J40" s="2111"/>
      <c r="K40" s="2111"/>
      <c r="L40" s="2111"/>
      <c r="M40" s="2111"/>
      <c r="N40" s="2111"/>
      <c r="O40" s="2111"/>
      <c r="P40" s="2111"/>
      <c r="Q40" s="2111"/>
      <c r="R40" s="2111"/>
      <c r="S40" s="2112"/>
      <c r="T40" s="2110"/>
      <c r="U40" s="2164"/>
      <c r="V40" s="2111"/>
      <c r="W40" s="2111"/>
      <c r="X40" s="2111"/>
      <c r="Y40" s="2111"/>
      <c r="Z40" s="2111"/>
      <c r="AA40" s="211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99"/>
      <c r="B42" s="2091"/>
      <c r="C42" s="2092"/>
      <c r="D42" s="2090"/>
      <c r="E42" s="2091"/>
      <c r="F42" s="2091"/>
      <c r="G42" s="2091"/>
      <c r="H42" s="2092"/>
      <c r="I42" s="2074"/>
      <c r="J42" s="2075"/>
      <c r="K42" s="2075"/>
      <c r="L42" s="2075"/>
      <c r="M42" s="2075"/>
      <c r="N42" s="2075"/>
      <c r="O42" s="2076"/>
      <c r="P42" s="2109"/>
      <c r="Q42" s="2075"/>
      <c r="R42" s="2075"/>
      <c r="S42" s="2076"/>
      <c r="T42" s="2074"/>
      <c r="U42" s="2075"/>
      <c r="V42" s="2075"/>
      <c r="W42" s="2076"/>
      <c r="X42" s="2109"/>
      <c r="Y42" s="2075"/>
      <c r="Z42" s="2075"/>
      <c r="AA42" s="207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04"/>
      <c r="B44" s="2105"/>
      <c r="C44" s="2105"/>
      <c r="D44" s="2105"/>
      <c r="E44" s="2105"/>
      <c r="F44" s="2105"/>
      <c r="G44" s="2105"/>
      <c r="H44" s="2106"/>
      <c r="I44" s="2079"/>
      <c r="J44" s="2080"/>
      <c r="K44" s="2080"/>
      <c r="L44" s="2080"/>
      <c r="M44" s="2080"/>
      <c r="N44" s="2080"/>
      <c r="O44" s="2080"/>
      <c r="P44" s="2080"/>
      <c r="Q44" s="2080"/>
      <c r="R44" s="2080"/>
      <c r="S44" s="2081"/>
      <c r="T44" s="2079"/>
      <c r="U44" s="2098"/>
      <c r="V44" s="2098"/>
      <c r="W44" s="2098"/>
      <c r="X44" s="2098"/>
      <c r="Y44" s="2098"/>
      <c r="Z44" s="2080"/>
      <c r="AA44" s="2081"/>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B11" sqref="B11"/>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22" t="s">
        <v>1778</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323"/>
      <c r="B3" s="1294"/>
      <c r="C3" s="1295"/>
      <c r="D3" s="1296" t="s">
        <v>254</v>
      </c>
      <c r="E3" s="1295"/>
      <c r="F3" s="1296" t="s">
        <v>255</v>
      </c>
    </row>
    <row r="4" spans="1:8" ht="13.7" customHeight="1" x14ac:dyDescent="0.2">
      <c r="A4" s="579" t="s">
        <v>1146</v>
      </c>
      <c r="B4" s="1720">
        <f>'Revenues 9-14'!C5</f>
        <v>14904405</v>
      </c>
      <c r="C4" s="1721">
        <v>7725929</v>
      </c>
      <c r="D4" s="1722">
        <f>B4-C4</f>
        <v>7178476</v>
      </c>
      <c r="E4" s="1721">
        <v>15129219</v>
      </c>
      <c r="F4" s="1722">
        <f>E4-C4</f>
        <v>7403290</v>
      </c>
    </row>
    <row r="5" spans="1:8" ht="13.7" customHeight="1" x14ac:dyDescent="0.2">
      <c r="A5" s="579" t="s">
        <v>864</v>
      </c>
      <c r="B5" s="1723">
        <f>'Revenues 9-14'!D5</f>
        <v>1605382</v>
      </c>
      <c r="C5" s="1663">
        <v>833669</v>
      </c>
      <c r="D5" s="1724">
        <f t="shared" ref="D5:D18" si="0">B5-C5</f>
        <v>771713</v>
      </c>
      <c r="E5" s="1663">
        <v>1632524</v>
      </c>
      <c r="F5" s="1724">
        <f>E5-C5</f>
        <v>798855</v>
      </c>
    </row>
    <row r="6" spans="1:8" ht="13.7" customHeight="1" x14ac:dyDescent="0.2">
      <c r="A6" s="579" t="s">
        <v>407</v>
      </c>
      <c r="B6" s="1723">
        <f>'Revenues 9-14'!E5</f>
        <v>2920283</v>
      </c>
      <c r="C6" s="1663">
        <v>1494157</v>
      </c>
      <c r="D6" s="1724">
        <f t="shared" si="0"/>
        <v>1426126</v>
      </c>
      <c r="E6" s="1663">
        <v>2925918</v>
      </c>
      <c r="F6" s="1724">
        <f t="shared" ref="F6:F18" si="1">E6-C6</f>
        <v>1431761</v>
      </c>
    </row>
    <row r="7" spans="1:8" ht="13.7" customHeight="1" x14ac:dyDescent="0.2">
      <c r="A7" s="579" t="s">
        <v>154</v>
      </c>
      <c r="B7" s="1723">
        <f>'Revenues 9-14'!F5</f>
        <v>313634</v>
      </c>
      <c r="C7" s="1663">
        <v>167008</v>
      </c>
      <c r="D7" s="1724">
        <f t="shared" si="0"/>
        <v>146626</v>
      </c>
      <c r="E7" s="1663">
        <v>327042</v>
      </c>
      <c r="F7" s="1724">
        <f t="shared" si="1"/>
        <v>160034</v>
      </c>
    </row>
    <row r="8" spans="1:8" ht="13.7" customHeight="1" x14ac:dyDescent="0.2">
      <c r="A8" s="579" t="s">
        <v>1170</v>
      </c>
      <c r="B8" s="1723">
        <f>'Revenues 9-14'!G5</f>
        <v>192467</v>
      </c>
      <c r="C8" s="1663">
        <v>100479</v>
      </c>
      <c r="D8" s="1724">
        <f t="shared" si="0"/>
        <v>91988</v>
      </c>
      <c r="E8" s="1663">
        <v>196762</v>
      </c>
      <c r="F8" s="1724">
        <f t="shared" si="1"/>
        <v>96283</v>
      </c>
    </row>
    <row r="9" spans="1:8" ht="13.7" customHeight="1" x14ac:dyDescent="0.2">
      <c r="A9" s="579" t="s">
        <v>404</v>
      </c>
      <c r="B9" s="1723"/>
      <c r="C9" s="1663"/>
      <c r="D9" s="1724">
        <f t="shared" si="0"/>
        <v>0</v>
      </c>
      <c r="E9" s="1663"/>
      <c r="F9" s="1724">
        <f t="shared" si="1"/>
        <v>0</v>
      </c>
    </row>
    <row r="10" spans="1:8" ht="13.7" customHeight="1" x14ac:dyDescent="0.2">
      <c r="A10" s="579" t="s">
        <v>403</v>
      </c>
      <c r="B10" s="1723">
        <f>'Revenues 9-14'!I5</f>
        <v>64474</v>
      </c>
      <c r="C10" s="1663">
        <v>33607</v>
      </c>
      <c r="D10" s="1724">
        <f t="shared" si="0"/>
        <v>30867</v>
      </c>
      <c r="E10" s="1663">
        <v>65811</v>
      </c>
      <c r="F10" s="1724">
        <f t="shared" si="1"/>
        <v>32204</v>
      </c>
    </row>
    <row r="11" spans="1:8" x14ac:dyDescent="0.2">
      <c r="A11" s="579" t="s">
        <v>405</v>
      </c>
      <c r="B11" s="1723"/>
      <c r="C11" s="1663"/>
      <c r="D11" s="1724">
        <f t="shared" si="0"/>
        <v>0</v>
      </c>
      <c r="E11" s="1663"/>
      <c r="F11" s="1724">
        <f t="shared" si="1"/>
        <v>0</v>
      </c>
    </row>
    <row r="12" spans="1:8" ht="13.7" customHeight="1" x14ac:dyDescent="0.2">
      <c r="A12" s="579" t="s">
        <v>156</v>
      </c>
      <c r="B12" s="1723"/>
      <c r="C12" s="1663"/>
      <c r="D12" s="1724">
        <f t="shared" si="0"/>
        <v>0</v>
      </c>
      <c r="E12" s="1663"/>
      <c r="F12" s="1724">
        <f t="shared" si="1"/>
        <v>0</v>
      </c>
    </row>
    <row r="13" spans="1:8" ht="13.7" customHeight="1" x14ac:dyDescent="0.2">
      <c r="A13" s="579" t="s">
        <v>929</v>
      </c>
      <c r="B13" s="1723"/>
      <c r="C13" s="1663"/>
      <c r="D13" s="1724">
        <f t="shared" si="0"/>
        <v>0</v>
      </c>
      <c r="E13" s="1663"/>
      <c r="F13" s="1724">
        <f t="shared" si="1"/>
        <v>0</v>
      </c>
    </row>
    <row r="14" spans="1:8" ht="13.7" customHeight="1" x14ac:dyDescent="0.2">
      <c r="A14" s="579" t="s">
        <v>406</v>
      </c>
      <c r="B14" s="1723"/>
      <c r="C14" s="1663"/>
      <c r="D14" s="1724">
        <f t="shared" si="0"/>
        <v>0</v>
      </c>
      <c r="E14" s="1663"/>
      <c r="F14" s="1724">
        <f t="shared" si="1"/>
        <v>0</v>
      </c>
    </row>
    <row r="15" spans="1:8" ht="13.7" customHeight="1" x14ac:dyDescent="0.2">
      <c r="A15" s="579" t="s">
        <v>1149</v>
      </c>
      <c r="B15" s="1723"/>
      <c r="C15" s="1663"/>
      <c r="D15" s="1724">
        <f t="shared" si="0"/>
        <v>0</v>
      </c>
      <c r="E15" s="1663"/>
      <c r="F15" s="1724">
        <f t="shared" si="1"/>
        <v>0</v>
      </c>
    </row>
    <row r="16" spans="1:8" ht="13.7" customHeight="1" x14ac:dyDescent="0.2">
      <c r="A16" s="579" t="s">
        <v>1150</v>
      </c>
      <c r="B16" s="1723">
        <f>'Revenues 9-14'!G8</f>
        <v>127066</v>
      </c>
      <c r="C16" s="1663">
        <v>66872</v>
      </c>
      <c r="D16" s="1724">
        <f t="shared" si="0"/>
        <v>60194</v>
      </c>
      <c r="E16" s="1663">
        <v>130951</v>
      </c>
      <c r="F16" s="1724">
        <f t="shared" si="1"/>
        <v>64079</v>
      </c>
    </row>
    <row r="17" spans="1:6" ht="13.7" customHeight="1" x14ac:dyDescent="0.2">
      <c r="A17" s="579" t="s">
        <v>1151</v>
      </c>
      <c r="B17" s="1723"/>
      <c r="C17" s="1663"/>
      <c r="D17" s="1724">
        <f t="shared" si="0"/>
        <v>0</v>
      </c>
      <c r="E17" s="1663"/>
      <c r="F17" s="1724">
        <f t="shared" si="1"/>
        <v>0</v>
      </c>
    </row>
    <row r="18" spans="1:6" ht="13.7" customHeight="1" x14ac:dyDescent="0.2">
      <c r="A18" s="579" t="s">
        <v>756</v>
      </c>
      <c r="B18" s="1723"/>
      <c r="C18" s="1663"/>
      <c r="D18" s="1724">
        <f t="shared" si="0"/>
        <v>0</v>
      </c>
      <c r="E18" s="1663"/>
      <c r="F18" s="1724">
        <f t="shared" si="1"/>
        <v>0</v>
      </c>
    </row>
    <row r="19" spans="1:6" ht="13.7" customHeight="1" thickBot="1" x14ac:dyDescent="0.25">
      <c r="A19" s="1432" t="s">
        <v>1152</v>
      </c>
      <c r="B19" s="1725">
        <f>SUM(B4:B18)</f>
        <v>20127711</v>
      </c>
      <c r="C19" s="1725">
        <f>SUM(C4:C18)</f>
        <v>10421721</v>
      </c>
      <c r="D19" s="1725">
        <f>SUM(D4:D18)</f>
        <v>9705990</v>
      </c>
      <c r="E19" s="1725">
        <f>SUM(E4:E18)</f>
        <v>20408227</v>
      </c>
      <c r="F19" s="1725">
        <f>SUM(F4:F18)</f>
        <v>9986506</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I39" sqref="I39:I4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44" t="s">
        <v>624</v>
      </c>
      <c r="B1" s="2342"/>
      <c r="C1" s="585"/>
    </row>
    <row r="2" spans="1:7" ht="33.75" x14ac:dyDescent="0.2">
      <c r="A2" s="2349" t="s">
        <v>1778</v>
      </c>
      <c r="B2" s="2350"/>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51" t="s">
        <v>1105</v>
      </c>
      <c r="B3" s="2352"/>
      <c r="C3" s="2345"/>
      <c r="D3" s="2346"/>
      <c r="E3" s="2346"/>
      <c r="F3" s="2347"/>
    </row>
    <row r="4" spans="1:7" ht="12.75" customHeight="1" thickBot="1" x14ac:dyDescent="0.25">
      <c r="A4" s="2339" t="s">
        <v>625</v>
      </c>
      <c r="B4" s="2340"/>
      <c r="C4" s="1655"/>
      <c r="D4" s="1655"/>
      <c r="E4" s="1655"/>
      <c r="F4" s="1731">
        <f>SUM(C4+D4)-E4</f>
        <v>0</v>
      </c>
    </row>
    <row r="5" spans="1:7" ht="15.75" customHeight="1" thickTop="1" x14ac:dyDescent="0.2">
      <c r="A5" s="2343" t="s">
        <v>1102</v>
      </c>
      <c r="B5" s="2338"/>
      <c r="C5" s="2332"/>
      <c r="D5" s="2333"/>
      <c r="E5" s="2333"/>
      <c r="F5" s="2334"/>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35" t="s">
        <v>626</v>
      </c>
      <c r="B15" s="2336"/>
      <c r="C15" s="1731">
        <f>SUM(C6:C14)</f>
        <v>0</v>
      </c>
      <c r="D15" s="1731">
        <f>SUM(D6:D14)</f>
        <v>0</v>
      </c>
      <c r="E15" s="1731">
        <f>SUM(E6:E14)</f>
        <v>0</v>
      </c>
      <c r="F15" s="1731">
        <f>SUM(F6:F14)</f>
        <v>0</v>
      </c>
      <c r="G15" s="473"/>
    </row>
    <row r="16" spans="1:7" s="197" customFormat="1" ht="15.75" customHeight="1" thickTop="1" x14ac:dyDescent="0.2">
      <c r="A16" s="2348" t="s">
        <v>1103</v>
      </c>
      <c r="B16" s="2338"/>
      <c r="C16" s="2332"/>
      <c r="D16" s="2333"/>
      <c r="E16" s="2333"/>
      <c r="F16" s="2334"/>
    </row>
    <row r="17" spans="1:11" ht="12.75" customHeight="1" thickBot="1" x14ac:dyDescent="0.25">
      <c r="A17" s="2330" t="s">
        <v>64</v>
      </c>
      <c r="B17" s="2331"/>
      <c r="C17" s="1732"/>
      <c r="D17" s="1663"/>
      <c r="E17" s="1732"/>
      <c r="F17" s="1731">
        <f>SUM(C17+D17)-E17</f>
        <v>0</v>
      </c>
    </row>
    <row r="18" spans="1:11" ht="12.75" customHeight="1" thickTop="1" thickBot="1" x14ac:dyDescent="0.25">
      <c r="A18" s="2330" t="s">
        <v>6</v>
      </c>
      <c r="B18" s="2331"/>
      <c r="C18" s="1732"/>
      <c r="D18" s="1663"/>
      <c r="E18" s="1732"/>
      <c r="F18" s="1731">
        <f>SUM(C18+D18)-E18</f>
        <v>0</v>
      </c>
    </row>
    <row r="19" spans="1:11" ht="12.75" customHeight="1" thickTop="1" thickBot="1" x14ac:dyDescent="0.25">
      <c r="A19" s="2330" t="s">
        <v>384</v>
      </c>
      <c r="B19" s="2331"/>
      <c r="C19" s="1732"/>
      <c r="D19" s="1663"/>
      <c r="E19" s="1732"/>
      <c r="F19" s="1731">
        <f>SUM(C19+D19)-E19</f>
        <v>0</v>
      </c>
    </row>
    <row r="20" spans="1:11" ht="12.75" customHeight="1" thickTop="1" thickBot="1" x14ac:dyDescent="0.25">
      <c r="A20" s="2330" t="s">
        <v>444</v>
      </c>
      <c r="B20" s="2331"/>
      <c r="C20" s="1732"/>
      <c r="D20" s="1663"/>
      <c r="E20" s="1732"/>
      <c r="F20" s="1731">
        <f>SUM(C20+D20)-E20</f>
        <v>0</v>
      </c>
    </row>
    <row r="21" spans="1:11" ht="14.25" thickTop="1" thickBot="1" x14ac:dyDescent="0.25">
      <c r="A21" s="2335" t="s">
        <v>627</v>
      </c>
      <c r="B21" s="2336"/>
      <c r="C21" s="1731">
        <f>SUM(C17:C20)</f>
        <v>0</v>
      </c>
      <c r="D21" s="1731">
        <f>SUM(D17:D20)</f>
        <v>0</v>
      </c>
      <c r="E21" s="1731">
        <f>SUM(E17:E20)</f>
        <v>0</v>
      </c>
      <c r="F21" s="1731">
        <f>SUM(F17:F20)</f>
        <v>0</v>
      </c>
      <c r="G21" s="473"/>
    </row>
    <row r="22" spans="1:11" ht="15.75" customHeight="1" thickTop="1" x14ac:dyDescent="0.2">
      <c r="A22" s="2337" t="s">
        <v>1104</v>
      </c>
      <c r="B22" s="2338"/>
      <c r="C22" s="2332"/>
      <c r="D22" s="2333"/>
      <c r="E22" s="2333"/>
      <c r="F22" s="2334"/>
    </row>
    <row r="23" spans="1:11" ht="13.5" thickBot="1" x14ac:dyDescent="0.25">
      <c r="A23" s="2339" t="s">
        <v>628</v>
      </c>
      <c r="B23" s="2340"/>
      <c r="C23" s="1655"/>
      <c r="D23" s="1655"/>
      <c r="E23" s="1655"/>
      <c r="F23" s="1731">
        <f>SUM(C23+D23)-E23</f>
        <v>0</v>
      </c>
      <c r="G23" s="473"/>
    </row>
    <row r="24" spans="1:11" ht="15.75" customHeight="1" thickTop="1" x14ac:dyDescent="0.2">
      <c r="A24" s="2337" t="s">
        <v>2005</v>
      </c>
      <c r="B24" s="2338"/>
      <c r="C24" s="2332"/>
      <c r="D24" s="2333"/>
      <c r="E24" s="2333"/>
      <c r="F24" s="2334"/>
    </row>
    <row r="25" spans="1:11" ht="13.5" thickBot="1" x14ac:dyDescent="0.25">
      <c r="A25" s="2339" t="s">
        <v>2006</v>
      </c>
      <c r="B25" s="2340"/>
      <c r="C25" s="1655"/>
      <c r="D25" s="1655"/>
      <c r="E25" s="1655"/>
      <c r="F25" s="1731">
        <f>SUM(C25+D25)-E25</f>
        <v>0</v>
      </c>
      <c r="G25" s="473"/>
    </row>
    <row r="26" spans="1:11" ht="15.75" customHeight="1" thickTop="1" x14ac:dyDescent="0.2">
      <c r="A26" s="2343" t="s">
        <v>651</v>
      </c>
      <c r="B26" s="2338"/>
      <c r="C26" s="589"/>
      <c r="D26" s="589"/>
      <c r="E26" s="589"/>
      <c r="F26" s="590"/>
    </row>
    <row r="27" spans="1:11" ht="13.5" thickBot="1" x14ac:dyDescent="0.25">
      <c r="A27" s="2335" t="s">
        <v>1062</v>
      </c>
      <c r="B27" s="2336"/>
      <c r="C27" s="1663"/>
      <c r="D27" s="1663"/>
      <c r="E27" s="1663"/>
      <c r="F27" s="1731">
        <f>SUM(C27+D27)-E27</f>
        <v>0</v>
      </c>
      <c r="G27" s="473"/>
    </row>
    <row r="28" spans="1:11" ht="7.5" customHeight="1" thickTop="1" x14ac:dyDescent="0.2">
      <c r="A28" s="489"/>
    </row>
    <row r="29" spans="1:11" ht="23.25" customHeight="1" x14ac:dyDescent="0.2">
      <c r="A29" s="2341" t="s">
        <v>577</v>
      </c>
      <c r="B29" s="2342"/>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1876</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2064</v>
      </c>
      <c r="B31" s="595">
        <v>40975</v>
      </c>
      <c r="C31" s="1733">
        <v>4875000</v>
      </c>
      <c r="D31" s="1734">
        <v>3</v>
      </c>
      <c r="E31" s="1733">
        <v>2960000</v>
      </c>
      <c r="F31" s="1733"/>
      <c r="G31" s="1733"/>
      <c r="H31" s="1733">
        <v>395000</v>
      </c>
      <c r="I31" s="1735">
        <f>((E31+F31)-H31)+G31</f>
        <v>2565000</v>
      </c>
      <c r="J31" s="1733">
        <v>2486435</v>
      </c>
      <c r="K31" s="596"/>
    </row>
    <row r="32" spans="1:11" ht="12" customHeight="1" x14ac:dyDescent="0.2">
      <c r="A32" s="594" t="s">
        <v>2064</v>
      </c>
      <c r="B32" s="595">
        <v>41889</v>
      </c>
      <c r="C32" s="1733">
        <v>9125000</v>
      </c>
      <c r="D32" s="1734">
        <v>3</v>
      </c>
      <c r="E32" s="1733">
        <v>5650000</v>
      </c>
      <c r="F32" s="1733"/>
      <c r="G32" s="1733"/>
      <c r="H32" s="1733">
        <v>730000</v>
      </c>
      <c r="I32" s="1735">
        <f>((E32+F32)-H32)+G32</f>
        <v>4920000</v>
      </c>
      <c r="J32" s="1733">
        <v>4769302</v>
      </c>
      <c r="K32" s="596"/>
    </row>
    <row r="33" spans="1:11" ht="12" customHeight="1" x14ac:dyDescent="0.2">
      <c r="A33" s="594" t="s">
        <v>2064</v>
      </c>
      <c r="B33" s="595">
        <v>43283</v>
      </c>
      <c r="C33" s="1733">
        <v>18195000</v>
      </c>
      <c r="D33" s="1734">
        <v>6</v>
      </c>
      <c r="E33" s="1733">
        <v>18195000</v>
      </c>
      <c r="F33" s="1733"/>
      <c r="G33" s="1733"/>
      <c r="H33" s="1733"/>
      <c r="I33" s="1735">
        <f t="shared" ref="I33:I48" si="1">((E33+F33)-H33)+G33</f>
        <v>18195000</v>
      </c>
      <c r="J33" s="1733">
        <v>17637692</v>
      </c>
      <c r="K33" s="596"/>
    </row>
    <row r="34" spans="1:11" ht="12" customHeight="1" x14ac:dyDescent="0.2">
      <c r="A34" s="594" t="s">
        <v>2064</v>
      </c>
      <c r="B34" s="595">
        <v>43468</v>
      </c>
      <c r="C34" s="1733">
        <v>9340000</v>
      </c>
      <c r="D34" s="1734">
        <v>6</v>
      </c>
      <c r="E34" s="1733">
        <v>9340000</v>
      </c>
      <c r="F34" s="1733"/>
      <c r="G34" s="1733"/>
      <c r="H34" s="1733"/>
      <c r="I34" s="1735">
        <f t="shared" si="1"/>
        <v>9340000</v>
      </c>
      <c r="J34" s="1733">
        <v>9053919</v>
      </c>
      <c r="K34" s="597"/>
    </row>
    <row r="35" spans="1:11" ht="12" customHeight="1" x14ac:dyDescent="0.2">
      <c r="A35" s="594" t="s">
        <v>2064</v>
      </c>
      <c r="B35" s="595">
        <v>43468</v>
      </c>
      <c r="C35" s="1736">
        <v>2340000</v>
      </c>
      <c r="D35" s="1734">
        <v>3</v>
      </c>
      <c r="E35" s="1736">
        <v>2340000</v>
      </c>
      <c r="F35" s="1736"/>
      <c r="G35" s="1736"/>
      <c r="H35" s="1736"/>
      <c r="I35" s="1735">
        <f t="shared" si="1"/>
        <v>2340000</v>
      </c>
      <c r="J35" s="1736">
        <v>2268326</v>
      </c>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t="s">
        <v>2172</v>
      </c>
      <c r="B37" s="595">
        <v>42187</v>
      </c>
      <c r="C37" s="1574">
        <v>202709</v>
      </c>
      <c r="D37" s="1737">
        <v>7</v>
      </c>
      <c r="E37" s="1574">
        <v>75303</v>
      </c>
      <c r="F37" s="1574"/>
      <c r="G37" s="1574"/>
      <c r="H37" s="1574">
        <v>75303</v>
      </c>
      <c r="I37" s="1735">
        <f t="shared" si="1"/>
        <v>0</v>
      </c>
      <c r="J37" s="1574"/>
      <c r="K37" s="597"/>
    </row>
    <row r="38" spans="1:11" ht="12" customHeight="1" x14ac:dyDescent="0.2">
      <c r="A38" s="594" t="s">
        <v>2173</v>
      </c>
      <c r="B38" s="595">
        <v>42566</v>
      </c>
      <c r="C38" s="1733">
        <v>97540</v>
      </c>
      <c r="D38" s="1738">
        <v>7</v>
      </c>
      <c r="E38" s="1739">
        <v>39774</v>
      </c>
      <c r="F38" s="1739"/>
      <c r="G38" s="1739"/>
      <c r="H38" s="1739">
        <v>39774</v>
      </c>
      <c r="I38" s="1735">
        <f t="shared" si="1"/>
        <v>0</v>
      </c>
      <c r="J38" s="1740"/>
      <c r="K38" s="599"/>
    </row>
    <row r="39" spans="1:11" ht="12" customHeight="1" x14ac:dyDescent="0.2">
      <c r="A39" s="594" t="s">
        <v>2168</v>
      </c>
      <c r="B39" s="595">
        <v>42566</v>
      </c>
      <c r="C39" s="1733">
        <v>68911</v>
      </c>
      <c r="D39" s="1738">
        <v>7</v>
      </c>
      <c r="E39" s="1739">
        <v>28100</v>
      </c>
      <c r="F39" s="1739"/>
      <c r="G39" s="1739"/>
      <c r="H39" s="1739">
        <v>13759</v>
      </c>
      <c r="I39" s="1735">
        <f t="shared" si="1"/>
        <v>14341</v>
      </c>
      <c r="J39" s="1740">
        <f>I39</f>
        <v>14341</v>
      </c>
      <c r="K39" s="599"/>
    </row>
    <row r="40" spans="1:11" ht="12" customHeight="1" x14ac:dyDescent="0.2">
      <c r="A40" s="594" t="s">
        <v>2169</v>
      </c>
      <c r="B40" s="595">
        <v>42917</v>
      </c>
      <c r="C40" s="1733">
        <v>680365</v>
      </c>
      <c r="D40" s="1738">
        <v>7</v>
      </c>
      <c r="E40" s="1739">
        <v>493685</v>
      </c>
      <c r="F40" s="1739"/>
      <c r="G40" s="1739"/>
      <c r="H40" s="1739">
        <v>86284</v>
      </c>
      <c r="I40" s="1735">
        <f t="shared" si="1"/>
        <v>407401</v>
      </c>
      <c r="J40" s="1740">
        <f>I40</f>
        <v>407401</v>
      </c>
      <c r="K40" s="599"/>
    </row>
    <row r="41" spans="1:11" ht="12" customHeight="1" x14ac:dyDescent="0.2">
      <c r="A41" s="594" t="s">
        <v>2170</v>
      </c>
      <c r="B41" s="595">
        <v>43283</v>
      </c>
      <c r="C41" s="1733">
        <v>431568</v>
      </c>
      <c r="D41" s="1738">
        <v>7</v>
      </c>
      <c r="E41" s="1739">
        <v>280667</v>
      </c>
      <c r="F41" s="1739"/>
      <c r="G41" s="1739"/>
      <c r="H41" s="1739">
        <v>136924</v>
      </c>
      <c r="I41" s="1735">
        <f t="shared" si="1"/>
        <v>143743</v>
      </c>
      <c r="J41" s="1740">
        <f>I41</f>
        <v>143743</v>
      </c>
      <c r="K41" s="599"/>
    </row>
    <row r="42" spans="1:11" ht="12" customHeight="1" x14ac:dyDescent="0.2">
      <c r="A42" s="594" t="s">
        <v>2171</v>
      </c>
      <c r="B42" s="595">
        <v>43648</v>
      </c>
      <c r="C42" s="1733">
        <v>241464</v>
      </c>
      <c r="D42" s="1738">
        <v>7</v>
      </c>
      <c r="E42" s="1739"/>
      <c r="F42" s="1739">
        <v>241464</v>
      </c>
      <c r="G42" s="1739"/>
      <c r="H42" s="1739">
        <v>64844</v>
      </c>
      <c r="I42" s="1735">
        <f t="shared" si="1"/>
        <v>176620</v>
      </c>
      <c r="J42" s="1740">
        <f>I42</f>
        <v>176620</v>
      </c>
      <c r="K42" s="599"/>
    </row>
    <row r="43" spans="1:11" ht="12" customHeight="1" x14ac:dyDescent="0.2">
      <c r="A43" s="594" t="s">
        <v>2173</v>
      </c>
      <c r="B43" s="595">
        <v>43648</v>
      </c>
      <c r="C43" s="1733">
        <v>189875</v>
      </c>
      <c r="D43" s="1738">
        <v>7</v>
      </c>
      <c r="E43" s="1739"/>
      <c r="F43" s="1739">
        <v>189875</v>
      </c>
      <c r="G43" s="1739"/>
      <c r="H43" s="1739">
        <v>41572</v>
      </c>
      <c r="I43" s="1735">
        <f t="shared" si="1"/>
        <v>148303</v>
      </c>
      <c r="J43" s="1740">
        <f>I43</f>
        <v>148303</v>
      </c>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45787432</v>
      </c>
      <c r="D49" s="1741"/>
      <c r="E49" s="1735">
        <f t="shared" ref="E49:J49" si="2">SUM(E31:E48)</f>
        <v>39402529</v>
      </c>
      <c r="F49" s="1735">
        <f t="shared" si="2"/>
        <v>431339</v>
      </c>
      <c r="G49" s="1735">
        <f t="shared" si="2"/>
        <v>0</v>
      </c>
      <c r="H49" s="1735">
        <f t="shared" si="2"/>
        <v>1583460</v>
      </c>
      <c r="I49" s="1735">
        <f t="shared" si="2"/>
        <v>38250408</v>
      </c>
      <c r="J49" s="1735">
        <f t="shared" si="2"/>
        <v>37106082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24" t="s">
        <v>579</v>
      </c>
      <c r="C52" s="2325"/>
      <c r="D52" s="2325"/>
      <c r="E52" s="603" t="s">
        <v>839</v>
      </c>
      <c r="F52" s="2326" t="s">
        <v>2065</v>
      </c>
      <c r="G52" s="2327"/>
      <c r="H52" s="596"/>
      <c r="I52" s="596"/>
      <c r="J52" s="600"/>
    </row>
    <row r="53" spans="1:11" ht="11.25" customHeight="1" x14ac:dyDescent="0.2">
      <c r="A53" s="604" t="s">
        <v>906</v>
      </c>
      <c r="B53" s="605" t="s">
        <v>944</v>
      </c>
      <c r="C53" s="600"/>
      <c r="D53" s="597"/>
      <c r="E53" s="603" t="s">
        <v>493</v>
      </c>
      <c r="F53" s="2328"/>
      <c r="G53" s="2329"/>
      <c r="H53" s="596"/>
      <c r="I53" s="596"/>
      <c r="J53" s="600"/>
    </row>
    <row r="54" spans="1:11" ht="11.25" customHeight="1" x14ac:dyDescent="0.2">
      <c r="A54" s="606" t="s">
        <v>907</v>
      </c>
      <c r="B54" s="601" t="s">
        <v>945</v>
      </c>
      <c r="C54" s="600"/>
      <c r="D54" s="597"/>
      <c r="E54" s="603" t="s">
        <v>494</v>
      </c>
      <c r="F54" s="2328"/>
      <c r="G54" s="232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G17" sqref="G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3" t="s">
        <v>850</v>
      </c>
      <c r="B1" s="2354"/>
      <c r="C1" s="2354"/>
      <c r="D1" s="2354"/>
      <c r="E1" s="2354"/>
      <c r="F1" s="2354"/>
      <c r="G1" s="2355"/>
      <c r="H1" s="1298"/>
      <c r="I1" s="614"/>
      <c r="J1" s="400"/>
    </row>
    <row r="2" spans="1:11" ht="26.25" x14ac:dyDescent="0.2">
      <c r="A2" s="2372" t="s">
        <v>1660</v>
      </c>
      <c r="B2" s="2373"/>
      <c r="C2" s="2373"/>
      <c r="D2" s="2373"/>
      <c r="E2" s="2374"/>
      <c r="F2" s="615" t="s">
        <v>897</v>
      </c>
      <c r="G2" s="616" t="s">
        <v>1657</v>
      </c>
      <c r="H2" s="616" t="s">
        <v>406</v>
      </c>
      <c r="I2" s="616" t="s">
        <v>1149</v>
      </c>
      <c r="J2" s="616" t="s">
        <v>1788</v>
      </c>
      <c r="K2" s="616" t="s">
        <v>137</v>
      </c>
    </row>
    <row r="3" spans="1:11" x14ac:dyDescent="0.2">
      <c r="A3" s="2375" t="str">
        <f>"Cash Basis Fund Balance as of July 1, "&amp;'AFR20'!E2-1</f>
        <v>Cash Basis Fund Balance as of July 1, 2019</v>
      </c>
      <c r="B3" s="2376"/>
      <c r="C3" s="2376"/>
      <c r="D3" s="2376"/>
      <c r="E3" s="2377"/>
      <c r="F3" s="617"/>
      <c r="G3" s="1743"/>
      <c r="H3" s="1743"/>
      <c r="I3" s="1743"/>
      <c r="J3" s="1744"/>
      <c r="K3" s="1744"/>
    </row>
    <row r="4" spans="1:11" x14ac:dyDescent="0.2">
      <c r="A4" s="2378" t="s">
        <v>365</v>
      </c>
      <c r="B4" s="2379"/>
      <c r="C4" s="2379"/>
      <c r="D4" s="2379"/>
      <c r="E4" s="2325"/>
      <c r="F4" s="620"/>
      <c r="G4" s="1745"/>
      <c r="H4" s="1746"/>
      <c r="I4" s="1745"/>
      <c r="J4" s="1747"/>
      <c r="K4" s="1747"/>
    </row>
    <row r="5" spans="1:11" x14ac:dyDescent="0.2">
      <c r="A5" s="2356" t="s">
        <v>1061</v>
      </c>
      <c r="B5" s="2357"/>
      <c r="C5" s="2357"/>
      <c r="D5" s="2357"/>
      <c r="E5" s="2358"/>
      <c r="F5" s="622" t="s">
        <v>842</v>
      </c>
      <c r="G5" s="1748"/>
      <c r="H5" s="1743"/>
      <c r="I5" s="1749"/>
      <c r="J5" s="1750"/>
      <c r="K5" s="1750"/>
    </row>
    <row r="6" spans="1:11" x14ac:dyDescent="0.2">
      <c r="A6" s="625" t="s">
        <v>714</v>
      </c>
      <c r="B6" s="626"/>
      <c r="C6" s="626"/>
      <c r="D6" s="626"/>
      <c r="E6" s="627"/>
      <c r="F6" s="628" t="s">
        <v>843</v>
      </c>
      <c r="G6" s="1743">
        <f>'Tax Sched 23'!B10</f>
        <v>64474</v>
      </c>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f>'Revenues 9-14'!C148</f>
        <v>0</v>
      </c>
    </row>
    <row r="10" spans="1:11" x14ac:dyDescent="0.2">
      <c r="A10" s="2356" t="s">
        <v>1789</v>
      </c>
      <c r="B10" s="2357"/>
      <c r="C10" s="2357"/>
      <c r="D10" s="2357"/>
      <c r="E10" s="2359"/>
      <c r="F10" s="633" t="s">
        <v>856</v>
      </c>
      <c r="G10" s="1752"/>
      <c r="H10" s="1753"/>
      <c r="I10" s="1743"/>
      <c r="J10" s="1744"/>
      <c r="K10" s="1744"/>
    </row>
    <row r="11" spans="1:11" x14ac:dyDescent="0.2">
      <c r="A11" s="2356" t="s">
        <v>159</v>
      </c>
      <c r="B11" s="2357"/>
      <c r="C11" s="2357"/>
      <c r="D11" s="2357"/>
      <c r="E11" s="2358"/>
      <c r="F11" s="622" t="s">
        <v>846</v>
      </c>
      <c r="G11" s="1748"/>
      <c r="H11" s="1743"/>
      <c r="I11" s="1743"/>
      <c r="J11" s="1744"/>
      <c r="K11" s="1750"/>
    </row>
    <row r="12" spans="1:11" ht="13.5" thickBot="1" x14ac:dyDescent="0.25">
      <c r="A12" s="2383" t="s">
        <v>898</v>
      </c>
      <c r="B12" s="2384"/>
      <c r="C12" s="2384"/>
      <c r="D12" s="2384"/>
      <c r="E12" s="2385"/>
      <c r="F12" s="1433"/>
      <c r="G12" s="1754">
        <f>SUM(G5:G11)</f>
        <v>64474</v>
      </c>
      <c r="H12" s="1754">
        <f>SUM(H5:H11)</f>
        <v>0</v>
      </c>
      <c r="I12" s="1754">
        <f>SUM(I5:I11)</f>
        <v>0</v>
      </c>
      <c r="J12" s="1754">
        <f>SUM(J5:J11)</f>
        <v>0</v>
      </c>
      <c r="K12" s="1754">
        <f>SUM(K5:K11)</f>
        <v>0</v>
      </c>
    </row>
    <row r="13" spans="1:11" ht="13.5" thickTop="1" x14ac:dyDescent="0.2">
      <c r="A13" s="2380" t="s">
        <v>366</v>
      </c>
      <c r="B13" s="2381"/>
      <c r="C13" s="2381"/>
      <c r="D13" s="2381"/>
      <c r="E13" s="2382"/>
      <c r="F13" s="634"/>
      <c r="G13" s="1755"/>
      <c r="H13" s="1756"/>
      <c r="I13" s="1757"/>
      <c r="J13" s="1757"/>
      <c r="K13" s="1757"/>
    </row>
    <row r="14" spans="1:11" x14ac:dyDescent="0.2">
      <c r="A14" s="2363" t="s">
        <v>452</v>
      </c>
      <c r="B14" s="2363"/>
      <c r="C14" s="2363"/>
      <c r="D14" s="2363"/>
      <c r="E14" s="2364"/>
      <c r="F14" s="635" t="s">
        <v>848</v>
      </c>
      <c r="G14" s="1752"/>
      <c r="H14" s="1743">
        <f>H5</f>
        <v>0</v>
      </c>
      <c r="I14" s="1748"/>
      <c r="J14" s="1750"/>
      <c r="K14" s="1744">
        <f>K9</f>
        <v>0</v>
      </c>
    </row>
    <row r="15" spans="1:11" x14ac:dyDescent="0.2">
      <c r="A15" s="2357" t="s">
        <v>4</v>
      </c>
      <c r="B15" s="2357"/>
      <c r="C15" s="2357"/>
      <c r="D15" s="2357"/>
      <c r="E15" s="2358"/>
      <c r="F15" s="635" t="s">
        <v>849</v>
      </c>
      <c r="G15" s="1748"/>
      <c r="H15" s="1743"/>
      <c r="I15" s="1743"/>
      <c r="J15" s="1744"/>
      <c r="K15" s="1744"/>
    </row>
    <row r="16" spans="1:11" x14ac:dyDescent="0.2">
      <c r="A16" s="2357" t="s">
        <v>294</v>
      </c>
      <c r="B16" s="2357"/>
      <c r="C16" s="2357"/>
      <c r="D16" s="2357"/>
      <c r="E16" s="2358"/>
      <c r="F16" s="635" t="s">
        <v>916</v>
      </c>
      <c r="G16" s="1749">
        <f>G6</f>
        <v>64474</v>
      </c>
      <c r="H16" s="1745"/>
      <c r="I16" s="1745"/>
      <c r="J16" s="1747"/>
      <c r="K16" s="1747"/>
    </row>
    <row r="17" spans="1:15" x14ac:dyDescent="0.2">
      <c r="A17" s="2390" t="s">
        <v>928</v>
      </c>
      <c r="B17" s="2390"/>
      <c r="C17" s="2390"/>
      <c r="D17" s="2390"/>
      <c r="E17" s="2391"/>
      <c r="F17" s="636"/>
      <c r="G17" s="1758"/>
      <c r="H17" s="1759"/>
      <c r="I17" s="1759"/>
      <c r="J17" s="1760"/>
      <c r="K17" s="1761"/>
    </row>
    <row r="18" spans="1:15" x14ac:dyDescent="0.2">
      <c r="A18" s="2367" t="s">
        <v>364</v>
      </c>
      <c r="B18" s="2368"/>
      <c r="C18" s="2368"/>
      <c r="D18" s="2368"/>
      <c r="E18" s="2369"/>
      <c r="F18" s="635" t="s">
        <v>925</v>
      </c>
      <c r="G18" s="1752"/>
      <c r="H18" s="1752"/>
      <c r="I18" s="1752"/>
      <c r="J18" s="1744"/>
      <c r="K18" s="1762"/>
    </row>
    <row r="19" spans="1:15" ht="21.75" customHeight="1" x14ac:dyDescent="0.2">
      <c r="A19" s="2365" t="s">
        <v>1785</v>
      </c>
      <c r="B19" s="2365"/>
      <c r="C19" s="2365"/>
      <c r="D19" s="2365"/>
      <c r="E19" s="2366"/>
      <c r="F19" s="635" t="s">
        <v>926</v>
      </c>
      <c r="G19" s="1752"/>
      <c r="H19" s="1752"/>
      <c r="I19" s="1752"/>
      <c r="J19" s="1744"/>
      <c r="K19" s="1762"/>
    </row>
    <row r="20" spans="1:15" x14ac:dyDescent="0.2">
      <c r="A20" s="2367" t="s">
        <v>1790</v>
      </c>
      <c r="B20" s="2368"/>
      <c r="C20" s="2368"/>
      <c r="D20" s="2368"/>
      <c r="E20" s="2369"/>
      <c r="F20" s="635" t="s">
        <v>927</v>
      </c>
      <c r="G20" s="1752"/>
      <c r="H20" s="1752"/>
      <c r="I20" s="1752"/>
      <c r="J20" s="1744"/>
      <c r="K20" s="1762"/>
    </row>
    <row r="21" spans="1:15" ht="13.5" thickBot="1" x14ac:dyDescent="0.25">
      <c r="A21" s="2386" t="s">
        <v>632</v>
      </c>
      <c r="B21" s="2386"/>
      <c r="C21" s="2386"/>
      <c r="D21" s="2386"/>
      <c r="E21" s="2386"/>
      <c r="F21" s="1434"/>
      <c r="G21" s="1759"/>
      <c r="H21" s="1763"/>
      <c r="I21" s="1763"/>
      <c r="J21" s="1764">
        <f>SUM(J18:J20)</f>
        <v>0</v>
      </c>
      <c r="K21" s="1760"/>
    </row>
    <row r="22" spans="1:15" ht="13.5" thickTop="1" x14ac:dyDescent="0.2">
      <c r="A22" s="2357" t="s">
        <v>1791</v>
      </c>
      <c r="B22" s="2357"/>
      <c r="C22" s="2357"/>
      <c r="D22" s="2357"/>
      <c r="E22" s="2358"/>
      <c r="F22" s="635" t="s">
        <v>856</v>
      </c>
      <c r="G22" s="1752"/>
      <c r="H22" s="1743"/>
      <c r="I22" s="1743"/>
      <c r="J22" s="1765"/>
      <c r="K22" s="1744"/>
    </row>
    <row r="23" spans="1:15" ht="13.5" thickBot="1" x14ac:dyDescent="0.25">
      <c r="A23" s="2387" t="s">
        <v>899</v>
      </c>
      <c r="B23" s="2386"/>
      <c r="C23" s="2386"/>
      <c r="D23" s="2386"/>
      <c r="E23" s="2386"/>
      <c r="F23" s="1436"/>
      <c r="G23" s="1754">
        <f>SUM(G14:G16,G21,G22)</f>
        <v>64474</v>
      </c>
      <c r="H23" s="1754">
        <f>SUM(H14:H16,H21,H22)</f>
        <v>0</v>
      </c>
      <c r="I23" s="1754">
        <f>SUM(I14:I16,I21,I22)</f>
        <v>0</v>
      </c>
      <c r="J23" s="1754">
        <f>SUM(J14:J16,J21,J22)</f>
        <v>0</v>
      </c>
      <c r="K23" s="1754">
        <f>SUM(K14:K16,K21,K22)</f>
        <v>0</v>
      </c>
      <c r="M23" s="1845"/>
      <c r="N23" s="1845"/>
      <c r="O23" s="1845"/>
    </row>
    <row r="24" spans="1:15" ht="14.25" thickTop="1" thickBot="1" x14ac:dyDescent="0.25">
      <c r="A24" s="2388" t="str">
        <f>"Ending Cash Basis Fund Balance as of June 30, "&amp;'AFR20'!E2</f>
        <v>Ending Cash Basis Fund Balance as of June 30, 2020</v>
      </c>
      <c r="B24" s="2389"/>
      <c r="C24" s="2389"/>
      <c r="D24" s="2389"/>
      <c r="E24" s="2389"/>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1875</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2047</v>
      </c>
      <c r="E30" s="648" t="s">
        <v>762</v>
      </c>
      <c r="F30" s="197"/>
      <c r="G30" s="645"/>
    </row>
    <row r="31" spans="1:15" x14ac:dyDescent="0.2">
      <c r="A31" s="649"/>
      <c r="D31" s="232"/>
      <c r="E31" s="650" t="s">
        <v>763</v>
      </c>
      <c r="F31" s="651" t="s">
        <v>535</v>
      </c>
      <c r="G31" s="618"/>
      <c r="H31" s="2360"/>
      <c r="I31" s="2361"/>
      <c r="J31" s="2361"/>
      <c r="K31" s="2361"/>
    </row>
    <row r="32" spans="1:15" x14ac:dyDescent="0.2">
      <c r="A32" s="649"/>
      <c r="B32" s="232"/>
      <c r="C32" s="232"/>
      <c r="D32" s="232"/>
      <c r="E32" s="645"/>
      <c r="F32" s="651" t="s">
        <v>536</v>
      </c>
      <c r="G32" s="618"/>
      <c r="H32" s="2362"/>
      <c r="I32" s="2361"/>
      <c r="J32" s="2361"/>
      <c r="K32" s="2361"/>
    </row>
    <row r="33" spans="1:11" ht="1.5" customHeight="1" x14ac:dyDescent="0.2">
      <c r="A33" s="652" t="s">
        <v>1160</v>
      </c>
      <c r="B33" s="341"/>
      <c r="C33" s="341"/>
      <c r="D33" s="341"/>
      <c r="E33" s="341"/>
      <c r="F33" s="341"/>
      <c r="G33" s="653"/>
      <c r="H33" s="2362"/>
      <c r="I33" s="2361"/>
      <c r="J33" s="2361"/>
      <c r="K33" s="2361"/>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57" t="s">
        <v>537</v>
      </c>
      <c r="B41" s="2370"/>
      <c r="C41" s="2370"/>
      <c r="D41" s="2370"/>
      <c r="E41" s="2370"/>
      <c r="F41" s="237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1786</v>
      </c>
      <c r="B46" s="382" t="s">
        <v>1658</v>
      </c>
    </row>
    <row r="47" spans="1:11" s="663" customFormat="1" ht="12.75" customHeight="1" x14ac:dyDescent="0.2">
      <c r="A47" s="661"/>
      <c r="B47" s="662" t="s">
        <v>1659</v>
      </c>
      <c r="E47" s="662"/>
      <c r="K47" s="664"/>
    </row>
    <row r="48" spans="1:11" ht="12.75" customHeight="1" x14ac:dyDescent="0.2">
      <c r="A48" s="1300" t="s">
        <v>1787</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94" t="s">
        <v>1874</v>
      </c>
      <c r="B1" s="2395"/>
      <c r="C1" s="2396"/>
      <c r="D1" s="666"/>
      <c r="E1" s="667"/>
      <c r="F1" s="667"/>
      <c r="G1" s="668"/>
      <c r="H1" s="669"/>
      <c r="I1" s="670"/>
      <c r="J1" s="2392"/>
      <c r="K1" s="2393"/>
      <c r="L1" s="2393"/>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379992</v>
      </c>
      <c r="D5" s="1769"/>
      <c r="E5" s="1769"/>
      <c r="F5" s="1764">
        <f>(C5+D5)-E5</f>
        <v>379992</v>
      </c>
      <c r="G5" s="676"/>
      <c r="H5" s="680"/>
      <c r="I5" s="680"/>
      <c r="J5" s="680"/>
      <c r="K5" s="637"/>
      <c r="L5" s="1442">
        <f>F5-K5</f>
        <v>379992</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32958662</v>
      </c>
      <c r="D8" s="1770">
        <v>19815088</v>
      </c>
      <c r="E8" s="1770"/>
      <c r="F8" s="1764">
        <f>(C8+D8)-E8</f>
        <v>52773750</v>
      </c>
      <c r="G8" s="681">
        <v>50</v>
      </c>
      <c r="H8" s="619">
        <v>15749329</v>
      </c>
      <c r="I8" s="619">
        <v>1241759</v>
      </c>
      <c r="J8" s="619">
        <v>2169929</v>
      </c>
      <c r="K8" s="1442">
        <f>(H8+I8)-J8</f>
        <v>14821159</v>
      </c>
      <c r="L8" s="1442">
        <f>F8-K8</f>
        <v>37952591</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1324928</v>
      </c>
      <c r="D10" s="1771"/>
      <c r="E10" s="1771">
        <v>956056</v>
      </c>
      <c r="F10" s="1772">
        <f>(C10+D10)-E10</f>
        <v>368872</v>
      </c>
      <c r="G10" s="681">
        <v>20</v>
      </c>
      <c r="H10" s="683">
        <v>819183</v>
      </c>
      <c r="I10" s="683">
        <v>8009</v>
      </c>
      <c r="J10" s="683">
        <v>484030</v>
      </c>
      <c r="K10" s="1442">
        <f>(H10+I10)-J10</f>
        <v>343162</v>
      </c>
      <c r="L10" s="1442">
        <f>F10-K10</f>
        <v>25710</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4190578</v>
      </c>
      <c r="D12" s="1770"/>
      <c r="E12" s="1770">
        <v>201363</v>
      </c>
      <c r="F12" s="1764">
        <f>(C12+D12)-E12</f>
        <v>3989215</v>
      </c>
      <c r="G12" s="681">
        <v>10</v>
      </c>
      <c r="H12" s="619">
        <v>3164372</v>
      </c>
      <c r="I12" s="619">
        <v>227749</v>
      </c>
      <c r="J12" s="619">
        <v>-72228</v>
      </c>
      <c r="K12" s="1442">
        <f>(H12+I12)-J12</f>
        <v>3464349</v>
      </c>
      <c r="L12" s="1442">
        <f>F12-K12</f>
        <v>524866</v>
      </c>
    </row>
    <row r="13" spans="1:14" ht="14.25" thickTop="1" thickBot="1" x14ac:dyDescent="0.25">
      <c r="A13" s="684" t="s">
        <v>1113</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v>6179045</v>
      </c>
      <c r="D15" s="1770"/>
      <c r="E15" s="1770">
        <v>6179045</v>
      </c>
      <c r="F15" s="1764">
        <f>(C15+D15)-E15</f>
        <v>0</v>
      </c>
      <c r="G15" s="685" t="s">
        <v>856</v>
      </c>
      <c r="H15" s="632"/>
      <c r="I15" s="632"/>
      <c r="J15" s="632"/>
      <c r="K15" s="632"/>
      <c r="L15" s="1442">
        <f>F15-K15</f>
        <v>0</v>
      </c>
    </row>
    <row r="16" spans="1:14" ht="15" customHeight="1" thickTop="1" thickBot="1" x14ac:dyDescent="0.25">
      <c r="A16" s="1438" t="s">
        <v>637</v>
      </c>
      <c r="B16" s="1439">
        <v>200</v>
      </c>
      <c r="C16" s="1764">
        <f>SUM(C3,C5:C6,C8:C10,C12:C15)</f>
        <v>45033205</v>
      </c>
      <c r="D16" s="1764">
        <f>SUM(D3,D5:D6,D8:D10,D12:D15)</f>
        <v>19815088</v>
      </c>
      <c r="E16" s="1764">
        <f>SUM(E3,E5:E6,E8:E10,E12:E15)</f>
        <v>7336464</v>
      </c>
      <c r="F16" s="1764">
        <f>SUM(F3,F5:F6,F8:F10,F12:F15)</f>
        <v>57511829</v>
      </c>
      <c r="G16" s="681"/>
      <c r="H16" s="1435">
        <f>SUM(H3,H6,H8:H10,H12:H14,)</f>
        <v>19732884</v>
      </c>
      <c r="I16" s="1435">
        <f>SUM(I3,I6,I8:I10,I12:I14,)</f>
        <v>1477517</v>
      </c>
      <c r="J16" s="1435">
        <f>SUM(J3,J6,J8:J10,J12:J14,)</f>
        <v>2581731</v>
      </c>
      <c r="K16" s="1435">
        <f>(H16+I16)-J16</f>
        <v>18628670</v>
      </c>
      <c r="L16" s="1435">
        <f>F16-K16</f>
        <v>38883159</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1477517</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58" colorId="8" zoomScale="110" zoomScaleNormal="110" workbookViewId="0">
      <selection activeCell="F83" sqref="F8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00" t="str">
        <f>"ESTIMATED OPERATING EXPENSE PER PUPIL (OEPP)/PER CAPITA TUITION CHARGE (PCTC) COMPUTATIONS ("&amp;'AFR20'!E2-1&amp;" - "&amp;'AFR20'!E2&amp;")"</f>
        <v>ESTIMATED OPERATING EXPENSE PER PUPIL (OEPP)/PER CAPITA TUITION CHARGE (PCTC) COMPUTATIONS (2019 - 2020)</v>
      </c>
      <c r="B1" s="2401"/>
      <c r="C1" s="2401"/>
      <c r="D1" s="2401"/>
      <c r="E1" s="2401"/>
      <c r="F1" s="2402"/>
      <c r="G1" s="691"/>
      <c r="I1" s="701"/>
    </row>
    <row r="2" spans="1:9" ht="15" customHeight="1" thickBot="1" x14ac:dyDescent="0.25">
      <c r="A2" s="2403" t="s">
        <v>473</v>
      </c>
      <c r="B2" s="2404"/>
      <c r="C2" s="2404"/>
      <c r="D2" s="2404"/>
      <c r="E2" s="2404"/>
      <c r="F2" s="2405"/>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06"/>
      <c r="B5" s="2407"/>
      <c r="C5" s="2407"/>
      <c r="D5" s="2407"/>
      <c r="E5" s="2407"/>
      <c r="F5" s="2407"/>
    </row>
    <row r="6" spans="1:9" ht="13.5" customHeight="1" thickBot="1" x14ac:dyDescent="0.25">
      <c r="A6" s="2397" t="s">
        <v>1096</v>
      </c>
      <c r="B6" s="2398"/>
      <c r="C6" s="2398"/>
      <c r="D6" s="2398"/>
      <c r="E6" s="2398"/>
      <c r="F6" s="2399"/>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19883628</v>
      </c>
      <c r="G8" s="701"/>
    </row>
    <row r="9" spans="1:9" x14ac:dyDescent="0.2">
      <c r="A9" s="705" t="s">
        <v>456</v>
      </c>
      <c r="B9" s="706" t="s">
        <v>1847</v>
      </c>
      <c r="C9" s="707"/>
      <c r="D9" s="705" t="s">
        <v>497</v>
      </c>
      <c r="E9" s="704"/>
      <c r="F9" s="1774">
        <f>'Expenditures 15-22'!K151</f>
        <v>1695568</v>
      </c>
      <c r="G9" s="708"/>
    </row>
    <row r="10" spans="1:9" x14ac:dyDescent="0.2">
      <c r="A10" s="705" t="s">
        <v>495</v>
      </c>
      <c r="B10" s="706" t="s">
        <v>1848</v>
      </c>
      <c r="C10" s="707"/>
      <c r="D10" s="705" t="s">
        <v>497</v>
      </c>
      <c r="E10" s="704"/>
      <c r="F10" s="1774">
        <f>'Expenditures 15-22'!K174</f>
        <v>2906753</v>
      </c>
      <c r="G10" s="708"/>
    </row>
    <row r="11" spans="1:9" x14ac:dyDescent="0.2">
      <c r="A11" s="705" t="s">
        <v>457</v>
      </c>
      <c r="B11" s="706" t="s">
        <v>1849</v>
      </c>
      <c r="C11" s="707"/>
      <c r="D11" s="705" t="s">
        <v>497</v>
      </c>
      <c r="E11" s="704"/>
      <c r="F11" s="1774">
        <f>'Expenditures 15-22'!K210</f>
        <v>766425</v>
      </c>
      <c r="G11" s="708"/>
    </row>
    <row r="12" spans="1:9" x14ac:dyDescent="0.2">
      <c r="A12" s="705" t="s">
        <v>458</v>
      </c>
      <c r="B12" s="706" t="s">
        <v>1850</v>
      </c>
      <c r="C12" s="707"/>
      <c r="D12" s="705" t="s">
        <v>497</v>
      </c>
      <c r="E12" s="704"/>
      <c r="F12" s="1774">
        <f>'Expenditures 15-22'!K295</f>
        <v>357948</v>
      </c>
      <c r="G12" s="708"/>
    </row>
    <row r="13" spans="1:9" x14ac:dyDescent="0.2">
      <c r="A13" s="705" t="s">
        <v>106</v>
      </c>
      <c r="B13" s="706" t="s">
        <v>1851</v>
      </c>
      <c r="C13" s="707"/>
      <c r="D13" s="705" t="s">
        <v>497</v>
      </c>
      <c r="E13" s="704"/>
      <c r="F13" s="1774">
        <f>'Expenditures 15-22'!K342</f>
        <v>0</v>
      </c>
      <c r="G13" s="709"/>
    </row>
    <row r="14" spans="1:9" ht="12" customHeight="1" thickBot="1" x14ac:dyDescent="0.25">
      <c r="A14" s="1443"/>
      <c r="B14" s="1444"/>
      <c r="C14" s="1445"/>
      <c r="D14" s="1446" t="s">
        <v>497</v>
      </c>
      <c r="E14" s="1447" t="s">
        <v>951</v>
      </c>
      <c r="F14" s="1775">
        <f>SUM(F8:F13)</f>
        <v>25610322</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78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1908</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300153</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9564</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14941</v>
      </c>
      <c r="G52" s="701"/>
    </row>
    <row r="53" spans="1:7" x14ac:dyDescent="0.2">
      <c r="A53" s="705" t="s">
        <v>455</v>
      </c>
      <c r="B53" s="705" t="s">
        <v>1460</v>
      </c>
      <c r="C53" s="724">
        <f>'Expenditures 15-22'!B102</f>
        <v>4000</v>
      </c>
      <c r="D53" s="723" t="str">
        <f>'Expenditures 15-22'!A102</f>
        <v>Total Payments to Other Govt Units</v>
      </c>
      <c r="E53" s="704"/>
      <c r="F53" s="1781">
        <f>'Expenditures 15-22'!K102</f>
        <v>1722547</v>
      </c>
      <c r="G53" s="701"/>
    </row>
    <row r="54" spans="1:7" x14ac:dyDescent="0.2">
      <c r="A54" s="705" t="s">
        <v>455</v>
      </c>
      <c r="B54" s="705" t="s">
        <v>1461</v>
      </c>
      <c r="C54" s="724" t="s">
        <v>974</v>
      </c>
      <c r="D54" s="720" t="s">
        <v>1087</v>
      </c>
      <c r="E54" s="704"/>
      <c r="F54" s="1781">
        <f>'Expenditures 15-22'!G114</f>
        <v>1664230</v>
      </c>
      <c r="G54" s="701"/>
    </row>
    <row r="55" spans="1:7" x14ac:dyDescent="0.2">
      <c r="A55" s="705" t="s">
        <v>455</v>
      </c>
      <c r="B55" s="705" t="s">
        <v>1462</v>
      </c>
      <c r="C55" s="724" t="s">
        <v>974</v>
      </c>
      <c r="D55" s="720" t="s">
        <v>287</v>
      </c>
      <c r="E55" s="704"/>
      <c r="F55" s="1781">
        <f>'Expenditures 15-22'!I114</f>
        <v>0</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781">
        <f>'Expenditures 15-22'!K139</f>
        <v>0</v>
      </c>
      <c r="G57" s="701"/>
    </row>
    <row r="58" spans="1:7" x14ac:dyDescent="0.2">
      <c r="A58" s="705" t="s">
        <v>456</v>
      </c>
      <c r="B58" s="705" t="s">
        <v>1853</v>
      </c>
      <c r="C58" s="721" t="s">
        <v>974</v>
      </c>
      <c r="D58" s="720" t="s">
        <v>1087</v>
      </c>
      <c r="E58" s="704"/>
      <c r="F58" s="1783">
        <f>'Expenditures 15-22'!G151</f>
        <v>244392</v>
      </c>
      <c r="G58" s="701"/>
    </row>
    <row r="59" spans="1:7" x14ac:dyDescent="0.2">
      <c r="A59" s="728" t="s">
        <v>456</v>
      </c>
      <c r="B59" s="692" t="s">
        <v>1854</v>
      </c>
      <c r="C59" s="729" t="s">
        <v>974</v>
      </c>
      <c r="D59" s="692" t="s">
        <v>287</v>
      </c>
      <c r="F59" s="1784">
        <f>'Expenditures 15-22'!I151</f>
        <v>0</v>
      </c>
      <c r="G59" s="701"/>
    </row>
    <row r="60" spans="1:7" x14ac:dyDescent="0.2">
      <c r="A60" s="728" t="s">
        <v>495</v>
      </c>
      <c r="B60" s="692" t="s">
        <v>1855</v>
      </c>
      <c r="C60" s="729">
        <v>4000</v>
      </c>
      <c r="D60" s="692" t="s">
        <v>308</v>
      </c>
      <c r="F60" s="1782">
        <f>'Expenditures 15-22'!K160</f>
        <v>0</v>
      </c>
      <c r="G60" s="701"/>
    </row>
    <row r="61" spans="1:7" x14ac:dyDescent="0.2">
      <c r="A61" s="730" t="s">
        <v>495</v>
      </c>
      <c r="B61" s="730" t="s">
        <v>1856</v>
      </c>
      <c r="C61" s="731" t="str">
        <f>'Expenditures 15-22'!B170</f>
        <v>5300</v>
      </c>
      <c r="D61" s="732" t="s">
        <v>307</v>
      </c>
      <c r="E61" s="715"/>
      <c r="F61" s="1781">
        <f>'Expenditures 15-22'!K170</f>
        <v>1497176</v>
      </c>
      <c r="G61" s="701"/>
    </row>
    <row r="62" spans="1:7" x14ac:dyDescent="0.2">
      <c r="A62" s="705" t="s">
        <v>457</v>
      </c>
      <c r="B62" s="705" t="s">
        <v>1857</v>
      </c>
      <c r="C62" s="721">
        <f>'Expenditures 15-22'!B185</f>
        <v>3000</v>
      </c>
      <c r="D62" s="712" t="s">
        <v>445</v>
      </c>
      <c r="E62" s="704"/>
      <c r="F62" s="178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781">
        <f>'Expenditures 15-22'!K196</f>
        <v>0</v>
      </c>
      <c r="G63" s="701"/>
    </row>
    <row r="64" spans="1:7" x14ac:dyDescent="0.2">
      <c r="A64" s="730" t="s">
        <v>457</v>
      </c>
      <c r="B64" s="730" t="s">
        <v>1859</v>
      </c>
      <c r="C64" s="731" t="str">
        <f>'Expenditures 15-22'!B206</f>
        <v>5300</v>
      </c>
      <c r="D64" s="727" t="s">
        <v>307</v>
      </c>
      <c r="E64" s="704"/>
      <c r="F64" s="1781">
        <f>'Expenditures 15-22'!K206</f>
        <v>86284</v>
      </c>
      <c r="G64" s="701"/>
    </row>
    <row r="65" spans="1:9" x14ac:dyDescent="0.2">
      <c r="A65" s="705" t="s">
        <v>457</v>
      </c>
      <c r="B65" s="705" t="s">
        <v>1860</v>
      </c>
      <c r="C65" s="721" t="s">
        <v>974</v>
      </c>
      <c r="D65" s="720" t="s">
        <v>1087</v>
      </c>
      <c r="E65" s="704"/>
      <c r="F65" s="1781">
        <f>'Expenditures 15-22'!G210</f>
        <v>0</v>
      </c>
      <c r="G65" s="701"/>
    </row>
    <row r="66" spans="1:9" x14ac:dyDescent="0.2">
      <c r="A66" s="705" t="s">
        <v>457</v>
      </c>
      <c r="B66" s="705" t="s">
        <v>1861</v>
      </c>
      <c r="C66" s="721" t="s">
        <v>974</v>
      </c>
      <c r="D66" s="720" t="s">
        <v>287</v>
      </c>
      <c r="E66" s="704"/>
      <c r="F66" s="1781">
        <f>'Expenditures 15-22'!I210</f>
        <v>0</v>
      </c>
      <c r="G66" s="701"/>
    </row>
    <row r="67" spans="1:9" x14ac:dyDescent="0.2">
      <c r="A67" s="705" t="s">
        <v>458</v>
      </c>
      <c r="B67" s="705" t="s">
        <v>1862</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9788</v>
      </c>
      <c r="G68" s="701"/>
    </row>
    <row r="69" spans="1:9" x14ac:dyDescent="0.2">
      <c r="A69" s="705" t="s">
        <v>458</v>
      </c>
      <c r="B69" s="705" t="s">
        <v>1863</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1864</v>
      </c>
      <c r="C70" s="721">
        <f>'Expenditures 15-22'!B221</f>
        <v>1300</v>
      </c>
      <c r="D70" s="722" t="str">
        <f>'Expenditures 15-22'!A221</f>
        <v>Adult/Continuing Education Programs</v>
      </c>
      <c r="E70" s="704"/>
      <c r="F70" s="1781">
        <f>'Expenditures 15-22'!K221</f>
        <v>0</v>
      </c>
      <c r="G70" s="701"/>
    </row>
    <row r="71" spans="1:9" x14ac:dyDescent="0.2">
      <c r="A71" s="705" t="s">
        <v>458</v>
      </c>
      <c r="B71" s="705" t="s">
        <v>1865</v>
      </c>
      <c r="C71" s="721">
        <f>'Expenditures 15-22'!B224</f>
        <v>1600</v>
      </c>
      <c r="D71" s="722" t="str">
        <f>'Expenditures 15-22'!A224</f>
        <v>Summer School Programs</v>
      </c>
      <c r="E71" s="704"/>
      <c r="F71" s="1781">
        <f>'Expenditures 15-22'!K224</f>
        <v>205</v>
      </c>
      <c r="G71" s="701"/>
    </row>
    <row r="72" spans="1:9" x14ac:dyDescent="0.2">
      <c r="A72" s="705" t="s">
        <v>458</v>
      </c>
      <c r="B72" s="705" t="s">
        <v>1866</v>
      </c>
      <c r="C72" s="721">
        <f>'Expenditures 15-22'!B280</f>
        <v>3000</v>
      </c>
      <c r="D72" s="712" t="s">
        <v>445</v>
      </c>
      <c r="E72" s="704"/>
      <c r="F72" s="1781">
        <f>'Expenditures 15-22'!K280</f>
        <v>0</v>
      </c>
      <c r="G72" s="701"/>
    </row>
    <row r="73" spans="1:9" x14ac:dyDescent="0.2">
      <c r="A73" s="705" t="s">
        <v>458</v>
      </c>
      <c r="B73" s="705" t="s">
        <v>1867</v>
      </c>
      <c r="C73" s="721" t="str">
        <f>'Expenditures 15-22'!B285</f>
        <v>4000</v>
      </c>
      <c r="D73" s="722" t="str">
        <f>'Expenditures 15-22'!A285</f>
        <v>Total Payments to Other Govt Units</v>
      </c>
      <c r="E73" s="704"/>
      <c r="F73" s="1781">
        <f>'Expenditures 15-22'!K285</f>
        <v>0</v>
      </c>
      <c r="G73" s="701"/>
    </row>
    <row r="74" spans="1:9" x14ac:dyDescent="0.2">
      <c r="A74" s="705" t="s">
        <v>432</v>
      </c>
      <c r="B74" s="705" t="s">
        <v>1868</v>
      </c>
      <c r="C74" s="721" t="s">
        <v>854</v>
      </c>
      <c r="D74" s="722" t="s">
        <v>1472</v>
      </c>
      <c r="E74" s="704"/>
      <c r="F74" s="1785">
        <f>'Expenditures 15-22'!K334</f>
        <v>0</v>
      </c>
      <c r="G74" s="701"/>
    </row>
    <row r="75" spans="1:9" x14ac:dyDescent="0.2">
      <c r="A75" s="705" t="s">
        <v>2007</v>
      </c>
      <c r="B75" s="705" t="s">
        <v>2008</v>
      </c>
      <c r="C75" s="721" t="s">
        <v>974</v>
      </c>
      <c r="D75" s="722" t="s">
        <v>1087</v>
      </c>
      <c r="E75" s="704"/>
      <c r="F75" s="1785">
        <f>'Expenditures 15-22'!G342</f>
        <v>0</v>
      </c>
      <c r="G75" s="701"/>
    </row>
    <row r="76" spans="1:9" ht="10.5" customHeight="1" x14ac:dyDescent="0.2">
      <c r="A76" s="701" t="s">
        <v>432</v>
      </c>
      <c r="B76" s="705" t="s">
        <v>2009</v>
      </c>
      <c r="C76" s="711" t="s">
        <v>974</v>
      </c>
      <c r="D76" s="701" t="s">
        <v>287</v>
      </c>
      <c r="E76" s="704"/>
      <c r="F76" s="1785">
        <f>'Expenditures 15-22'!I342</f>
        <v>0</v>
      </c>
      <c r="G76" s="703"/>
    </row>
    <row r="77" spans="1:9" ht="12" thickBot="1" x14ac:dyDescent="0.25">
      <c r="A77" s="1443"/>
      <c r="B77" s="1448"/>
      <c r="C77" s="1445"/>
      <c r="D77" s="1449" t="s">
        <v>2010</v>
      </c>
      <c r="E77" s="1447" t="s">
        <v>951</v>
      </c>
      <c r="F77" s="1786">
        <f>SUM(F18:F76)</f>
        <v>5549280</v>
      </c>
      <c r="G77" s="701"/>
    </row>
    <row r="78" spans="1:9" s="728" customFormat="1" ht="12" customHeight="1" thickTop="1" thickBot="1" x14ac:dyDescent="0.25">
      <c r="A78" s="1450"/>
      <c r="B78" s="1448"/>
      <c r="C78" s="1445"/>
      <c r="D78" s="1449" t="s">
        <v>2011</v>
      </c>
      <c r="E78" s="1447"/>
      <c r="F78" s="1787">
        <f>(F14-F77)</f>
        <v>20061042</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1389.5</v>
      </c>
      <c r="G79" s="733"/>
      <c r="H79" s="705"/>
      <c r="I79" s="705"/>
    </row>
    <row r="80" spans="1:9" s="728" customFormat="1" ht="12" customHeight="1" thickBot="1" x14ac:dyDescent="0.25">
      <c r="A80" s="1452"/>
      <c r="B80" s="1448"/>
      <c r="C80" s="1445"/>
      <c r="D80" s="1449" t="s">
        <v>2012</v>
      </c>
      <c r="E80" s="1447" t="s">
        <v>951</v>
      </c>
      <c r="F80" s="1789">
        <f>IF(F79&gt;0,F78/F79," Complete Line 79")</f>
        <v>14437.597697013314</v>
      </c>
      <c r="G80" s="705"/>
    </row>
    <row r="81" spans="1:7" s="728" customFormat="1" ht="8.25" customHeight="1" thickTop="1" x14ac:dyDescent="0.2">
      <c r="A81" s="734"/>
      <c r="B81" s="705"/>
      <c r="C81" s="707"/>
      <c r="D81" s="735"/>
      <c r="E81" s="704"/>
      <c r="F81" s="1790"/>
      <c r="G81" s="705"/>
    </row>
    <row r="82" spans="1:7" s="728" customFormat="1" ht="12" thickBot="1" x14ac:dyDescent="0.25">
      <c r="A82" s="2397" t="s">
        <v>1097</v>
      </c>
      <c r="B82" s="2398"/>
      <c r="C82" s="2398"/>
      <c r="D82" s="2398"/>
      <c r="E82" s="2398"/>
      <c r="F82" s="239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143648</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162507</v>
      </c>
      <c r="G95" s="745"/>
    </row>
    <row r="96" spans="1:7" x14ac:dyDescent="0.2">
      <c r="A96" s="741" t="s">
        <v>139</v>
      </c>
      <c r="B96" s="741" t="s">
        <v>174</v>
      </c>
      <c r="C96" s="743">
        <v>1700</v>
      </c>
      <c r="D96" s="751" t="str">
        <f>'Revenues 9-14'!A82</f>
        <v>Total District/School Activity Income</v>
      </c>
      <c r="E96" s="739"/>
      <c r="F96" s="1792">
        <f>SUM('Revenues 9-14'!C82,'Revenues 9-14'!D82)</f>
        <v>53859</v>
      </c>
      <c r="G96" s="745"/>
    </row>
    <row r="97" spans="1:7" x14ac:dyDescent="0.2">
      <c r="A97" s="741" t="s">
        <v>455</v>
      </c>
      <c r="B97" s="741" t="s">
        <v>175</v>
      </c>
      <c r="C97" s="743">
        <f>'Revenues 9-14'!B84</f>
        <v>1811</v>
      </c>
      <c r="D97" s="744" t="str">
        <f>'Revenues 9-14'!A84</f>
        <v>Rentals - Regular Textbooks</v>
      </c>
      <c r="E97" s="739"/>
      <c r="F97" s="1792">
        <f>'Revenues 9-14'!C84</f>
        <v>163639</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29005</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23244</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1909</v>
      </c>
      <c r="C106" s="746">
        <v>3100</v>
      </c>
      <c r="D106" s="752" t="str">
        <f>'Revenues 9-14'!A132</f>
        <v>Total Special Education</v>
      </c>
      <c r="E106" s="739"/>
      <c r="F106" s="1792">
        <f>SUM('Revenues 9-14'!C132:D132,'Revenues 9-14'!F132)</f>
        <v>60067</v>
      </c>
      <c r="G106" s="745"/>
    </row>
    <row r="107" spans="1:7" x14ac:dyDescent="0.2">
      <c r="A107" s="741" t="s">
        <v>667</v>
      </c>
      <c r="B107" s="741" t="s">
        <v>1910</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1911</v>
      </c>
      <c r="C108" s="753">
        <v>3300</v>
      </c>
      <c r="D108" s="744" t="str">
        <f>'Revenues 9-14'!A145</f>
        <v>Total Bilingual Ed</v>
      </c>
      <c r="E108" s="739"/>
      <c r="F108" s="179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792">
        <f>'Revenues 9-14'!C146</f>
        <v>2246</v>
      </c>
      <c r="G109" s="745"/>
    </row>
    <row r="110" spans="1:7" x14ac:dyDescent="0.2">
      <c r="A110" s="741" t="s">
        <v>667</v>
      </c>
      <c r="B110" s="741" t="s">
        <v>1913</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792">
        <f>SUM('Revenues 9-14'!C148,'Revenues 9-14'!D148)</f>
        <v>0</v>
      </c>
      <c r="G111" s="745"/>
    </row>
    <row r="112" spans="1:7" x14ac:dyDescent="0.2">
      <c r="A112" s="741" t="s">
        <v>662</v>
      </c>
      <c r="B112" s="741" t="s">
        <v>1915</v>
      </c>
      <c r="C112" s="755">
        <v>3500</v>
      </c>
      <c r="D112" s="744" t="str">
        <f>'Revenues 9-14'!A155</f>
        <v>Total Transportation</v>
      </c>
      <c r="E112" s="739"/>
      <c r="F112" s="1792">
        <f>SUM('Revenues 9-14'!C155,'Revenues 9-14'!D155,'Revenues 9-14'!F155,'Revenues 9-14'!G155)</f>
        <v>366762</v>
      </c>
      <c r="G112" s="745"/>
    </row>
    <row r="113" spans="1:7" x14ac:dyDescent="0.2">
      <c r="A113" s="741" t="s">
        <v>455</v>
      </c>
      <c r="B113" s="741" t="s">
        <v>1916</v>
      </c>
      <c r="C113" s="753">
        <f>'Revenues 9-14'!B156</f>
        <v>3610</v>
      </c>
      <c r="D113" s="744" t="str">
        <f>'Revenues 9-14'!A156</f>
        <v>Learning Improvement - Change Grants</v>
      </c>
      <c r="E113" s="739"/>
      <c r="F113" s="1792">
        <f>'Revenues 9-14'!C156</f>
        <v>0</v>
      </c>
      <c r="G113" s="745"/>
    </row>
    <row r="114" spans="1:7" x14ac:dyDescent="0.2">
      <c r="A114" s="741" t="s">
        <v>662</v>
      </c>
      <c r="B114" s="741" t="s">
        <v>1917</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791">
        <f>SUM('Revenues 9-14'!C163:G163)</f>
        <v>0</v>
      </c>
      <c r="G119" s="745"/>
    </row>
    <row r="120" spans="1:7" x14ac:dyDescent="0.2">
      <c r="A120" s="756" t="s">
        <v>500</v>
      </c>
      <c r="B120" s="756" t="s">
        <v>1923</v>
      </c>
      <c r="C120" s="757">
        <f>'Revenues 9-14'!B164</f>
        <v>3815</v>
      </c>
      <c r="D120" s="758" t="str">
        <f>'Revenues 9-14'!A164</f>
        <v>State Charter Schools</v>
      </c>
      <c r="E120" s="739"/>
      <c r="F120" s="179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792">
        <f>'Revenues 9-14'!D167</f>
        <v>0</v>
      </c>
      <c r="G121" s="763"/>
    </row>
    <row r="122" spans="1:7" x14ac:dyDescent="0.2">
      <c r="A122" s="760" t="s">
        <v>496</v>
      </c>
      <c r="B122" s="760" t="s">
        <v>1925</v>
      </c>
      <c r="C122" s="761">
        <f>'Revenues 9-14'!B168</f>
        <v>3999</v>
      </c>
      <c r="D122" s="762" t="s">
        <v>539</v>
      </c>
      <c r="E122" s="764"/>
      <c r="F122" s="1792">
        <f>SUM('Revenues 9-14'!C168:G168,'Revenues 9-14'!J168)</f>
        <v>50000</v>
      </c>
      <c r="G122" s="763"/>
    </row>
    <row r="123" spans="1:7" x14ac:dyDescent="0.2">
      <c r="A123" s="760" t="s">
        <v>455</v>
      </c>
      <c r="B123" s="760" t="s">
        <v>1926</v>
      </c>
      <c r="C123" s="765">
        <f>'Revenues 9-14'!B177</f>
        <v>4045</v>
      </c>
      <c r="D123" s="762" t="str">
        <f>'Revenues 9-14'!A177 &amp; " (Subtract)"</f>
        <v>Head Start (Subtract)</v>
      </c>
      <c r="E123" s="739"/>
      <c r="F123" s="179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1928</v>
      </c>
      <c r="C125" s="765">
        <v>4100</v>
      </c>
      <c r="D125" s="766" t="str">
        <f>'Revenues 9-14'!A188</f>
        <v>Total Title V</v>
      </c>
      <c r="E125" s="739"/>
      <c r="F125" s="179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792">
        <f>SUM('Revenues 9-14'!C198,'Revenues 9-14'!G198)</f>
        <v>225133</v>
      </c>
      <c r="G126" s="763"/>
    </row>
    <row r="127" spans="1:7" x14ac:dyDescent="0.2">
      <c r="A127" s="760" t="s">
        <v>662</v>
      </c>
      <c r="B127" s="760" t="s">
        <v>1930</v>
      </c>
      <c r="C127" s="765">
        <v>4300</v>
      </c>
      <c r="D127" s="766" t="str">
        <f>'Revenues 9-14'!A204</f>
        <v>Total Title I</v>
      </c>
      <c r="E127" s="739"/>
      <c r="F127" s="1792">
        <f>SUM('Revenues 9-14'!C204,'Revenues 9-14'!D204,'Revenues 9-14'!F204,'Revenues 9-14'!G204)</f>
        <v>140019</v>
      </c>
      <c r="G127" s="763"/>
    </row>
    <row r="128" spans="1:7" x14ac:dyDescent="0.2">
      <c r="A128" s="760" t="s">
        <v>662</v>
      </c>
      <c r="B128" s="760" t="s">
        <v>1931</v>
      </c>
      <c r="C128" s="765">
        <v>4400</v>
      </c>
      <c r="D128" s="766" t="str">
        <f>'Revenues 9-14'!A209</f>
        <v>Total Title IV</v>
      </c>
      <c r="E128" s="739"/>
      <c r="F128" s="1792">
        <f>SUM('Revenues 9-14'!C209,'Revenues 9-14'!D209,'Revenues 9-14'!F209,'Revenues 9-14'!G209)</f>
        <v>10870</v>
      </c>
      <c r="G128" s="763"/>
    </row>
    <row r="129" spans="1:7" x14ac:dyDescent="0.2">
      <c r="A129" s="760" t="s">
        <v>662</v>
      </c>
      <c r="B129" s="760" t="s">
        <v>1932</v>
      </c>
      <c r="C129" s="765">
        <f>'Revenues 9-14'!B213</f>
        <v>4620</v>
      </c>
      <c r="D129" s="766" t="str">
        <f>'Revenues 9-14'!A213</f>
        <v>Fed - Spec Education - IDEA - Flow Through</v>
      </c>
      <c r="E129" s="739"/>
      <c r="F129" s="1792">
        <f>SUM('Revenues 9-14'!C213:D213,'Revenues 9-14'!F213:G213)</f>
        <v>516074</v>
      </c>
      <c r="G129" s="763"/>
    </row>
    <row r="130" spans="1:7" x14ac:dyDescent="0.2">
      <c r="A130" s="760" t="s">
        <v>662</v>
      </c>
      <c r="B130" s="760" t="s">
        <v>1933</v>
      </c>
      <c r="C130" s="765">
        <f>'Revenues 9-14'!B214</f>
        <v>4625</v>
      </c>
      <c r="D130" s="766" t="str">
        <f>'Revenues 9-14'!A214</f>
        <v>Fed - Spec Education - IDEA - Room &amp; Board</v>
      </c>
      <c r="E130" s="739"/>
      <c r="F130" s="1792">
        <f>SUM('Revenues 9-14'!C214,'Revenues 9-14'!D214,'Revenues 9-14'!F214,'Revenues 9-14'!G214)</f>
        <v>12392</v>
      </c>
      <c r="G130" s="763"/>
    </row>
    <row r="131" spans="1:7" x14ac:dyDescent="0.2">
      <c r="A131" s="760" t="s">
        <v>662</v>
      </c>
      <c r="B131" s="760" t="s">
        <v>1934</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1935</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1936</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792">
        <v>0</v>
      </c>
      <c r="G139" s="738"/>
    </row>
    <row r="140" spans="1:7" s="703" customFormat="1" hidden="1" x14ac:dyDescent="0.2">
      <c r="A140" s="767" t="s">
        <v>204</v>
      </c>
      <c r="B140" s="767" t="s">
        <v>1942</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1950</v>
      </c>
      <c r="C158" s="773" t="s">
        <v>835</v>
      </c>
      <c r="D158" s="774" t="s">
        <v>771</v>
      </c>
      <c r="E158" s="775"/>
      <c r="F158" s="1792">
        <f>SUM(F134:F157)</f>
        <v>0</v>
      </c>
      <c r="G158" s="738"/>
    </row>
    <row r="159" spans="1:7" s="703" customFormat="1" x14ac:dyDescent="0.2">
      <c r="A159" s="771" t="s">
        <v>455</v>
      </c>
      <c r="B159" s="772" t="s">
        <v>1951</v>
      </c>
      <c r="C159" s="773" t="s">
        <v>1412</v>
      </c>
      <c r="D159" s="774" t="s">
        <v>1413</v>
      </c>
      <c r="E159" s="775"/>
      <c r="F159" s="1792">
        <f>SUM('Revenues 9-14'!C253)</f>
        <v>0</v>
      </c>
      <c r="G159" s="738"/>
    </row>
    <row r="160" spans="1:7" s="703" customFormat="1" x14ac:dyDescent="0.2">
      <c r="A160" s="771" t="s">
        <v>496</v>
      </c>
      <c r="B160" s="772" t="s">
        <v>1952</v>
      </c>
      <c r="C160" s="773" t="s">
        <v>1451</v>
      </c>
      <c r="D160" s="774" t="s">
        <v>1452</v>
      </c>
      <c r="E160" s="775"/>
      <c r="F160" s="179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792">
        <f>SUM('Revenues 9-14'!C256,'Revenues 9-14'!F256,'Revenues 9-14'!G256)</f>
        <v>19226</v>
      </c>
      <c r="G162" s="776"/>
    </row>
    <row r="163" spans="1:7" x14ac:dyDescent="0.2">
      <c r="A163" s="760" t="s">
        <v>662</v>
      </c>
      <c r="B163" s="760" t="s">
        <v>1955</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791">
        <f>SUM('Revenues 9-14'!C259,'Revenues 9-14'!D259,'Revenues 9-14'!F259,'Revenues 9-14'!G259)</f>
        <v>66232</v>
      </c>
      <c r="G165" s="763"/>
    </row>
    <row r="166" spans="1:7" x14ac:dyDescent="0.2">
      <c r="A166" s="760" t="s">
        <v>662</v>
      </c>
      <c r="B166" s="760" t="s">
        <v>1958</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792">
        <f>SUM('Revenues 9-14'!C263:D263,'Revenues 9-14'!F263:G263)</f>
        <v>29214</v>
      </c>
      <c r="G169" s="780">
        <v>6320</v>
      </c>
    </row>
    <row r="170" spans="1:7" x14ac:dyDescent="0.2">
      <c r="A170" s="760" t="s">
        <v>662</v>
      </c>
      <c r="B170" s="760" t="s">
        <v>1960</v>
      </c>
      <c r="C170" s="765">
        <f>'Revenues 9-14'!B264</f>
        <v>4992</v>
      </c>
      <c r="D170" s="766" t="str">
        <f>'Revenues 9-14'!A264</f>
        <v>Medicaid Matching Funds - Fee-for-Service Program</v>
      </c>
      <c r="E170" s="739"/>
      <c r="F170" s="1792">
        <f>SUM('Revenues 9-14'!C264:D264,'Revenues 9-14'!F264:G264)</f>
        <v>26722</v>
      </c>
      <c r="G170" s="780"/>
    </row>
    <row r="171" spans="1:7" x14ac:dyDescent="0.2">
      <c r="A171" s="781" t="s">
        <v>662</v>
      </c>
      <c r="B171" s="777" t="s">
        <v>1961</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1884</v>
      </c>
      <c r="C172" s="1531">
        <v>3100</v>
      </c>
      <c r="D172" s="1532" t="s">
        <v>1886</v>
      </c>
      <c r="E172" s="739"/>
      <c r="F172" s="1793">
        <v>1374322</v>
      </c>
      <c r="G172" s="760"/>
    </row>
    <row r="173" spans="1:7" x14ac:dyDescent="0.2">
      <c r="A173" s="1529" t="s">
        <v>658</v>
      </c>
      <c r="B173" s="1530" t="s">
        <v>1884</v>
      </c>
      <c r="C173" s="1531">
        <v>3300</v>
      </c>
      <c r="D173" s="1532" t="s">
        <v>1887</v>
      </c>
      <c r="E173" s="739"/>
      <c r="F173" s="1793">
        <v>8985</v>
      </c>
      <c r="G173" s="760"/>
    </row>
    <row r="174" spans="1:7" ht="6" customHeight="1" x14ac:dyDescent="0.2">
      <c r="A174" s="760"/>
      <c r="B174" s="760"/>
      <c r="C174" s="782"/>
      <c r="D174" s="760"/>
      <c r="E174" s="739"/>
      <c r="F174" s="1794"/>
      <c r="G174" s="780"/>
    </row>
    <row r="175" spans="1:7" x14ac:dyDescent="0.2">
      <c r="A175" s="1443"/>
      <c r="B175" s="1453"/>
      <c r="C175" s="1454"/>
      <c r="D175" s="1455" t="s">
        <v>2015</v>
      </c>
      <c r="E175" s="1456" t="s">
        <v>951</v>
      </c>
      <c r="F175" s="1795">
        <f>SUM(F85:F133,F158:F173)</f>
        <v>3484166</v>
      </c>
    </row>
    <row r="176" spans="1:7" ht="12" customHeight="1" x14ac:dyDescent="0.2">
      <c r="A176" s="1443"/>
      <c r="B176" s="1453"/>
      <c r="C176" s="1454"/>
      <c r="D176" s="1455" t="s">
        <v>2013</v>
      </c>
      <c r="E176" s="1456"/>
      <c r="F176" s="1792">
        <f>'PCTC-OEPP 27-28'!F78-F175</f>
        <v>16576876</v>
      </c>
    </row>
    <row r="177" spans="1:9" ht="12" customHeight="1" x14ac:dyDescent="0.2">
      <c r="A177" s="1443"/>
      <c r="B177" s="1453"/>
      <c r="C177" s="1454"/>
      <c r="D177" s="1455" t="s">
        <v>1793</v>
      </c>
      <c r="E177" s="1456"/>
      <c r="F177" s="1792">
        <f>'Cap Outlay Deprec 26'!I18</f>
        <v>1477517</v>
      </c>
    </row>
    <row r="178" spans="1:9" ht="12" customHeight="1" x14ac:dyDescent="0.2">
      <c r="A178" s="1443"/>
      <c r="B178" s="1453"/>
      <c r="C178" s="1454"/>
      <c r="D178" s="1455" t="s">
        <v>2014</v>
      </c>
      <c r="E178" s="1456"/>
      <c r="F178" s="1792">
        <f>F176+F177</f>
        <v>18054393</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1389.5</v>
      </c>
      <c r="G179" s="763"/>
      <c r="I179" s="701"/>
    </row>
    <row r="180" spans="1:9" ht="12" customHeight="1" thickBot="1" x14ac:dyDescent="0.25">
      <c r="A180" s="1443"/>
      <c r="B180" s="1457"/>
      <c r="C180" s="1454"/>
      <c r="D180" s="1455" t="s">
        <v>2016</v>
      </c>
      <c r="E180" s="1456" t="s">
        <v>1530</v>
      </c>
      <c r="F180" s="1797">
        <f>F178/F179</f>
        <v>12993.445843828715</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1889</v>
      </c>
      <c r="B186" s="1536"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10" zoomScaleNormal="100" workbookViewId="0">
      <selection activeCell="A21" sqref="A21"/>
    </sheetView>
  </sheetViews>
  <sheetFormatPr defaultColWidth="9.140625"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1806</v>
      </c>
      <c r="B1" s="1859"/>
      <c r="C1" s="1860"/>
      <c r="D1" s="1860"/>
      <c r="E1" s="1860"/>
      <c r="F1" s="1860"/>
    </row>
    <row r="2" spans="1:6" x14ac:dyDescent="0.25">
      <c r="A2" s="1862"/>
      <c r="B2" s="1863"/>
      <c r="C2" s="1912" t="s">
        <v>2002</v>
      </c>
      <c r="D2" s="1862"/>
      <c r="E2" s="1862"/>
      <c r="F2" s="1862"/>
    </row>
    <row r="3" spans="1:6" ht="5.25" customHeight="1" x14ac:dyDescent="0.25">
      <c r="A3" s="1864"/>
      <c r="B3" s="1865"/>
      <c r="C3" s="1864"/>
      <c r="D3" s="1864"/>
      <c r="E3" s="1864"/>
      <c r="F3" s="1864"/>
    </row>
    <row r="4" spans="1:6" ht="18.75" customHeight="1" x14ac:dyDescent="0.25">
      <c r="A4" s="2411" t="s">
        <v>1794</v>
      </c>
      <c r="B4" s="2412"/>
      <c r="C4" s="2412"/>
      <c r="D4" s="2412"/>
      <c r="E4" s="2412"/>
      <c r="F4" s="2413"/>
    </row>
    <row r="5" spans="1:6" x14ac:dyDescent="0.25">
      <c r="A5" s="2414"/>
      <c r="B5" s="2415"/>
      <c r="C5" s="2415"/>
      <c r="D5" s="2415"/>
      <c r="E5" s="2415"/>
      <c r="F5" s="2416"/>
    </row>
    <row r="6" spans="1:6" ht="18.75" x14ac:dyDescent="0.25">
      <c r="A6" s="1866" t="s">
        <v>1795</v>
      </c>
      <c r="B6" s="1867"/>
      <c r="C6" s="1868"/>
      <c r="D6" s="1868"/>
      <c r="E6" s="1868"/>
      <c r="F6" s="1869"/>
    </row>
    <row r="7" spans="1:6" ht="47.25" customHeight="1" x14ac:dyDescent="0.25">
      <c r="A7" s="2417" t="s">
        <v>1984</v>
      </c>
      <c r="B7" s="2418"/>
      <c r="C7" s="2418"/>
      <c r="D7" s="2418"/>
      <c r="E7" s="2418"/>
      <c r="F7" s="2419"/>
    </row>
    <row r="8" spans="1:6" ht="20.25" customHeight="1" x14ac:dyDescent="0.25">
      <c r="A8" s="1901" t="s">
        <v>1986</v>
      </c>
      <c r="B8" s="1902"/>
      <c r="C8" s="1902"/>
      <c r="D8" s="1902"/>
      <c r="E8" s="1870"/>
      <c r="F8" s="1871"/>
    </row>
    <row r="9" spans="1:6" ht="18" customHeight="1" x14ac:dyDescent="0.25">
      <c r="A9" s="1872" t="s">
        <v>1983</v>
      </c>
      <c r="B9" s="1874"/>
      <c r="C9" s="1874"/>
      <c r="D9" s="1874"/>
      <c r="E9" s="1870"/>
      <c r="F9" s="1871"/>
    </row>
    <row r="10" spans="1:6" ht="15.75" customHeight="1" x14ac:dyDescent="0.25">
      <c r="A10" s="2420" t="s">
        <v>1980</v>
      </c>
      <c r="B10" s="2421"/>
      <c r="C10" s="2421"/>
      <c r="D10" s="2421"/>
      <c r="E10" s="2421"/>
      <c r="F10" s="2422"/>
    </row>
    <row r="11" spans="1:6" ht="33" customHeight="1" x14ac:dyDescent="0.25">
      <c r="A11" s="2417" t="s">
        <v>1985</v>
      </c>
      <c r="B11" s="2418"/>
      <c r="C11" s="2418"/>
      <c r="D11" s="2418"/>
      <c r="E11" s="2418"/>
      <c r="F11" s="2419"/>
    </row>
    <row r="12" spans="1:6" ht="15" customHeight="1" x14ac:dyDescent="0.25">
      <c r="A12" s="1872" t="s">
        <v>1981</v>
      </c>
      <c r="B12" s="1873"/>
      <c r="C12" s="1874"/>
      <c r="D12" s="1874"/>
      <c r="E12" s="1874"/>
      <c r="F12" s="1875"/>
    </row>
    <row r="13" spans="1:6" ht="17.25" customHeight="1" x14ac:dyDescent="0.25">
      <c r="A13" s="2417" t="s">
        <v>1982</v>
      </c>
      <c r="B13" s="2418"/>
      <c r="C13" s="2418"/>
      <c r="D13" s="2418"/>
      <c r="E13" s="2418"/>
      <c r="F13" s="2419"/>
    </row>
    <row r="14" spans="1:6" ht="15" customHeight="1" x14ac:dyDescent="0.25">
      <c r="A14" s="1872" t="s">
        <v>1799</v>
      </c>
      <c r="B14" s="1873"/>
      <c r="C14" s="1874"/>
      <c r="D14" s="1874"/>
      <c r="E14" s="1874"/>
      <c r="F14" s="1875"/>
    </row>
    <row r="15" spans="1:6" ht="32.25" customHeight="1" x14ac:dyDescent="0.25">
      <c r="A15" s="240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09"/>
      <c r="C15" s="2409"/>
      <c r="D15" s="2409"/>
      <c r="E15" s="2409"/>
      <c r="F15" s="2410"/>
    </row>
    <row r="16" spans="1:6" ht="61.5" customHeight="1" x14ac:dyDescent="0.25">
      <c r="A16" s="1876" t="s">
        <v>1800</v>
      </c>
      <c r="B16" s="1877" t="s">
        <v>1801</v>
      </c>
      <c r="C16" s="1876" t="s">
        <v>1802</v>
      </c>
      <c r="D16" s="1878" t="s">
        <v>1803</v>
      </c>
      <c r="E16" s="1878" t="s">
        <v>1804</v>
      </c>
      <c r="F16" s="1878" t="s">
        <v>1805</v>
      </c>
    </row>
    <row r="17" spans="1:7" x14ac:dyDescent="0.25">
      <c r="A17" s="1879" t="s">
        <v>1807</v>
      </c>
      <c r="B17" s="1906" t="s">
        <v>1798</v>
      </c>
      <c r="C17" s="1880" t="s">
        <v>1796</v>
      </c>
      <c r="D17" s="1881">
        <v>500000</v>
      </c>
      <c r="E17" s="1881" t="str">
        <f>IF(D17&lt;25000,D17,"25,000")</f>
        <v>25,000</v>
      </c>
      <c r="F17" s="1882">
        <f>IF(D17&gt;=25000,(D17-E17),"0")</f>
        <v>475000</v>
      </c>
    </row>
    <row r="18" spans="1:7" ht="30" x14ac:dyDescent="0.25">
      <c r="A18" s="2050" t="s">
        <v>2178</v>
      </c>
      <c r="B18" s="1907">
        <v>202540300</v>
      </c>
      <c r="C18" s="2049" t="s">
        <v>2174</v>
      </c>
      <c r="D18" s="1885">
        <v>104828</v>
      </c>
      <c r="E18" s="1905" t="str">
        <f t="shared" ref="E18:E81" si="0">IF(D18&lt;25000,D18,"25,000")</f>
        <v>25,000</v>
      </c>
      <c r="F18" s="1905">
        <f t="shared" ref="F18:F81" si="1">IF(D18&gt;=25000,(D18-E18),"0")</f>
        <v>79828</v>
      </c>
      <c r="G18" s="1886"/>
    </row>
    <row r="19" spans="1:7" ht="30" x14ac:dyDescent="0.25">
      <c r="A19" s="2050" t="s">
        <v>2178</v>
      </c>
      <c r="B19" s="1907">
        <v>202540300</v>
      </c>
      <c r="C19" s="2049" t="s">
        <v>2175</v>
      </c>
      <c r="D19" s="1885">
        <v>116780</v>
      </c>
      <c r="E19" s="1905" t="str">
        <f t="shared" si="0"/>
        <v>25,000</v>
      </c>
      <c r="F19" s="1905">
        <f t="shared" si="1"/>
        <v>91780</v>
      </c>
    </row>
    <row r="20" spans="1:7" ht="30" x14ac:dyDescent="0.25">
      <c r="A20" s="2050" t="s">
        <v>2178</v>
      </c>
      <c r="B20" s="1907">
        <v>202540300</v>
      </c>
      <c r="C20" s="2049" t="s">
        <v>2176</v>
      </c>
      <c r="D20" s="1885">
        <v>34200</v>
      </c>
      <c r="E20" s="1905" t="str">
        <f t="shared" si="0"/>
        <v>25,000</v>
      </c>
      <c r="F20" s="1905">
        <f t="shared" si="1"/>
        <v>9200</v>
      </c>
    </row>
    <row r="21" spans="1:7" x14ac:dyDescent="0.25">
      <c r="A21" s="2050" t="s">
        <v>2179</v>
      </c>
      <c r="B21" s="1907">
        <v>102560300</v>
      </c>
      <c r="C21" s="2049" t="s">
        <v>2177</v>
      </c>
      <c r="D21" s="2036">
        <v>235132</v>
      </c>
      <c r="E21" s="1905" t="str">
        <f t="shared" si="0"/>
        <v>25,000</v>
      </c>
      <c r="F21" s="1905">
        <f t="shared" si="1"/>
        <v>210132</v>
      </c>
    </row>
    <row r="22" spans="1:7" x14ac:dyDescent="0.25">
      <c r="A22" s="2034"/>
      <c r="B22" s="1907"/>
      <c r="C22" s="2035"/>
      <c r="D22" s="1885"/>
      <c r="E22" s="1905">
        <f t="shared" si="0"/>
        <v>0</v>
      </c>
      <c r="F22" s="1905" t="str">
        <f t="shared" si="1"/>
        <v>0</v>
      </c>
    </row>
    <row r="23" spans="1:7" x14ac:dyDescent="0.25">
      <c r="A23" s="2034"/>
      <c r="B23" s="1907"/>
      <c r="C23" s="2035"/>
      <c r="D23" s="1885"/>
      <c r="E23" s="1905">
        <f t="shared" si="0"/>
        <v>0</v>
      </c>
      <c r="F23" s="1905" t="str">
        <f t="shared" si="1"/>
        <v>0</v>
      </c>
    </row>
    <row r="24" spans="1:7" x14ac:dyDescent="0.25">
      <c r="A24" s="2034"/>
      <c r="B24" s="1907"/>
      <c r="C24" s="2035"/>
      <c r="D24" s="1885"/>
      <c r="E24" s="1905">
        <f t="shared" si="0"/>
        <v>0</v>
      </c>
      <c r="F24" s="1905" t="str">
        <f t="shared" si="1"/>
        <v>0</v>
      </c>
    </row>
    <row r="25" spans="1:7" x14ac:dyDescent="0.25">
      <c r="A25" s="2034"/>
      <c r="B25" s="1907"/>
      <c r="C25" s="2035"/>
      <c r="D25" s="1885"/>
      <c r="E25" s="1905">
        <f t="shared" si="0"/>
        <v>0</v>
      </c>
      <c r="F25" s="1905" t="str">
        <f t="shared" si="1"/>
        <v>0</v>
      </c>
    </row>
    <row r="26" spans="1:7" x14ac:dyDescent="0.25">
      <c r="A26" s="2034"/>
      <c r="B26" s="1907"/>
      <c r="C26" s="2035"/>
      <c r="D26" s="1885"/>
      <c r="E26" s="1905">
        <f t="shared" si="0"/>
        <v>0</v>
      </c>
      <c r="F26" s="1905" t="str">
        <f t="shared" si="1"/>
        <v>0</v>
      </c>
    </row>
    <row r="27" spans="1:7" x14ac:dyDescent="0.25">
      <c r="A27" s="2034"/>
      <c r="B27" s="1907"/>
      <c r="C27" s="2035"/>
      <c r="D27" s="1885"/>
      <c r="E27" s="1905">
        <f t="shared" si="0"/>
        <v>0</v>
      </c>
      <c r="F27" s="1905" t="str">
        <f t="shared" si="1"/>
        <v>0</v>
      </c>
    </row>
    <row r="28" spans="1:7" x14ac:dyDescent="0.25">
      <c r="A28" s="2034"/>
      <c r="B28" s="1907"/>
      <c r="C28" s="2035"/>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490940</v>
      </c>
      <c r="E142" s="1892">
        <f>SUM(E18:E141)</f>
        <v>0</v>
      </c>
      <c r="F142" s="1893">
        <f>SUM(F18:F141)</f>
        <v>390940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B8" sqref="B8"/>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23" t="s">
        <v>1662</v>
      </c>
      <c r="B5" s="2424"/>
      <c r="C5" s="2424"/>
      <c r="D5" s="2424"/>
      <c r="E5" s="2424"/>
      <c r="F5" s="2424"/>
      <c r="G5" s="2425"/>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1893</v>
      </c>
      <c r="B10" s="803"/>
      <c r="C10" s="807"/>
      <c r="D10" s="804"/>
      <c r="E10" s="1799"/>
      <c r="F10" s="805"/>
      <c r="G10" s="806"/>
      <c r="H10" s="157"/>
      <c r="I10" s="157"/>
    </row>
    <row r="11" spans="1:13" s="542" customFormat="1" ht="22.5" customHeight="1" x14ac:dyDescent="0.2">
      <c r="A11" s="242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29"/>
      <c r="C11" s="2429"/>
      <c r="D11" s="2430"/>
      <c r="E11" s="1800">
        <v>37025</v>
      </c>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11412514</v>
      </c>
      <c r="F19" s="1801"/>
      <c r="G19" s="1803">
        <f>'Expenditures 15-22'!K33-SUM('Expenditures 15-22'!G33,'Expenditures 15-22'!I33)+'Expenditures 15-22'!D229</f>
        <v>11412514</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1001817</v>
      </c>
      <c r="F21" s="1804"/>
      <c r="G21" s="1807">
        <f>'Expenditures 15-22'!K42-SUM('Expenditures 15-22'!G42,'Expenditures 15-22'!I42)+'Expenditures 15-22'!K120-SUM('Expenditures 15-22'!G120,'Expenditures 15-22'!I120)+'Expenditures 15-22'!K180-SUM('Expenditures 15-22'!G180,'Expenditures 15-22'!I180)+'Expenditures 15-22'!D238</f>
        <v>1001817</v>
      </c>
      <c r="H21" s="817"/>
      <c r="I21" s="157"/>
    </row>
    <row r="22" spans="1:9" s="542" customFormat="1" ht="12" customHeight="1" x14ac:dyDescent="0.2">
      <c r="A22" s="824" t="s">
        <v>559</v>
      </c>
      <c r="B22" s="825"/>
      <c r="C22" s="823">
        <v>2200</v>
      </c>
      <c r="D22" s="1804"/>
      <c r="E22" s="1806">
        <f>'Expenditures 15-22'!K47-SUM('Expenditures 15-22'!G47,'Expenditures 15-22'!I47)+'Expenditures 15-22'!D243</f>
        <v>1404921</v>
      </c>
      <c r="F22" s="1804"/>
      <c r="G22" s="1807">
        <f>'Expenditures 15-22'!K47-SUM('Expenditures 15-22'!G47,'Expenditures 15-22'!I47)+'Expenditures 15-22'!D243</f>
        <v>1404921</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811648</v>
      </c>
      <c r="F23" s="1804"/>
      <c r="G23" s="1806">
        <f>'Expenditures 15-22'!K53-SUM('Expenditures 15-22'!G53,'Expenditures 15-22'!I53)+'Expenditures 15-22'!D257+'Expenditures 15-22'!K330-SUM('Expenditures 15-22'!G330,'Expenditures 15-22'!I330)</f>
        <v>811648</v>
      </c>
      <c r="H23" s="817"/>
      <c r="I23" s="157"/>
    </row>
    <row r="24" spans="1:9" s="542" customFormat="1" ht="12" customHeight="1" x14ac:dyDescent="0.2">
      <c r="A24" s="824" t="s">
        <v>561</v>
      </c>
      <c r="B24" s="825"/>
      <c r="C24" s="823">
        <v>2400</v>
      </c>
      <c r="D24" s="1804"/>
      <c r="E24" s="1806">
        <f>'Expenditures 15-22'!K57-SUM('Expenditures 15-22'!G57,'Expenditures 15-22'!I57)+'Expenditures 15-22'!D261</f>
        <v>1149273</v>
      </c>
      <c r="F24" s="1804"/>
      <c r="G24" s="1807">
        <f>'Expenditures 15-22'!K57-SUM('Expenditures 15-22'!G57,'Expenditures 15-22'!I57)+'Expenditures 15-22'!D261</f>
        <v>1149273</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459</v>
      </c>
      <c r="B27" s="827"/>
      <c r="C27" s="823">
        <v>2520</v>
      </c>
      <c r="D27" s="1806">
        <f>'Expenditures 15-22'!K60-SUM('Expenditures 15-22'!G60,'Expenditures 15-22'!I60)+'Expenditures 15-22'!D264-E8</f>
        <v>393228</v>
      </c>
      <c r="E27" s="1806">
        <f>E8</f>
        <v>0</v>
      </c>
      <c r="F27" s="1806">
        <f>'Expenditures 15-22'!K60-SUM('Expenditures 15-22'!G60,'Expenditures 15-22'!I60)+'Expenditures 15-22'!D264-E8</f>
        <v>393228</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1500368</v>
      </c>
      <c r="F28" s="1808">
        <f>'Expenditures 15-22'!K61-SUM('Expenditures 15-22'!G61,'Expenditures 15-22'!I61)+'Expenditures 15-22'!K124-SUM('Expenditures 15-22'!G124,'Expenditures 15-22'!I124)+'Expenditures 15-22'!D266-E9</f>
        <v>1500368</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700119</v>
      </c>
      <c r="F29" s="1804"/>
      <c r="G29" s="1807">
        <f>'Expenditures 15-22'!K62-SUM('Expenditures 15-22'!G62,'Expenditures 15-22'!I62)+'Expenditures 15-22'!K125-SUM('Expenditures 15-22'!G125,'Expenditures 15-22'!I125)+'Expenditures 15-22'!K182-SUM('Expenditures 15-22'!G182,'Expenditures 15-22'!I182)+'Expenditures 15-22'!D267</f>
        <v>700119</v>
      </c>
      <c r="H29" s="815"/>
    </row>
    <row r="30" spans="1:9" ht="12" customHeight="1" x14ac:dyDescent="0.2">
      <c r="A30" s="824" t="s">
        <v>100</v>
      </c>
      <c r="B30" s="827"/>
      <c r="C30" s="823">
        <v>2560</v>
      </c>
      <c r="D30" s="1804"/>
      <c r="E30" s="1806">
        <f>'Expenditures 15-22'!K63-SUM('Expenditures 15-22'!G63,'Expenditures 15-22'!I63)+'Expenditures 15-22'!D268-E10</f>
        <v>474615</v>
      </c>
      <c r="F30" s="1804"/>
      <c r="G30" s="1806">
        <f>'Expenditures 15-22'!K63-SUM('Expenditures 15-22'!G63,'Expenditures 15-22'!I63)+'Expenditures 15-22'!D268-E10</f>
        <v>474615</v>
      </c>
    </row>
    <row r="31" spans="1:9" ht="12" customHeight="1" x14ac:dyDescent="0.2">
      <c r="A31" s="824" t="s">
        <v>101</v>
      </c>
      <c r="B31" s="827"/>
      <c r="C31" s="823">
        <v>2570</v>
      </c>
      <c r="D31" s="1806">
        <f>'Expenditures 15-22'!K64-SUM('Expenditures 15-22'!G64,'Expenditures 15-22'!I64)+'Expenditures 15-22'!D269-E12</f>
        <v>14012</v>
      </c>
      <c r="E31" s="1806">
        <f>E12</f>
        <v>0</v>
      </c>
      <c r="F31" s="1806">
        <f>'Expenditures 15-22'!K64-SUM('Expenditures 15-22'!G64,'Expenditures 15-22'!I64)+'Expenditures 15-22'!D269-E12</f>
        <v>14012</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1053</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399</v>
      </c>
      <c r="B36" s="827"/>
      <c r="C36" s="823">
        <v>2640</v>
      </c>
      <c r="D36" s="1806">
        <f>'Expenditures 15-22'!K70-SUM('Expenditures 15-22'!G70,'Expenditures 15-22'!I70)+'Expenditures 15-22'!D275-E13</f>
        <v>37622</v>
      </c>
      <c r="E36" s="1806">
        <f>E13</f>
        <v>0</v>
      </c>
      <c r="F36" s="1806">
        <f>'Expenditures 15-22'!K70-SUM('Expenditures 15-22'!G70,'Expenditures 15-22'!I70)+'Expenditures 15-22'!D275-E13</f>
        <v>37622</v>
      </c>
      <c r="G36" s="1806">
        <f>E13</f>
        <v>0</v>
      </c>
    </row>
    <row r="37" spans="1:7" ht="12" customHeight="1" x14ac:dyDescent="0.2">
      <c r="A37" s="824" t="s">
        <v>400</v>
      </c>
      <c r="B37" s="827"/>
      <c r="C37" s="823">
        <v>2660</v>
      </c>
      <c r="D37" s="1806">
        <f>'Expenditures 15-22'!K71-SUM('Expenditures 15-22'!G71,'Expenditures 15-22'!I71)+'Expenditures 15-22'!D276-E14</f>
        <v>54056</v>
      </c>
      <c r="E37" s="1806">
        <f>E14</f>
        <v>0</v>
      </c>
      <c r="F37" s="1806">
        <f>'Expenditures 15-22'!K71-SUM('Expenditures 15-22'!G71,'Expenditures 15-22'!I71)+'Expenditures 15-22'!D276-E14</f>
        <v>54056</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14941</v>
      </c>
      <c r="F39" s="1804"/>
      <c r="G39" s="1806">
        <f>'Expenditures 15-22'!K75-SUM('Expenditures 15-22'!G75,'Expenditures 15-22'!I75)+'Expenditures 15-22'!K130-SUM('Expenditures 15-22'!G130,'Expenditures 15-22'!I130)+'Expenditures 15-22'!K185-SUM('Expenditures 15-22'!G185,'Expenditures 15-22'!I185)+'Expenditures 15-22'!D280</f>
        <v>14941</v>
      </c>
    </row>
    <row r="40" spans="1:7" ht="12" customHeight="1" x14ac:dyDescent="0.2">
      <c r="A40" s="820" t="s">
        <v>1797</v>
      </c>
      <c r="B40" s="821"/>
      <c r="C40" s="823"/>
      <c r="D40" s="1804"/>
      <c r="E40" s="1808">
        <f>-'Contracts Paid in CY 29'!F142</f>
        <v>-390940</v>
      </c>
      <c r="F40" s="1804"/>
      <c r="G40" s="1808">
        <f>-'Contracts Paid in CY 29'!F142</f>
        <v>-390940</v>
      </c>
    </row>
    <row r="41" spans="1:7" ht="12" customHeight="1" x14ac:dyDescent="0.2">
      <c r="A41" s="828" t="s">
        <v>155</v>
      </c>
      <c r="B41" s="829"/>
      <c r="C41" s="830"/>
      <c r="D41" s="1808">
        <f>SUM(D19:D39)</f>
        <v>498918</v>
      </c>
      <c r="E41" s="1808">
        <f>SUM(E19:E40)</f>
        <v>18079276</v>
      </c>
      <c r="F41" s="1808">
        <f>SUM(F19:F39)</f>
        <v>1999286</v>
      </c>
      <c r="G41" s="1808">
        <f>SUM(G19:G40)</f>
        <v>16578908</v>
      </c>
    </row>
    <row r="42" spans="1:7" x14ac:dyDescent="0.2">
      <c r="A42" s="817"/>
      <c r="B42" s="157"/>
      <c r="C42" s="831"/>
      <c r="D42" s="2426" t="s">
        <v>518</v>
      </c>
      <c r="E42" s="2427"/>
      <c r="F42" s="832" t="s">
        <v>519</v>
      </c>
      <c r="G42" s="833"/>
    </row>
    <row r="43" spans="1:7" ht="12" customHeight="1" x14ac:dyDescent="0.2">
      <c r="A43" s="817"/>
      <c r="B43" s="157"/>
      <c r="C43" s="831"/>
      <c r="D43" s="1458" t="s">
        <v>469</v>
      </c>
      <c r="E43" s="1809">
        <f>D41</f>
        <v>498918</v>
      </c>
      <c r="F43" s="1458" t="s">
        <v>469</v>
      </c>
      <c r="G43" s="1809">
        <f>F41</f>
        <v>1999286</v>
      </c>
    </row>
    <row r="44" spans="1:7" ht="12" customHeight="1" x14ac:dyDescent="0.2">
      <c r="A44" s="817"/>
      <c r="B44" s="157"/>
      <c r="C44" s="831"/>
      <c r="D44" s="1458" t="s">
        <v>470</v>
      </c>
      <c r="E44" s="1809">
        <f>E41</f>
        <v>18079276</v>
      </c>
      <c r="F44" s="1458" t="s">
        <v>470</v>
      </c>
      <c r="G44" s="1809">
        <f>G41</f>
        <v>16578908</v>
      </c>
    </row>
    <row r="45" spans="1:7" ht="12" customHeight="1" x14ac:dyDescent="0.2">
      <c r="A45" s="817"/>
      <c r="B45" s="157"/>
      <c r="C45" s="157"/>
      <c r="D45" s="1459" t="s">
        <v>998</v>
      </c>
      <c r="E45" s="1810">
        <f>(E43/E44)</f>
        <v>2.7596127190048982E-2</v>
      </c>
      <c r="F45" s="1459" t="s">
        <v>998</v>
      </c>
      <c r="G45" s="1810">
        <f>(G43/G44)</f>
        <v>0.12059214032673322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activeCell="F33" sqref="F3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45" t="s">
        <v>1364</v>
      </c>
      <c r="B1" s="2445"/>
      <c r="C1" s="2445"/>
      <c r="D1" s="2445"/>
      <c r="E1" s="2445"/>
      <c r="F1" s="2445"/>
    </row>
    <row r="2" spans="1:15" x14ac:dyDescent="0.2">
      <c r="A2" s="1513" t="s">
        <v>1877</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46" t="s">
        <v>1531</v>
      </c>
      <c r="B5" s="2447"/>
      <c r="C5" s="2448"/>
      <c r="D5" s="2448"/>
      <c r="E5" s="2448"/>
      <c r="F5" s="2448"/>
      <c r="G5" s="1507"/>
      <c r="L5" s="1507"/>
      <c r="M5" s="1854"/>
      <c r="N5" s="1854"/>
      <c r="O5" s="1854"/>
    </row>
    <row r="6" spans="1:15" ht="12" customHeight="1" x14ac:dyDescent="0.25">
      <c r="A6" s="1480"/>
      <c r="B6" s="1481"/>
      <c r="C6" s="2449" t="str">
        <f>COVER!A17</f>
        <v xml:space="preserve"> Maercker SD 60</v>
      </c>
      <c r="D6" s="2449"/>
      <c r="E6" s="2449"/>
      <c r="F6" s="1482"/>
      <c r="G6" s="1507"/>
      <c r="L6" s="1507"/>
      <c r="M6" s="1854"/>
      <c r="N6" s="1854"/>
      <c r="O6" s="1854"/>
    </row>
    <row r="7" spans="1:15" ht="11.25" customHeight="1" thickBot="1" x14ac:dyDescent="0.3">
      <c r="A7" s="1480"/>
      <c r="B7" s="1481"/>
      <c r="C7" s="2450">
        <f>COVER!A13</f>
        <v>19022060002</v>
      </c>
      <c r="D7" s="2450"/>
      <c r="E7" s="2450"/>
      <c r="F7" s="1482"/>
      <c r="G7" s="1507"/>
      <c r="L7" s="1507"/>
      <c r="M7" s="1854"/>
      <c r="N7" s="1854"/>
      <c r="O7" s="1854"/>
    </row>
    <row r="8" spans="1:15" ht="25.5" customHeight="1" thickBot="1" x14ac:dyDescent="0.25">
      <c r="A8" s="1519" t="s">
        <v>1873</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c r="D11" s="1495"/>
      <c r="E11" s="1496"/>
      <c r="F11" s="1497"/>
      <c r="G11" s="1507"/>
      <c r="H11" s="1507">
        <f>IF(C11="X",5,0)</f>
        <v>0</v>
      </c>
      <c r="I11" s="1507">
        <f>IF(D11="X",5,0)</f>
        <v>0</v>
      </c>
      <c r="J11" s="1507">
        <f>IF(E11="X",5,0)</f>
        <v>0</v>
      </c>
      <c r="L11" s="1507"/>
      <c r="M11" s="1854"/>
      <c r="N11" s="1854"/>
      <c r="O11" s="1854"/>
    </row>
    <row r="12" spans="1:15" ht="12" customHeight="1" x14ac:dyDescent="0.2">
      <c r="A12" s="1493" t="s">
        <v>1369</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c r="D14" s="1495"/>
      <c r="E14" s="1498"/>
      <c r="F14" s="1497"/>
      <c r="G14" s="1507"/>
      <c r="H14" s="1507">
        <f t="shared" si="0"/>
        <v>0</v>
      </c>
      <c r="I14" s="1507">
        <f t="shared" si="1"/>
        <v>0</v>
      </c>
      <c r="J14" s="1507">
        <f t="shared" si="2"/>
        <v>0</v>
      </c>
      <c r="L14" s="1507"/>
      <c r="M14" s="1854"/>
      <c r="N14" s="1854"/>
      <c r="O14" s="1854"/>
    </row>
    <row r="15" spans="1:15" ht="12" customHeight="1" x14ac:dyDescent="0.2">
      <c r="A15" s="1493" t="s">
        <v>1372</v>
      </c>
      <c r="B15" s="1494"/>
      <c r="C15" s="1495"/>
      <c r="D15" s="1495"/>
      <c r="E15" s="1498"/>
      <c r="F15" s="1497"/>
      <c r="G15" s="1507"/>
      <c r="H15" s="1507">
        <f t="shared" si="0"/>
        <v>0</v>
      </c>
      <c r="I15" s="1507">
        <f t="shared" si="1"/>
        <v>0</v>
      </c>
      <c r="J15" s="1507">
        <f t="shared" si="2"/>
        <v>0</v>
      </c>
      <c r="L15" s="1507"/>
      <c r="M15" s="1854"/>
      <c r="N15" s="1854"/>
      <c r="O15" s="1854"/>
    </row>
    <row r="16" spans="1:15" ht="12" customHeight="1" x14ac:dyDescent="0.2">
      <c r="A16" s="1493" t="s">
        <v>1373</v>
      </c>
      <c r="B16" s="1494"/>
      <c r="C16" s="1495" t="s">
        <v>2047</v>
      </c>
      <c r="D16" s="1495" t="s">
        <v>2047</v>
      </c>
      <c r="E16" s="1498"/>
      <c r="F16" s="1497" t="s">
        <v>2180</v>
      </c>
      <c r="G16" s="1507"/>
      <c r="H16" s="1507">
        <f t="shared" si="0"/>
        <v>5</v>
      </c>
      <c r="I16" s="1507">
        <f t="shared" si="1"/>
        <v>5</v>
      </c>
      <c r="J16" s="1507">
        <f t="shared" si="2"/>
        <v>0</v>
      </c>
      <c r="L16" s="1507"/>
      <c r="M16" s="1854"/>
      <c r="N16" s="1854"/>
      <c r="O16" s="1854"/>
    </row>
    <row r="17" spans="1:15" ht="12" customHeight="1" x14ac:dyDescent="0.2">
      <c r="A17" s="1493" t="s">
        <v>1374</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1512</v>
      </c>
      <c r="B19" s="1494"/>
      <c r="C19" s="1495" t="s">
        <v>2047</v>
      </c>
      <c r="D19" s="1495" t="s">
        <v>2047</v>
      </c>
      <c r="E19" s="1498"/>
      <c r="F19" s="1497" t="s">
        <v>2181</v>
      </c>
      <c r="G19" s="1507"/>
      <c r="H19" s="1507">
        <f t="shared" si="0"/>
        <v>5</v>
      </c>
      <c r="I19" s="1507">
        <f t="shared" si="1"/>
        <v>5</v>
      </c>
      <c r="J19" s="1507">
        <f t="shared" si="2"/>
        <v>0</v>
      </c>
      <c r="L19" s="1507"/>
      <c r="M19" s="1854"/>
      <c r="N19" s="1854"/>
      <c r="O19" s="1854"/>
    </row>
    <row r="20" spans="1:15" ht="12" customHeight="1" x14ac:dyDescent="0.2">
      <c r="A20" s="1493" t="s">
        <v>1513</v>
      </c>
      <c r="B20" s="1494"/>
      <c r="C20" s="1495" t="s">
        <v>2047</v>
      </c>
      <c r="D20" s="1495" t="s">
        <v>2047</v>
      </c>
      <c r="E20" s="1498"/>
      <c r="F20" s="1497" t="s">
        <v>2182</v>
      </c>
      <c r="G20" s="1507"/>
      <c r="H20" s="1507">
        <f t="shared" si="0"/>
        <v>5</v>
      </c>
      <c r="I20" s="1507">
        <f t="shared" si="1"/>
        <v>5</v>
      </c>
      <c r="J20" s="1507">
        <f t="shared" si="2"/>
        <v>0</v>
      </c>
      <c r="L20" s="1507"/>
      <c r="M20" s="1854"/>
      <c r="N20" s="1854"/>
      <c r="O20" s="1854"/>
    </row>
    <row r="21" spans="1:15" ht="12" customHeight="1" x14ac:dyDescent="0.2">
      <c r="A21" s="1493" t="s">
        <v>1514</v>
      </c>
      <c r="B21" s="1494"/>
      <c r="C21" s="1495"/>
      <c r="D21" s="1495"/>
      <c r="E21" s="1498"/>
      <c r="F21" s="1497"/>
      <c r="G21" s="1507"/>
      <c r="H21" s="1507">
        <f t="shared" si="0"/>
        <v>0</v>
      </c>
      <c r="I21" s="1507">
        <f t="shared" si="1"/>
        <v>0</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1518</v>
      </c>
      <c r="B25" s="1494"/>
      <c r="C25" s="1495"/>
      <c r="D25" s="1495"/>
      <c r="E25" s="1498"/>
      <c r="F25" s="1497"/>
      <c r="G25" s="1507"/>
      <c r="H25" s="1507">
        <f t="shared" si="0"/>
        <v>0</v>
      </c>
      <c r="I25" s="1507">
        <f t="shared" si="1"/>
        <v>0</v>
      </c>
      <c r="J25" s="1507">
        <f t="shared" si="2"/>
        <v>0</v>
      </c>
      <c r="L25" s="1507"/>
      <c r="M25" s="1854"/>
      <c r="N25" s="1854"/>
      <c r="O25" s="1854"/>
    </row>
    <row r="26" spans="1:15" ht="12" customHeight="1" x14ac:dyDescent="0.2">
      <c r="A26" s="1493" t="s">
        <v>1519</v>
      </c>
      <c r="B26" s="1494"/>
      <c r="C26" s="1495" t="s">
        <v>2047</v>
      </c>
      <c r="D26" s="1495" t="s">
        <v>2047</v>
      </c>
      <c r="E26" s="1498"/>
      <c r="F26" s="1497" t="s">
        <v>2183</v>
      </c>
      <c r="G26" s="1507"/>
      <c r="H26" s="1507">
        <f t="shared" si="0"/>
        <v>5</v>
      </c>
      <c r="I26" s="1507">
        <f t="shared" si="1"/>
        <v>5</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t="s">
        <v>2047</v>
      </c>
      <c r="D28" s="1495" t="s">
        <v>2047</v>
      </c>
      <c r="E28" s="1498"/>
      <c r="F28" s="1497" t="s">
        <v>2184</v>
      </c>
      <c r="G28" s="1507"/>
      <c r="H28" s="1507">
        <f t="shared" si="0"/>
        <v>5</v>
      </c>
      <c r="I28" s="1507">
        <f t="shared" si="1"/>
        <v>5</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1495" t="s">
        <v>2047</v>
      </c>
      <c r="D30" s="1495" t="s">
        <v>2047</v>
      </c>
      <c r="E30" s="1498"/>
      <c r="F30" s="1497" t="s">
        <v>2183</v>
      </c>
      <c r="G30" s="1507"/>
      <c r="H30" s="1507">
        <f t="shared" si="0"/>
        <v>5</v>
      </c>
      <c r="I30" s="1507">
        <f t="shared" si="1"/>
        <v>5</v>
      </c>
      <c r="J30" s="1507">
        <f t="shared" si="2"/>
        <v>0</v>
      </c>
      <c r="L30" s="1507"/>
      <c r="M30" s="1854"/>
      <c r="N30" s="1854"/>
      <c r="O30" s="1854"/>
    </row>
    <row r="31" spans="1:15" ht="12" customHeight="1" x14ac:dyDescent="0.2">
      <c r="A31" s="1493" t="s">
        <v>1524</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4"/>
      <c r="N34" s="1854"/>
      <c r="O34" s="1854"/>
    </row>
    <row r="35" spans="1:15" ht="12" customHeight="1" x14ac:dyDescent="0.2">
      <c r="A35" s="1500" t="s">
        <v>1377</v>
      </c>
      <c r="B35" s="1501"/>
      <c r="C35" s="2451"/>
      <c r="D35" s="2451"/>
      <c r="E35" s="2451"/>
      <c r="F35" s="2452"/>
    </row>
    <row r="36" spans="1:15" ht="12" customHeight="1" x14ac:dyDescent="0.2">
      <c r="A36" s="2434"/>
      <c r="B36" s="2435"/>
      <c r="C36" s="2435"/>
      <c r="D36" s="2435"/>
      <c r="E36" s="2435"/>
      <c r="F36" s="2436"/>
    </row>
    <row r="37" spans="1:15" ht="12" customHeight="1" x14ac:dyDescent="0.2">
      <c r="A37" s="2434"/>
      <c r="B37" s="2435"/>
      <c r="C37" s="2435"/>
      <c r="D37" s="2435"/>
      <c r="E37" s="2435"/>
      <c r="F37" s="2436"/>
    </row>
    <row r="38" spans="1:15" ht="12" customHeight="1" x14ac:dyDescent="0.2">
      <c r="A38" s="2437"/>
      <c r="B38" s="2438"/>
      <c r="C38" s="2438"/>
      <c r="D38" s="2438"/>
      <c r="E38" s="2438"/>
      <c r="F38" s="2439"/>
    </row>
    <row r="39" spans="1:15" ht="4.5" hidden="1" customHeight="1" x14ac:dyDescent="0.2">
      <c r="A39" s="1502"/>
      <c r="B39" s="1502"/>
      <c r="C39" s="1502"/>
      <c r="D39" s="1502"/>
      <c r="E39" s="1502"/>
      <c r="F39" s="1502"/>
    </row>
    <row r="40" spans="1:15" s="1499" customFormat="1" ht="12" customHeight="1" x14ac:dyDescent="0.25">
      <c r="A40" s="1503" t="s">
        <v>1376</v>
      </c>
      <c r="B40" s="1504"/>
      <c r="C40" s="2440"/>
      <c r="D40" s="2440"/>
      <c r="E40" s="2440"/>
      <c r="F40" s="2441"/>
      <c r="H40" s="1508"/>
      <c r="I40" s="1508"/>
      <c r="J40" s="1508"/>
      <c r="K40" s="1508"/>
    </row>
    <row r="41" spans="1:15" s="1499" customFormat="1" ht="12" customHeight="1" x14ac:dyDescent="0.25">
      <c r="A41" s="2442"/>
      <c r="B41" s="2443"/>
      <c r="C41" s="2443"/>
      <c r="D41" s="2443"/>
      <c r="E41" s="2443"/>
      <c r="F41" s="2444"/>
      <c r="H41" s="1508"/>
      <c r="I41" s="1508"/>
      <c r="J41" s="1508"/>
      <c r="K41" s="1508"/>
    </row>
    <row r="42" spans="1:15" s="1499" customFormat="1" ht="12" customHeight="1" x14ac:dyDescent="0.25">
      <c r="A42" s="2442"/>
      <c r="B42" s="2443"/>
      <c r="C42" s="2443"/>
      <c r="D42" s="2443"/>
      <c r="E42" s="2443"/>
      <c r="F42" s="2444"/>
      <c r="H42" s="1508"/>
      <c r="I42" s="1508"/>
      <c r="J42" s="1508"/>
      <c r="K42" s="1508"/>
    </row>
    <row r="43" spans="1:15" s="1499" customFormat="1" ht="15" x14ac:dyDescent="0.25">
      <c r="A43" s="2431"/>
      <c r="B43" s="2432"/>
      <c r="C43" s="2432"/>
      <c r="D43" s="2432"/>
      <c r="E43" s="2432"/>
      <c r="F43" s="2433"/>
      <c r="H43" s="1508"/>
      <c r="I43" s="1508"/>
      <c r="J43" s="1508"/>
      <c r="K43" s="1508"/>
    </row>
    <row r="44" spans="1:15" s="1499" customFormat="1" ht="12" hidden="1" customHeight="1" x14ac:dyDescent="0.25">
      <c r="A44" s="2431"/>
      <c r="B44" s="2432"/>
      <c r="C44" s="2432"/>
      <c r="D44" s="2432"/>
      <c r="E44" s="2432"/>
      <c r="F44" s="2433"/>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I20" sqref="I20"/>
    </sheetView>
  </sheetViews>
  <sheetFormatPr defaultColWidth="9.140625"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2001</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7"/>
      <c r="C6" s="1377"/>
      <c r="D6" s="1377"/>
      <c r="E6" s="1378"/>
      <c r="F6" s="1921"/>
      <c r="G6" s="1922"/>
      <c r="H6" s="838"/>
      <c r="I6" s="1923" t="s">
        <v>1020</v>
      </c>
      <c r="J6" s="2471" t="str">
        <f>COVER!A17</f>
        <v xml:space="preserve"> Maercker SD 60</v>
      </c>
      <c r="K6" s="2471"/>
      <c r="L6" s="2485"/>
      <c r="M6" s="838"/>
      <c r="N6" s="1997"/>
    </row>
    <row r="7" spans="1:14" x14ac:dyDescent="0.2">
      <c r="A7" s="2486" t="s">
        <v>863</v>
      </c>
      <c r="B7" s="2487"/>
      <c r="C7" s="2487"/>
      <c r="D7" s="2487"/>
      <c r="E7" s="2488"/>
      <c r="F7" s="839"/>
      <c r="G7" s="838"/>
      <c r="H7" s="838"/>
      <c r="I7" s="1923" t="s">
        <v>368</v>
      </c>
      <c r="J7" s="2473">
        <f>COVER!A13</f>
        <v>19022060002</v>
      </c>
      <c r="K7" s="2473"/>
      <c r="L7" s="2473"/>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2017</v>
      </c>
      <c r="F9" s="1856"/>
      <c r="G9" s="1856"/>
      <c r="H9" s="1856"/>
      <c r="I9" s="1928" t="s">
        <v>2018</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89" t="s">
        <v>477</v>
      </c>
      <c r="B11" s="2490"/>
      <c r="C11" s="2491"/>
      <c r="D11" s="1936" t="s">
        <v>865</v>
      </c>
      <c r="E11" s="1936" t="s">
        <v>64</v>
      </c>
      <c r="F11" s="1936" t="s">
        <v>6</v>
      </c>
      <c r="G11" s="1937" t="s">
        <v>2019</v>
      </c>
      <c r="H11" s="1938" t="s">
        <v>155</v>
      </c>
      <c r="I11" s="1936" t="s">
        <v>64</v>
      </c>
      <c r="J11" s="1936" t="s">
        <v>6</v>
      </c>
      <c r="K11" s="1937" t="s">
        <v>2000</v>
      </c>
      <c r="L11" s="1938" t="s">
        <v>155</v>
      </c>
      <c r="M11" s="838"/>
      <c r="N11" s="1997"/>
    </row>
    <row r="12" spans="1:14" x14ac:dyDescent="0.2">
      <c r="A12" s="2002">
        <v>1</v>
      </c>
      <c r="B12" s="1939" t="s">
        <v>812</v>
      </c>
      <c r="C12" s="842"/>
      <c r="D12" s="1940">
        <v>2320</v>
      </c>
      <c r="E12" s="1943">
        <f>'Expenditures 15-22'!K50</f>
        <v>364616</v>
      </c>
      <c r="F12" s="1941"/>
      <c r="G12" s="1967">
        <f>G68</f>
        <v>0</v>
      </c>
      <c r="H12" s="1943">
        <f t="shared" ref="H12:H18" si="0">SUM(E12:G12)</f>
        <v>364616</v>
      </c>
      <c r="I12" s="1942">
        <v>342417</v>
      </c>
      <c r="J12" s="1941"/>
      <c r="K12" s="1942"/>
      <c r="L12" s="1943">
        <f t="shared" ref="L12:L18" si="1">SUM(I12:K12)</f>
        <v>342417</v>
      </c>
      <c r="M12" s="838"/>
      <c r="N12" s="1997"/>
    </row>
    <row r="13" spans="1:14" x14ac:dyDescent="0.2">
      <c r="A13" s="2002">
        <v>2</v>
      </c>
      <c r="B13" s="1939" t="s">
        <v>42</v>
      </c>
      <c r="C13" s="842"/>
      <c r="D13" s="1940">
        <v>2330</v>
      </c>
      <c r="E13" s="1943">
        <f>'Expenditures 15-22'!K51</f>
        <v>134201</v>
      </c>
      <c r="F13" s="1941"/>
      <c r="G13" s="1967">
        <f>H68</f>
        <v>0</v>
      </c>
      <c r="H13" s="1943">
        <f t="shared" si="0"/>
        <v>134201</v>
      </c>
      <c r="I13" s="1942">
        <v>139410</v>
      </c>
      <c r="J13" s="1941"/>
      <c r="K13" s="1942"/>
      <c r="L13" s="1943">
        <f t="shared" si="1"/>
        <v>139410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1060</v>
      </c>
      <c r="C15" s="842"/>
      <c r="D15" s="1940">
        <v>2510</v>
      </c>
      <c r="E15" s="1943">
        <f>'Expenditures 15-22'!K59</f>
        <v>0</v>
      </c>
      <c r="F15" s="1943">
        <f>'Expenditures 15-22'!K122</f>
        <v>0</v>
      </c>
      <c r="G15" s="1967">
        <f>J68</f>
        <v>0</v>
      </c>
      <c r="H15" s="1943">
        <f t="shared" si="0"/>
        <v>0</v>
      </c>
      <c r="I15" s="1942"/>
      <c r="J15" s="1942"/>
      <c r="K15" s="1942"/>
      <c r="L15" s="1943">
        <f t="shared" si="1"/>
        <v>0</v>
      </c>
      <c r="M15" s="838"/>
      <c r="N15" s="1997"/>
    </row>
    <row r="16" spans="1:14" x14ac:dyDescent="0.2">
      <c r="A16" s="2002">
        <v>5</v>
      </c>
      <c r="B16" s="1939" t="s">
        <v>101</v>
      </c>
      <c r="C16" s="842"/>
      <c r="D16" s="1940">
        <v>2570</v>
      </c>
      <c r="E16" s="1943">
        <f>'Expenditures 15-22'!K64</f>
        <v>14012</v>
      </c>
      <c r="F16" s="1941"/>
      <c r="G16" s="1967">
        <f>K68</f>
        <v>0</v>
      </c>
      <c r="H16" s="1943">
        <f t="shared" si="0"/>
        <v>14012</v>
      </c>
      <c r="I16" s="1942">
        <v>10000</v>
      </c>
      <c r="J16" s="1941"/>
      <c r="K16" s="1942"/>
      <c r="L16" s="1943">
        <f t="shared" si="1"/>
        <v>10000</v>
      </c>
      <c r="M16" s="838"/>
      <c r="N16" s="1997"/>
    </row>
    <row r="17" spans="1:14" x14ac:dyDescent="0.2">
      <c r="A17" s="2002">
        <v>6</v>
      </c>
      <c r="B17" s="1939" t="s">
        <v>1052</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92" t="s">
        <v>7</v>
      </c>
      <c r="C18" s="2493"/>
      <c r="D18" s="2494"/>
      <c r="E18" s="1945"/>
      <c r="F18" s="1945"/>
      <c r="G18" s="1942"/>
      <c r="H18" s="1946">
        <f t="shared" si="0"/>
        <v>0</v>
      </c>
      <c r="I18" s="1942"/>
      <c r="J18" s="1942"/>
      <c r="K18" s="1942"/>
      <c r="L18" s="1943">
        <f t="shared" si="1"/>
        <v>0</v>
      </c>
      <c r="M18" s="838"/>
      <c r="N18" s="1997"/>
    </row>
    <row r="19" spans="1:14" ht="13.5" thickBot="1" x14ac:dyDescent="0.25">
      <c r="A19" s="2002">
        <v>8</v>
      </c>
      <c r="B19" s="1947" t="s">
        <v>1152</v>
      </c>
      <c r="C19" s="838"/>
      <c r="D19" s="1948"/>
      <c r="E19" s="1949">
        <f t="shared" ref="E19:L19" si="2">SUM(E12:E17)-E18</f>
        <v>512829</v>
      </c>
      <c r="F19" s="1949">
        <f t="shared" si="2"/>
        <v>0</v>
      </c>
      <c r="G19" s="1949">
        <f t="shared" ref="G19" si="3">SUM(G12:G17)-G18</f>
        <v>0</v>
      </c>
      <c r="H19" s="1949">
        <f t="shared" si="2"/>
        <v>512829</v>
      </c>
      <c r="I19" s="1949">
        <f t="shared" si="2"/>
        <v>491827</v>
      </c>
      <c r="J19" s="1949">
        <f t="shared" si="2"/>
        <v>0</v>
      </c>
      <c r="K19" s="1949">
        <f t="shared" si="2"/>
        <v>0</v>
      </c>
      <c r="L19" s="1949">
        <f t="shared" si="2"/>
        <v>491827</v>
      </c>
      <c r="M19" s="838"/>
      <c r="N19" s="1997"/>
    </row>
    <row r="20" spans="1:14" ht="13.5" thickTop="1" x14ac:dyDescent="0.2">
      <c r="A20" s="2002">
        <v>9</v>
      </c>
      <c r="B20" s="2495" t="s">
        <v>2020</v>
      </c>
      <c r="C20" s="2495"/>
      <c r="D20" s="2496"/>
      <c r="E20" s="1950"/>
      <c r="F20" s="1950"/>
      <c r="G20" s="1950"/>
      <c r="H20" s="1950"/>
      <c r="I20" s="1950"/>
      <c r="J20" s="1950"/>
      <c r="K20" s="1950"/>
      <c r="L20" s="1951">
        <f>IF(AND(H19&gt;0,L19&gt;0),(((L19-H19)/H19)),"Enter Budget Data")</f>
        <v>-4.0953222224172192E-2</v>
      </c>
      <c r="M20" s="838"/>
      <c r="N20" s="1997"/>
    </row>
    <row r="21" spans="1:14" x14ac:dyDescent="0.2">
      <c r="A21" s="2004" t="s">
        <v>194</v>
      </c>
      <c r="B21" s="2005" t="s">
        <v>2045</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2021</v>
      </c>
      <c r="B24" s="2009"/>
      <c r="C24" s="2010"/>
      <c r="D24" s="2010"/>
      <c r="E24" s="2010"/>
      <c r="F24" s="2010"/>
      <c r="G24" s="2010"/>
      <c r="H24" s="2010"/>
      <c r="I24" s="2010"/>
      <c r="J24" s="2010"/>
      <c r="K24" s="2010"/>
      <c r="L24" s="838"/>
      <c r="M24" s="838"/>
      <c r="N24" s="1997"/>
    </row>
    <row r="25" spans="1:14" x14ac:dyDescent="0.2">
      <c r="A25" s="2008" t="s">
        <v>2022</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97"/>
      <c r="D27" s="2497"/>
      <c r="E27" s="843"/>
      <c r="F27" s="2498"/>
      <c r="G27" s="2498"/>
      <c r="H27" s="2498"/>
      <c r="I27" s="838"/>
      <c r="J27" s="838"/>
      <c r="K27" s="838"/>
      <c r="L27" s="838"/>
      <c r="M27" s="838"/>
      <c r="N27" s="1997"/>
    </row>
    <row r="28" spans="1:14" x14ac:dyDescent="0.2">
      <c r="A28" s="1996"/>
      <c r="B28" s="2006"/>
      <c r="C28" s="1956" t="s">
        <v>1025</v>
      </c>
      <c r="D28" s="844"/>
      <c r="E28" s="1957"/>
      <c r="F28" s="2499" t="s">
        <v>1494</v>
      </c>
      <c r="G28" s="2499"/>
      <c r="H28" s="2499"/>
      <c r="I28" s="838"/>
      <c r="J28" s="838"/>
      <c r="K28" s="838"/>
      <c r="L28" s="838"/>
      <c r="M28" s="838"/>
      <c r="N28" s="1997"/>
    </row>
    <row r="29" spans="1:14" x14ac:dyDescent="0.2">
      <c r="A29" s="1996"/>
      <c r="B29" s="2006"/>
      <c r="C29" s="2500"/>
      <c r="D29" s="2500"/>
      <c r="E29" s="845"/>
      <c r="F29" s="2500"/>
      <c r="G29" s="2500"/>
      <c r="H29" s="2500"/>
      <c r="I29" s="838"/>
      <c r="J29" s="838"/>
      <c r="K29" s="838"/>
      <c r="L29" s="838"/>
      <c r="M29" s="838"/>
      <c r="N29" s="1997"/>
    </row>
    <row r="30" spans="1:14" x14ac:dyDescent="0.2">
      <c r="A30" s="1996"/>
      <c r="B30" s="2006"/>
      <c r="C30" s="1959" t="s">
        <v>1546</v>
      </c>
      <c r="D30" s="838"/>
      <c r="E30" s="1958"/>
      <c r="F30" s="2484" t="s">
        <v>1495</v>
      </c>
      <c r="G30" s="2484"/>
      <c r="H30" s="2484"/>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61" t="s">
        <v>2023</v>
      </c>
      <c r="D34" s="2462"/>
      <c r="E34" s="2462"/>
      <c r="F34" s="2462"/>
      <c r="G34" s="2462"/>
      <c r="H34" s="2462"/>
      <c r="I34" s="2462"/>
      <c r="J34" s="2462"/>
      <c r="K34" s="2015"/>
      <c r="L34" s="838"/>
      <c r="M34" s="838"/>
      <c r="N34" s="1997"/>
    </row>
    <row r="35" spans="1:14" x14ac:dyDescent="0.2">
      <c r="A35" s="1996"/>
      <c r="B35" s="838"/>
      <c r="C35" s="2462"/>
      <c r="D35" s="2462"/>
      <c r="E35" s="2462"/>
      <c r="F35" s="2462"/>
      <c r="G35" s="2462"/>
      <c r="H35" s="2462"/>
      <c r="I35" s="2462"/>
      <c r="J35" s="2462"/>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61" t="s">
        <v>2024</v>
      </c>
      <c r="D37" s="2462"/>
      <c r="E37" s="2462"/>
      <c r="F37" s="2462"/>
      <c r="G37" s="2462"/>
      <c r="H37" s="2462"/>
      <c r="I37" s="2462"/>
      <c r="J37" s="2462"/>
      <c r="K37" s="2015"/>
      <c r="L37" s="2017"/>
      <c r="M37" s="838"/>
      <c r="N37" s="1997"/>
    </row>
    <row r="38" spans="1:14" x14ac:dyDescent="0.2">
      <c r="A38" s="1996"/>
      <c r="B38" s="838"/>
      <c r="C38" s="2462"/>
      <c r="D38" s="2462"/>
      <c r="E38" s="2462"/>
      <c r="F38" s="2462"/>
      <c r="G38" s="2462"/>
      <c r="H38" s="2462"/>
      <c r="I38" s="2462"/>
      <c r="J38" s="2462"/>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63" t="s">
        <v>2025</v>
      </c>
      <c r="D40" s="2464"/>
      <c r="E40" s="2464"/>
      <c r="F40" s="2464"/>
      <c r="G40" s="2464"/>
      <c r="H40" s="2464"/>
      <c r="I40" s="2464"/>
      <c r="J40" s="2464"/>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65" t="s">
        <v>2026</v>
      </c>
      <c r="B43" s="2466"/>
      <c r="C43" s="2466"/>
      <c r="D43" s="2466"/>
      <c r="E43" s="2466"/>
      <c r="F43" s="2466"/>
      <c r="G43" s="2466"/>
      <c r="H43" s="2466"/>
      <c r="I43" s="2466"/>
      <c r="J43" s="2466"/>
      <c r="K43" s="2466"/>
      <c r="L43" s="2466"/>
      <c r="M43" s="2466"/>
      <c r="N43" s="2467"/>
    </row>
    <row r="44" spans="1:14" x14ac:dyDescent="0.2">
      <c r="A44" s="1981"/>
      <c r="B44" s="1982"/>
      <c r="C44" s="1982"/>
      <c r="D44" s="1982"/>
      <c r="E44" s="1982"/>
      <c r="F44" s="1982"/>
      <c r="G44" s="1982"/>
      <c r="H44" s="1982"/>
      <c r="I44" s="1982"/>
      <c r="J44" s="1982"/>
      <c r="K44" s="1982"/>
      <c r="L44" s="1982"/>
      <c r="M44" s="1982"/>
      <c r="N44" s="1983"/>
    </row>
    <row r="45" spans="1:14" x14ac:dyDescent="0.2">
      <c r="A45" s="1981" t="s">
        <v>2027</v>
      </c>
      <c r="B45" s="1982"/>
      <c r="C45" s="1982"/>
      <c r="D45" s="1982"/>
      <c r="E45" s="1982"/>
      <c r="F45" s="1982"/>
      <c r="G45" s="1982"/>
      <c r="H45" s="1982"/>
      <c r="I45" s="1982"/>
      <c r="J45" s="1982"/>
      <c r="K45" s="1982"/>
      <c r="L45" s="1982"/>
      <c r="M45" s="1982"/>
      <c r="N45" s="1983"/>
    </row>
    <row r="46" spans="1:14" x14ac:dyDescent="0.2">
      <c r="A46" s="2468" t="s">
        <v>2028</v>
      </c>
      <c r="B46" s="2469"/>
      <c r="C46" s="2469"/>
      <c r="D46" s="2469"/>
      <c r="E46" s="2469"/>
      <c r="F46" s="2469"/>
      <c r="G46" s="2469"/>
      <c r="H46" s="2469"/>
      <c r="I46" s="2469"/>
      <c r="J46" s="2469"/>
      <c r="K46" s="2469"/>
      <c r="L46" s="2469"/>
      <c r="M46" s="2469"/>
      <c r="N46" s="2470"/>
    </row>
    <row r="47" spans="1:14" x14ac:dyDescent="0.2">
      <c r="A47" s="2468"/>
      <c r="B47" s="2469"/>
      <c r="C47" s="2469"/>
      <c r="D47" s="2469"/>
      <c r="E47" s="2469"/>
      <c r="F47" s="2469"/>
      <c r="G47" s="2469"/>
      <c r="H47" s="2469"/>
      <c r="I47" s="2469"/>
      <c r="J47" s="2469"/>
      <c r="K47" s="2469"/>
      <c r="L47" s="2469"/>
      <c r="M47" s="2469"/>
      <c r="N47" s="2470"/>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2044</v>
      </c>
      <c r="B49" s="2023"/>
      <c r="C49" s="2023"/>
      <c r="D49" s="2024"/>
      <c r="E49" s="2024"/>
      <c r="F49" s="2024"/>
      <c r="G49" s="2024"/>
      <c r="H49" s="2024"/>
      <c r="I49" s="2024"/>
      <c r="J49" s="2024"/>
      <c r="K49" s="2024"/>
      <c r="L49" s="2024"/>
      <c r="M49" s="2024"/>
      <c r="N49" s="2025"/>
    </row>
    <row r="50" spans="1:14" ht="15" x14ac:dyDescent="0.25">
      <c r="A50" s="2027" t="s">
        <v>2043</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71" t="str">
        <f>J6</f>
        <v xml:space="preserve"> Maercker SD 60</v>
      </c>
      <c r="M52" s="2471"/>
      <c r="N52" s="2472"/>
    </row>
    <row r="53" spans="1:14" x14ac:dyDescent="0.2">
      <c r="A53" s="1981"/>
      <c r="B53" s="1982"/>
      <c r="C53" s="1982"/>
      <c r="D53" s="1982"/>
      <c r="E53" s="1982"/>
      <c r="F53" s="1982"/>
      <c r="G53" s="1982"/>
      <c r="H53" s="1982"/>
      <c r="I53" s="1982"/>
      <c r="J53" s="1982"/>
      <c r="K53" s="1923" t="s">
        <v>368</v>
      </c>
      <c r="L53" s="2473">
        <f>J7</f>
        <v>19022060002</v>
      </c>
      <c r="M53" s="2473"/>
      <c r="N53" s="2474"/>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75"/>
      <c r="B55" s="2476"/>
      <c r="C55" s="2476"/>
      <c r="D55" s="1969"/>
      <c r="E55" s="1969"/>
      <c r="F55" s="1969"/>
      <c r="G55" s="2477" t="s">
        <v>2029</v>
      </c>
      <c r="H55" s="2477"/>
      <c r="I55" s="2477"/>
      <c r="J55" s="2477"/>
      <c r="K55" s="2477"/>
      <c r="L55" s="2477"/>
      <c r="M55" s="2477"/>
      <c r="N55" s="2478"/>
    </row>
    <row r="56" spans="1:14" ht="63.75" x14ac:dyDescent="0.2">
      <c r="A56" s="2479" t="s">
        <v>2030</v>
      </c>
      <c r="B56" s="2480"/>
      <c r="C56" s="2481"/>
      <c r="D56" s="1963" t="s">
        <v>2031</v>
      </c>
      <c r="E56" s="1963" t="s">
        <v>2032</v>
      </c>
      <c r="F56" s="1970"/>
      <c r="G56" s="1963" t="s">
        <v>2033</v>
      </c>
      <c r="H56" s="1963" t="s">
        <v>2034</v>
      </c>
      <c r="I56" s="1963" t="s">
        <v>2035</v>
      </c>
      <c r="J56" s="1963" t="s">
        <v>2036</v>
      </c>
      <c r="K56" s="1963" t="s">
        <v>2037</v>
      </c>
      <c r="L56" s="1963" t="s">
        <v>2038</v>
      </c>
      <c r="M56" s="1963" t="s">
        <v>2039</v>
      </c>
      <c r="N56" s="1964" t="s">
        <v>2046</v>
      </c>
    </row>
    <row r="57" spans="1:14" ht="24.75" customHeight="1" x14ac:dyDescent="0.2">
      <c r="A57" s="2482" t="s">
        <v>295</v>
      </c>
      <c r="B57" s="2483"/>
      <c r="C57" s="2483"/>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59" t="s">
        <v>2040</v>
      </c>
      <c r="B58" s="2460"/>
      <c r="C58" s="2460"/>
      <c r="D58" s="1966">
        <v>2362</v>
      </c>
      <c r="E58" s="1976">
        <f>'Expenditures 15-22'!K320</f>
        <v>0</v>
      </c>
      <c r="F58" s="1971"/>
      <c r="G58" s="2030"/>
      <c r="H58" s="2031"/>
      <c r="I58" s="2031"/>
      <c r="J58" s="2031"/>
      <c r="K58" s="2031"/>
      <c r="L58" s="2031"/>
      <c r="M58" s="2031"/>
      <c r="N58" s="1974">
        <f>IF((SUM(G58:M58))=E58,SUM(G58:M58),"Column N does not agree with Column E")</f>
        <v>0</v>
      </c>
    </row>
    <row r="59" spans="1:14" ht="24.75" customHeight="1" x14ac:dyDescent="0.2">
      <c r="A59" s="2453" t="s">
        <v>296</v>
      </c>
      <c r="B59" s="2454"/>
      <c r="C59" s="2454"/>
      <c r="D59" s="1966">
        <v>2363</v>
      </c>
      <c r="E59" s="1976">
        <f>'Expenditures 15-22'!K321</f>
        <v>0</v>
      </c>
      <c r="F59" s="1971"/>
      <c r="G59" s="2030"/>
      <c r="H59" s="2031"/>
      <c r="I59" s="2031"/>
      <c r="J59" s="2031"/>
      <c r="K59" s="2031"/>
      <c r="L59" s="2031"/>
      <c r="M59" s="2031"/>
      <c r="N59" s="1974">
        <f>IF((SUM(G59:M59))=E59,SUM(G59:M59),"Column N does not agree with Column E")</f>
        <v>0</v>
      </c>
    </row>
    <row r="60" spans="1:14" ht="24" customHeight="1" x14ac:dyDescent="0.2">
      <c r="A60" s="2453" t="s">
        <v>236</v>
      </c>
      <c r="B60" s="2454"/>
      <c r="C60" s="2454"/>
      <c r="D60" s="1966">
        <v>2364</v>
      </c>
      <c r="E60" s="1976">
        <f>'Expenditures 15-22'!K322</f>
        <v>0</v>
      </c>
      <c r="F60" s="1971"/>
      <c r="G60" s="2030"/>
      <c r="H60" s="2031"/>
      <c r="I60" s="2031"/>
      <c r="J60" s="2031"/>
      <c r="K60" s="2031"/>
      <c r="L60" s="2031"/>
      <c r="M60" s="2031"/>
      <c r="N60" s="1974">
        <f t="shared" ref="N60:N67" si="4">IF((SUM(G60:M60))=E60,SUM(G60:M60),"Column N does not agree with Column E")</f>
        <v>0</v>
      </c>
    </row>
    <row r="61" spans="1:14" ht="24.75" customHeight="1" x14ac:dyDescent="0.2">
      <c r="A61" s="2453" t="s">
        <v>696</v>
      </c>
      <c r="B61" s="2454"/>
      <c r="C61" s="2454"/>
      <c r="D61" s="1966">
        <v>2365</v>
      </c>
      <c r="E61" s="1976">
        <f>'Expenditures 15-22'!K323</f>
        <v>0</v>
      </c>
      <c r="F61" s="1971"/>
      <c r="G61" s="2030"/>
      <c r="H61" s="2031"/>
      <c r="I61" s="2031"/>
      <c r="J61" s="2031"/>
      <c r="K61" s="2031"/>
      <c r="L61" s="2031"/>
      <c r="M61" s="2031"/>
      <c r="N61" s="1974">
        <f t="shared" si="4"/>
        <v>0</v>
      </c>
    </row>
    <row r="62" spans="1:14" ht="24" customHeight="1" x14ac:dyDescent="0.2">
      <c r="A62" s="2453" t="s">
        <v>237</v>
      </c>
      <c r="B62" s="2454"/>
      <c r="C62" s="2454"/>
      <c r="D62" s="1966">
        <v>2366</v>
      </c>
      <c r="E62" s="1976">
        <f>'Expenditures 15-22'!K324</f>
        <v>0</v>
      </c>
      <c r="F62" s="1971"/>
      <c r="G62" s="2030"/>
      <c r="H62" s="2031"/>
      <c r="I62" s="2031"/>
      <c r="J62" s="2031"/>
      <c r="K62" s="2031"/>
      <c r="L62" s="2031"/>
      <c r="M62" s="2031"/>
      <c r="N62" s="1974">
        <f t="shared" si="4"/>
        <v>0</v>
      </c>
    </row>
    <row r="63" spans="1:14" ht="24" customHeight="1" x14ac:dyDescent="0.2">
      <c r="A63" s="2459" t="s">
        <v>1021</v>
      </c>
      <c r="B63" s="2460"/>
      <c r="C63" s="2460"/>
      <c r="D63" s="1966">
        <v>2367</v>
      </c>
      <c r="E63" s="1976">
        <f>'Expenditures 15-22'!K325</f>
        <v>0</v>
      </c>
      <c r="F63" s="1971"/>
      <c r="G63" s="2030"/>
      <c r="H63" s="2031"/>
      <c r="I63" s="2031"/>
      <c r="J63" s="2031"/>
      <c r="K63" s="2031"/>
      <c r="L63" s="2031"/>
      <c r="M63" s="2031"/>
      <c r="N63" s="1974">
        <f t="shared" si="4"/>
        <v>0</v>
      </c>
    </row>
    <row r="64" spans="1:14" ht="24" customHeight="1" x14ac:dyDescent="0.2">
      <c r="A64" s="2453" t="s">
        <v>1022</v>
      </c>
      <c r="B64" s="2454"/>
      <c r="C64" s="2454"/>
      <c r="D64" s="1966">
        <v>2368</v>
      </c>
      <c r="E64" s="1976">
        <f>'Expenditures 15-22'!K326</f>
        <v>0</v>
      </c>
      <c r="F64" s="1971"/>
      <c r="G64" s="2030"/>
      <c r="H64" s="2031"/>
      <c r="I64" s="2031"/>
      <c r="J64" s="2031"/>
      <c r="K64" s="2031"/>
      <c r="L64" s="2031"/>
      <c r="M64" s="2031"/>
      <c r="N64" s="1974">
        <f t="shared" si="4"/>
        <v>0</v>
      </c>
    </row>
    <row r="65" spans="1:14" ht="24" customHeight="1" x14ac:dyDescent="0.2">
      <c r="A65" s="2453" t="s">
        <v>964</v>
      </c>
      <c r="B65" s="2454"/>
      <c r="C65" s="2454"/>
      <c r="D65" s="1966">
        <v>2369</v>
      </c>
      <c r="E65" s="1976">
        <f>'Expenditures 15-22'!K327</f>
        <v>0</v>
      </c>
      <c r="F65" s="1971"/>
      <c r="G65" s="2030"/>
      <c r="H65" s="2031"/>
      <c r="I65" s="2031"/>
      <c r="J65" s="2031"/>
      <c r="K65" s="2031"/>
      <c r="L65" s="2031"/>
      <c r="M65" s="2031"/>
      <c r="N65" s="1974">
        <f t="shared" si="4"/>
        <v>0</v>
      </c>
    </row>
    <row r="66" spans="1:14" ht="24" customHeight="1" x14ac:dyDescent="0.2">
      <c r="A66" s="2453" t="s">
        <v>468</v>
      </c>
      <c r="B66" s="2454"/>
      <c r="C66" s="2454"/>
      <c r="D66" s="1966">
        <v>2371</v>
      </c>
      <c r="E66" s="1976">
        <f>'Expenditures 15-22'!K328</f>
        <v>0</v>
      </c>
      <c r="F66" s="1971"/>
      <c r="G66" s="2030"/>
      <c r="H66" s="2031"/>
      <c r="I66" s="2031"/>
      <c r="J66" s="2031"/>
      <c r="K66" s="2031"/>
      <c r="L66" s="2031"/>
      <c r="M66" s="2031"/>
      <c r="N66" s="1974">
        <f t="shared" si="4"/>
        <v>0</v>
      </c>
    </row>
    <row r="67" spans="1:14" ht="24.75" customHeight="1" x14ac:dyDescent="0.2">
      <c r="A67" s="2455" t="s">
        <v>2041</v>
      </c>
      <c r="B67" s="2456"/>
      <c r="C67" s="2456"/>
      <c r="D67" s="1968">
        <v>2372</v>
      </c>
      <c r="E67" s="1977">
        <f>'Expenditures 15-22'!K329</f>
        <v>0</v>
      </c>
      <c r="F67" s="1971"/>
      <c r="G67" s="2032"/>
      <c r="H67" s="2033"/>
      <c r="I67" s="2033"/>
      <c r="J67" s="2033"/>
      <c r="K67" s="2033"/>
      <c r="L67" s="2033"/>
      <c r="M67" s="2033"/>
      <c r="N67" s="1974">
        <f t="shared" si="4"/>
        <v>0</v>
      </c>
    </row>
    <row r="68" spans="1:14" x14ac:dyDescent="0.2">
      <c r="A68" s="2457" t="s">
        <v>1152</v>
      </c>
      <c r="B68" s="2458"/>
      <c r="C68" s="2458"/>
      <c r="D68" s="1969"/>
      <c r="E68" s="1973">
        <f>SUM(E57:E67)</f>
        <v>0</v>
      </c>
      <c r="F68" s="1972"/>
      <c r="G68" s="1973">
        <f t="shared" ref="G68:N68" si="5">SUM(G57:G67)</f>
        <v>0</v>
      </c>
      <c r="H68" s="1973">
        <f t="shared" si="5"/>
        <v>0</v>
      </c>
      <c r="I68" s="1973">
        <f t="shared" si="5"/>
        <v>0</v>
      </c>
      <c r="J68" s="1973">
        <f t="shared" si="5"/>
        <v>0</v>
      </c>
      <c r="K68" s="1973">
        <f t="shared" si="5"/>
        <v>0</v>
      </c>
      <c r="L68" s="1973">
        <f t="shared" si="5"/>
        <v>0</v>
      </c>
      <c r="M68" s="1973">
        <f t="shared" si="5"/>
        <v>0</v>
      </c>
      <c r="N68" s="1987">
        <f t="shared" si="5"/>
        <v>0</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2042</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7" sqref="B7"/>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2204</v>
      </c>
    </row>
    <row r="6" spans="1:2" x14ac:dyDescent="0.2">
      <c r="A6" s="847">
        <v>2</v>
      </c>
    </row>
    <row r="7" spans="1:2" x14ac:dyDescent="0.2">
      <c r="A7" s="847">
        <v>3</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Maercker SD 60</v>
      </c>
    </row>
    <row r="65" spans="2:2" x14ac:dyDescent="0.2">
      <c r="B65" s="849">
        <f>COVER!A13</f>
        <v>19022060002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470" t="s">
        <v>1596</v>
      </c>
    </row>
    <row r="23" spans="1:5" x14ac:dyDescent="0.2">
      <c r="A23" s="163"/>
      <c r="B23" s="157" t="s">
        <v>1827</v>
      </c>
      <c r="D23" s="162" t="s">
        <v>631</v>
      </c>
      <c r="E23" s="1470"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87" t="s">
        <v>1057</v>
      </c>
      <c r="B35" s="2187"/>
      <c r="C35" s="2187"/>
      <c r="D35" s="2187"/>
      <c r="E35" s="218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84" t="s">
        <v>685</v>
      </c>
      <c r="B40" s="2184"/>
      <c r="C40" s="2184"/>
      <c r="D40" s="2184"/>
      <c r="E40" s="2184"/>
    </row>
    <row r="41" spans="1:5" x14ac:dyDescent="0.2">
      <c r="A41" s="2185" t="s">
        <v>1593</v>
      </c>
      <c r="B41" s="2185"/>
      <c r="C41" s="2185"/>
      <c r="D41" s="2185"/>
      <c r="E41" s="2185"/>
    </row>
    <row r="42" spans="1:5" ht="12.75" customHeight="1" x14ac:dyDescent="0.2">
      <c r="A42" s="2186" t="s">
        <v>1014</v>
      </c>
      <c r="B42" s="2186"/>
      <c r="C42" s="2186"/>
      <c r="D42" s="2186"/>
      <c r="E42" s="2186"/>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256" t="s">
        <v>1752</v>
      </c>
    </row>
    <row r="60" spans="1:3" x14ac:dyDescent="0.2">
      <c r="A60" s="191"/>
      <c r="B60" s="1256"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258"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257"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5" sqref="C3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1972</v>
      </c>
    </row>
    <row r="17" spans="1:2" ht="6" customHeight="1" x14ac:dyDescent="0.2"/>
    <row r="18" spans="1:2" ht="24.75" customHeight="1" x14ac:dyDescent="0.2">
      <c r="A18" s="2501" t="s">
        <v>1667</v>
      </c>
      <c r="B18" s="250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23" sqref="D23"/>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02" t="s">
        <v>1671</v>
      </c>
      <c r="B1" s="2503"/>
      <c r="C1" s="2503"/>
      <c r="D1" s="2503"/>
      <c r="E1" s="2503"/>
      <c r="F1" s="2504"/>
    </row>
    <row r="2" spans="1:8" ht="45" customHeight="1" x14ac:dyDescent="0.2">
      <c r="A2" s="251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13"/>
      <c r="C2" s="2513"/>
      <c r="D2" s="2513"/>
      <c r="E2" s="2513"/>
      <c r="F2" s="2514"/>
      <c r="G2" s="853"/>
      <c r="H2" s="853"/>
    </row>
    <row r="3" spans="1:8" ht="57" customHeight="1" x14ac:dyDescent="0.2">
      <c r="A3" s="2515" t="s">
        <v>1971</v>
      </c>
      <c r="B3" s="2516"/>
      <c r="C3" s="2516"/>
      <c r="D3" s="2516"/>
      <c r="E3" s="2516"/>
      <c r="F3" s="2517"/>
      <c r="G3" s="853"/>
      <c r="H3" s="853"/>
    </row>
    <row r="4" spans="1:8" ht="14.25" customHeight="1" x14ac:dyDescent="0.2">
      <c r="A4" s="252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22"/>
      <c r="C4" s="2522"/>
      <c r="D4" s="2522"/>
      <c r="E4" s="2522"/>
      <c r="F4" s="2523"/>
      <c r="G4" s="853"/>
      <c r="H4" s="853"/>
    </row>
    <row r="5" spans="1:8" ht="14.25" customHeight="1" x14ac:dyDescent="0.2">
      <c r="A5" s="252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25"/>
      <c r="C5" s="2525"/>
      <c r="D5" s="2525"/>
      <c r="E5" s="2525"/>
      <c r="F5" s="2526"/>
      <c r="G5" s="853"/>
      <c r="H5" s="853"/>
    </row>
    <row r="6" spans="1:8" s="854" customFormat="1" ht="41.25" customHeight="1" x14ac:dyDescent="0.2">
      <c r="A6" s="2518" t="s">
        <v>1672</v>
      </c>
      <c r="B6" s="2519"/>
      <c r="C6" s="2519"/>
      <c r="D6" s="2519"/>
      <c r="E6" s="2519"/>
      <c r="F6" s="2520"/>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18122546</v>
      </c>
      <c r="C8" s="1812">
        <f>'Acct Summary 7-8'!D8</f>
        <v>1743726</v>
      </c>
      <c r="D8" s="1812">
        <f>'Acct Summary 7-8'!F8</f>
        <v>859064</v>
      </c>
      <c r="E8" s="1812">
        <f>'Acct Summary 7-8'!I8</f>
        <v>110135</v>
      </c>
      <c r="F8" s="1812">
        <f>SUM(B8:E8)</f>
        <v>20835471</v>
      </c>
    </row>
    <row r="9" spans="1:8" s="858" customFormat="1" ht="14.25" customHeight="1" thickBot="1" x14ac:dyDescent="0.25">
      <c r="A9" s="857" t="s">
        <v>1354</v>
      </c>
      <c r="B9" s="1813">
        <f>'Acct Summary 7-8'!C17</f>
        <v>19883628</v>
      </c>
      <c r="C9" s="1813">
        <f>'Acct Summary 7-8'!D17</f>
        <v>1695568</v>
      </c>
      <c r="D9" s="1813">
        <f>'Acct Summary 7-8'!F17</f>
        <v>766425</v>
      </c>
      <c r="E9" s="1812"/>
      <c r="F9" s="1812">
        <f>SUM(B9:E9)</f>
        <v>22345621</v>
      </c>
    </row>
    <row r="10" spans="1:8" s="858" customFormat="1" ht="14.25" thickTop="1" thickBot="1" x14ac:dyDescent="0.25">
      <c r="A10" s="859" t="s">
        <v>1355</v>
      </c>
      <c r="B10" s="1814">
        <f>(B8-B9)</f>
        <v>-1761082</v>
      </c>
      <c r="C10" s="1814">
        <f>(C8-C9)</f>
        <v>48158</v>
      </c>
      <c r="D10" s="1814">
        <f>(D8-D9)</f>
        <v>92639</v>
      </c>
      <c r="E10" s="1813">
        <f>(E8-E9)</f>
        <v>110135</v>
      </c>
      <c r="F10" s="1815">
        <f>SUM(F8-F9)</f>
        <v>-1510150</v>
      </c>
    </row>
    <row r="11" spans="1:8" s="858" customFormat="1" ht="14.25" thickTop="1" thickBot="1" x14ac:dyDescent="0.25">
      <c r="A11" s="860" t="s">
        <v>1902</v>
      </c>
      <c r="B11" s="1816">
        <f>'Acct Summary 7-8'!C81</f>
        <v>7166512</v>
      </c>
      <c r="C11" s="1816">
        <f>'Acct Summary 7-8'!D81</f>
        <v>449975</v>
      </c>
      <c r="D11" s="1816">
        <f>'Acct Summary 7-8'!F81</f>
        <v>433129</v>
      </c>
      <c r="E11" s="1816">
        <f>'Acct Summary 7-8'!I81</f>
        <v>2247049</v>
      </c>
      <c r="F11" s="1817">
        <f>SUM(B11:E11)</f>
        <v>10296665</v>
      </c>
    </row>
    <row r="12" spans="1:8" ht="16.5" customHeight="1" thickTop="1" x14ac:dyDescent="0.2">
      <c r="A12" s="861"/>
      <c r="B12" s="862"/>
      <c r="C12" s="2506" t="str">
        <f>IF(AND(F10&lt;0,F11&gt;=0,ABS(F10*3)&gt;ABS(F11)),A16,IF(AND(F10&lt;0,F11&gt;0,ABS(F10*3)&lt;=ABS(F11)),A17,IF(AND(F10&lt;0,F11&lt;0),A16,IF(F11=0,A19,A18))))</f>
        <v>Unbalanced -  however, a deficit reduction plan is not required at this time.</v>
      </c>
      <c r="D12" s="2507"/>
      <c r="E12" s="2507"/>
      <c r="F12" s="2508"/>
    </row>
    <row r="13" spans="1:8" ht="19.5" customHeight="1" x14ac:dyDescent="0.2">
      <c r="A13" s="863"/>
      <c r="B13" s="864"/>
      <c r="C13" s="2506"/>
      <c r="D13" s="2507"/>
      <c r="E13" s="2507"/>
      <c r="F13" s="2508"/>
      <c r="H13" s="853"/>
    </row>
    <row r="14" spans="1:8" ht="19.5" customHeight="1" x14ac:dyDescent="0.2">
      <c r="A14" s="863"/>
      <c r="B14" s="864"/>
      <c r="C14" s="2506"/>
      <c r="D14" s="2507"/>
      <c r="E14" s="2507"/>
      <c r="F14" s="2508"/>
      <c r="H14" s="853"/>
    </row>
    <row r="15" spans="1:8" ht="17.25" customHeight="1" x14ac:dyDescent="0.2">
      <c r="A15" s="863"/>
      <c r="B15" s="864"/>
      <c r="C15" s="2509"/>
      <c r="D15" s="2510"/>
      <c r="E15" s="2510"/>
      <c r="F15" s="2511"/>
      <c r="H15" s="853"/>
    </row>
    <row r="16" spans="1:8" s="288" customFormat="1" ht="51.75" hidden="1" customHeight="1" x14ac:dyDescent="0.2">
      <c r="A16" s="2505" t="s">
        <v>1668</v>
      </c>
      <c r="B16" s="2505"/>
      <c r="C16" s="2505"/>
      <c r="D16" s="2505"/>
      <c r="E16" s="2505"/>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7" colorId="8" zoomScale="110" zoomScaleNormal="110" workbookViewId="0">
      <selection activeCell="D68" sqref="D68"/>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27" t="s">
        <v>659</v>
      </c>
      <c r="B3" s="2528"/>
      <c r="C3" s="2528"/>
      <c r="D3" s="2529"/>
    </row>
    <row r="4" spans="1:4" x14ac:dyDescent="0.2">
      <c r="A4" s="931" t="s">
        <v>1673</v>
      </c>
      <c r="B4" s="932"/>
      <c r="C4" s="933"/>
      <c r="D4" s="934"/>
    </row>
    <row r="5" spans="1:4" ht="21" customHeight="1" x14ac:dyDescent="0.2">
      <c r="A5" s="927"/>
      <c r="B5" s="928">
        <v>1</v>
      </c>
      <c r="C5" s="929" t="s">
        <v>1973</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38" t="s">
        <v>1489</v>
      </c>
      <c r="D7" s="2539"/>
    </row>
    <row r="8" spans="1:4" s="542" customFormat="1" ht="12.75" x14ac:dyDescent="0.2">
      <c r="A8" s="917"/>
      <c r="B8" s="872"/>
      <c r="C8" s="875" t="s">
        <v>1488</v>
      </c>
      <c r="D8" s="876"/>
    </row>
    <row r="9" spans="1:4" s="542" customFormat="1" ht="14.25" customHeight="1" x14ac:dyDescent="0.2">
      <c r="A9" s="917"/>
      <c r="B9" s="872">
        <f>B7+1</f>
        <v>4</v>
      </c>
      <c r="C9" s="873" t="s">
        <v>1878</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530" t="s">
        <v>1000</v>
      </c>
      <c r="B15" s="2531"/>
      <c r="C15" s="2531"/>
      <c r="D15" s="2532"/>
    </row>
    <row r="16" spans="1:4" s="542" customFormat="1" ht="24" customHeight="1" x14ac:dyDescent="0.2">
      <c r="A16" s="2533" t="s">
        <v>657</v>
      </c>
      <c r="B16" s="2534"/>
      <c r="C16" s="2534"/>
      <c r="D16" s="2535"/>
    </row>
    <row r="17" spans="1:10" s="542" customFormat="1" ht="12.75" customHeight="1" x14ac:dyDescent="0.2">
      <c r="A17" s="935" t="s">
        <v>1674</v>
      </c>
      <c r="B17" s="936"/>
      <c r="C17" s="937"/>
      <c r="D17" s="938"/>
    </row>
    <row r="18" spans="1:10" s="542" customFormat="1" ht="12.75" customHeight="1" x14ac:dyDescent="0.2">
      <c r="A18" s="939" t="s">
        <v>1974</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42" t="s">
        <v>310</v>
      </c>
      <c r="D21" s="2543"/>
    </row>
    <row r="22" spans="1:10" ht="12.75" x14ac:dyDescent="0.2">
      <c r="A22" s="918"/>
      <c r="B22" s="919">
        <v>2</v>
      </c>
      <c r="C22" s="2540" t="s">
        <v>1509</v>
      </c>
      <c r="D22" s="2541"/>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44" t="s">
        <v>532</v>
      </c>
      <c r="D43" s="2545"/>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36" t="s">
        <v>778</v>
      </c>
      <c r="D56" s="2537"/>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1879</v>
      </c>
      <c r="D66" s="904"/>
    </row>
    <row r="67" spans="1:4" x14ac:dyDescent="0.2">
      <c r="A67" s="898"/>
      <c r="B67" s="919"/>
      <c r="C67" s="926" t="s">
        <v>1013</v>
      </c>
      <c r="D67" s="904"/>
    </row>
    <row r="68" spans="1:4" x14ac:dyDescent="0.2">
      <c r="A68" s="879"/>
      <c r="B68" s="889"/>
      <c r="C68" s="881" t="s">
        <v>1880</v>
      </c>
      <c r="D68" s="903" t="str">
        <f>IF('Short-Term Long-Term Debt 24'!F49=SUM(,'Acct Summary 7-8'!C33:K33),"OK","ERROR!")</f>
        <v>ERROR!</v>
      </c>
    </row>
    <row r="69" spans="1:4" x14ac:dyDescent="0.2">
      <c r="A69" s="879"/>
      <c r="B69" s="889"/>
      <c r="C69" s="881" t="s">
        <v>1881</v>
      </c>
      <c r="D69" s="903" t="str">
        <f>IF('Expenditures 15-22'!H170&lt;&gt;'Short-Term Long-Term Debt 24'!H49,"ERROR!","OK")</f>
        <v>ERROR!</v>
      </c>
    </row>
    <row r="70" spans="1:4" x14ac:dyDescent="0.2">
      <c r="A70" s="877"/>
      <c r="B70" s="899">
        <f>B66+1</f>
        <v>9</v>
      </c>
      <c r="C70" s="2536" t="s">
        <v>1676</v>
      </c>
      <c r="D70" s="2537"/>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1882</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1987</v>
      </c>
      <c r="D78" s="903" t="str">
        <f>IF(ISNUMBER('Acct Summary 7-8'!C9),"OK","ENTRY IS REQUIRED!")</f>
        <v>OK</v>
      </c>
    </row>
    <row r="79" spans="1:4" x14ac:dyDescent="0.2">
      <c r="A79" s="898"/>
      <c r="B79" s="899">
        <f>B74+1+1</f>
        <v>12</v>
      </c>
      <c r="C79" s="909" t="s">
        <v>1870</v>
      </c>
      <c r="D79" s="910" t="str">
        <f>IF(OR(COVER!$B$6="X",'PCTC-OEPP 27-28'!F79&gt;0),"OK","PLEASE ENTER 9 MO ADA.")</f>
        <v>OK</v>
      </c>
    </row>
    <row r="80" spans="1:4" x14ac:dyDescent="0.2">
      <c r="A80" s="877"/>
      <c r="B80" s="899">
        <v>13</v>
      </c>
      <c r="C80" s="909" t="s">
        <v>1975</v>
      </c>
      <c r="D80" s="910" t="str">
        <f>IF(OR(COVER!$B$6="X",ISNUMBER('PCTC-OEPP 27-28'!F172)),"OK","PLEASE ENTER AMOUNT or 0.")</f>
        <v>OK</v>
      </c>
    </row>
    <row r="81" spans="1:4" x14ac:dyDescent="0.2">
      <c r="A81" s="877"/>
      <c r="B81" s="899">
        <v>14</v>
      </c>
      <c r="C81" s="909" t="s">
        <v>1976</v>
      </c>
      <c r="D81" s="910" t="str">
        <f>IF(OR(COVER!$B$6="X",ISNUMBER('PCTC-OEPP 27-28'!F173)),"OK","PLEASE ENTER AMOUNT or 0.")</f>
        <v>OK</v>
      </c>
    </row>
    <row r="82" spans="1:4" x14ac:dyDescent="0.2">
      <c r="A82" s="877"/>
      <c r="B82" s="899">
        <v>15</v>
      </c>
      <c r="C82" s="909" t="s">
        <v>1883</v>
      </c>
      <c r="D82" s="1900"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1966</v>
      </c>
      <c r="F1" s="1543" t="s">
        <v>1967</v>
      </c>
      <c r="G1" s="1899" t="s">
        <v>1977</v>
      </c>
    </row>
    <row r="2" spans="1:7" ht="15.75" x14ac:dyDescent="0.25">
      <c r="A2" t="s">
        <v>260</v>
      </c>
      <c r="B2" s="135">
        <f>COVER!A13</f>
        <v>19022060002</v>
      </c>
      <c r="E2" s="1542">
        <v>2020</v>
      </c>
      <c r="F2" s="1542">
        <v>1</v>
      </c>
      <c r="G2" s="1898">
        <v>101000300</v>
      </c>
    </row>
    <row r="3" spans="1:7" ht="15" x14ac:dyDescent="0.25">
      <c r="A3" t="s">
        <v>949</v>
      </c>
      <c r="B3" s="135" t="str">
        <f>COVER!A15</f>
        <v>DuPage</v>
      </c>
      <c r="E3" s="1829" t="s">
        <v>1970</v>
      </c>
      <c r="F3" s="1829" t="s">
        <v>1969</v>
      </c>
      <c r="G3" s="1898">
        <v>101000400</v>
      </c>
    </row>
    <row r="4" spans="1:7" ht="15" x14ac:dyDescent="0.25">
      <c r="A4" t="s">
        <v>999</v>
      </c>
      <c r="B4" s="135" t="str">
        <f>COVER!A17</f>
        <v xml:space="preserve"> Maercker SD 60</v>
      </c>
      <c r="E4" s="1827">
        <v>44119</v>
      </c>
      <c r="F4" s="1828">
        <v>44151</v>
      </c>
      <c r="G4" s="1898">
        <v>101000600</v>
      </c>
    </row>
    <row r="5" spans="1:7" ht="15" x14ac:dyDescent="0.25">
      <c r="A5" t="s">
        <v>698</v>
      </c>
      <c r="B5" s="135">
        <f>COVER!A38</f>
        <v>0</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 xml:space="preserve">ACCRUAL </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Yes</v>
      </c>
      <c r="G12" s="1898">
        <v>202100600</v>
      </c>
    </row>
    <row r="13" spans="1:7" ht="15" x14ac:dyDescent="0.25">
      <c r="A13" s="1" t="s">
        <v>1529</v>
      </c>
      <c r="B13" s="135" t="str">
        <f>IF(COVER!J30="x","Yes",IF(COVER!L30="x","No",0))</f>
        <v>Yes</v>
      </c>
      <c r="G13" s="1898">
        <v>202100800</v>
      </c>
    </row>
    <row r="14" spans="1:7" ht="15" x14ac:dyDescent="0.25">
      <c r="A14" t="s">
        <v>472</v>
      </c>
      <c r="B14" s="135" t="str">
        <f>IF(COVER!J31="x","Yes",IF(COVER!L31="x","No",0))</f>
        <v>No</v>
      </c>
      <c r="G14" s="1898">
        <v>402100300</v>
      </c>
    </row>
    <row r="15" spans="1:7" ht="15" x14ac:dyDescent="0.25">
      <c r="A15" t="s">
        <v>572</v>
      </c>
      <c r="B15" s="135" t="str">
        <f>COVER!T23</f>
        <v>066-004023</v>
      </c>
      <c r="G15" s="1898">
        <v>402100400</v>
      </c>
    </row>
    <row r="16" spans="1:7" ht="15" x14ac:dyDescent="0.25">
      <c r="A16" t="s">
        <v>418</v>
      </c>
      <c r="B16" s="135" t="str">
        <f>COVER!T13</f>
        <v>Wipfli LLP</v>
      </c>
      <c r="G16" s="1898">
        <v>402100600</v>
      </c>
    </row>
    <row r="17" spans="1:7" ht="15" x14ac:dyDescent="0.25">
      <c r="A17" t="s">
        <v>877</v>
      </c>
      <c r="B17" s="135" t="str">
        <f>COVER!T15</f>
        <v>Scott Duenser</v>
      </c>
      <c r="G17" s="1898">
        <v>402100800</v>
      </c>
    </row>
    <row r="18" spans="1:7" ht="15" x14ac:dyDescent="0.25">
      <c r="A18" t="s">
        <v>1141</v>
      </c>
      <c r="B18" s="135" t="str">
        <f>COVER!T17</f>
        <v>3957 75th Street</v>
      </c>
      <c r="G18" s="1898">
        <v>102200300</v>
      </c>
    </row>
    <row r="19" spans="1:7" ht="15" x14ac:dyDescent="0.25">
      <c r="A19" t="s">
        <v>879</v>
      </c>
      <c r="B19" s="135" t="str">
        <f>COVER!T25</f>
        <v>scott.duenser@wipfli.com</v>
      </c>
      <c r="G19" s="1898">
        <v>102200400</v>
      </c>
    </row>
    <row r="20" spans="1:7" ht="15" x14ac:dyDescent="0.25">
      <c r="A20" t="s">
        <v>880</v>
      </c>
      <c r="B20" s="135" t="str">
        <f>COVER!T19</f>
        <v>Aurora</v>
      </c>
      <c r="G20" s="1898">
        <v>102200600</v>
      </c>
    </row>
    <row r="21" spans="1:7" ht="15" x14ac:dyDescent="0.25">
      <c r="A21" t="s">
        <v>475</v>
      </c>
      <c r="B21" s="135" t="str">
        <f>COVER!X19</f>
        <v>IL</v>
      </c>
      <c r="G21" s="1898">
        <v>102200800</v>
      </c>
    </row>
    <row r="22" spans="1:7" ht="15" x14ac:dyDescent="0.25">
      <c r="A22" t="s">
        <v>881</v>
      </c>
      <c r="B22" s="135">
        <f>COVER!Z19</f>
        <v>60504</v>
      </c>
      <c r="G22" s="1898">
        <v>102300300</v>
      </c>
    </row>
    <row r="23" spans="1:7" ht="15" x14ac:dyDescent="0.25">
      <c r="A23" t="s">
        <v>1143</v>
      </c>
      <c r="B23" s="135" t="str">
        <f>COVER!T21</f>
        <v>630-898-5578</v>
      </c>
      <c r="G23" s="1898">
        <v>102300400</v>
      </c>
    </row>
    <row r="24" spans="1:7" ht="15" x14ac:dyDescent="0.25">
      <c r="A24" t="s">
        <v>1142</v>
      </c>
      <c r="B24" s="135">
        <f>COVER!Y21</f>
        <v>0</v>
      </c>
      <c r="G24" s="1898">
        <v>102300600</v>
      </c>
    </row>
    <row r="25" spans="1:7" ht="15" x14ac:dyDescent="0.25">
      <c r="A25" t="s">
        <v>755</v>
      </c>
      <c r="B25" s="135">
        <f>COVER!B34</f>
        <v>0</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33239</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7403290</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0</v>
      </c>
      <c r="D76" s="2" t="str">
        <f t="shared" si="0"/>
        <v>Error?</v>
      </c>
      <c r="G76" s="1898">
        <v>102570600</v>
      </c>
    </row>
    <row r="77" spans="1:7" ht="15" x14ac:dyDescent="0.25">
      <c r="A77" s="5">
        <v>16</v>
      </c>
      <c r="B77" s="1831">
        <f>'Assets-Liab 5-6'!C13</f>
        <v>15642003</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814221</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7514344</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8475491</v>
      </c>
      <c r="C91" s="2" t="s">
        <v>568</v>
      </c>
      <c r="D91" s="2" t="str">
        <f t="shared" si="0"/>
        <v>Error?</v>
      </c>
      <c r="G91" s="1898">
        <v>102640400</v>
      </c>
    </row>
    <row r="92" spans="1:7" ht="15" x14ac:dyDescent="0.25">
      <c r="A92" s="5">
        <v>31</v>
      </c>
      <c r="B92" s="1831">
        <f>'Assets-Liab 5-6'!C39</f>
        <v>7166512</v>
      </c>
      <c r="D92" s="2" t="str">
        <f t="shared" si="0"/>
        <v>Error?</v>
      </c>
      <c r="G92" s="1898">
        <v>102640600</v>
      </c>
    </row>
    <row r="93" spans="1:7" ht="15" x14ac:dyDescent="0.25">
      <c r="A93" s="5">
        <v>32</v>
      </c>
      <c r="B93" s="1831">
        <f>'Assets-Liab 5-6'!C41</f>
        <v>15642003</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798855</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1281314</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2425</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798855</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831339</v>
      </c>
      <c r="C122" s="2" t="s">
        <v>568</v>
      </c>
      <c r="D122" s="2" t="str">
        <f t="shared" si="0"/>
        <v>Error?</v>
      </c>
      <c r="G122" s="1898">
        <v>203000300</v>
      </c>
    </row>
    <row r="123" spans="1:7" ht="15" x14ac:dyDescent="0.25">
      <c r="A123" s="5">
        <v>62</v>
      </c>
      <c r="B123" s="1831">
        <f>'Assets-Liab 5-6'!D39</f>
        <v>449975</v>
      </c>
      <c r="D123" s="2" t="str">
        <f t="shared" si="0"/>
        <v>Error?</v>
      </c>
      <c r="G123" s="1898">
        <v>203000400</v>
      </c>
    </row>
    <row r="124" spans="1:7" ht="15" x14ac:dyDescent="0.25">
      <c r="A124" s="5">
        <v>63</v>
      </c>
      <c r="B124" s="1831">
        <f>'Assets-Liab 5-6'!D41</f>
        <v>1281314</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1431761</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2576087</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1431761</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1431761</v>
      </c>
      <c r="C139" s="2" t="s">
        <v>568</v>
      </c>
      <c r="D139" s="2" t="str">
        <f t="shared" si="1"/>
        <v>Error?</v>
      </c>
    </row>
    <row r="140" spans="1:7" x14ac:dyDescent="0.2">
      <c r="A140" s="5">
        <v>79</v>
      </c>
      <c r="B140" s="1831">
        <f>'Assets-Liab 5-6'!E39</f>
        <v>1144326</v>
      </c>
      <c r="D140" s="2" t="str">
        <f t="shared" si="1"/>
        <v>Error?</v>
      </c>
    </row>
    <row r="141" spans="1:7" x14ac:dyDescent="0.2">
      <c r="A141" s="5">
        <v>80</v>
      </c>
      <c r="B141" s="1831">
        <f>'Assets-Liab 5-6'!E41</f>
        <v>2576087</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160034</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681640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11472</v>
      </c>
      <c r="D164" s="2" t="str">
        <f t="shared" si="1"/>
        <v>Error?</v>
      </c>
    </row>
    <row r="165" spans="1:4" x14ac:dyDescent="0.2">
      <c r="A165" s="10">
        <v>104</v>
      </c>
      <c r="B165" s="1831"/>
      <c r="D165" s="2" t="str">
        <f t="shared" si="1"/>
        <v>OK</v>
      </c>
    </row>
    <row r="166" spans="1:4" x14ac:dyDescent="0.2">
      <c r="A166" s="5">
        <v>105</v>
      </c>
      <c r="B166" s="1831">
        <f>'Assets-Liab 5-6'!F32</f>
        <v>231978</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248511</v>
      </c>
      <c r="C169" s="2" t="s">
        <v>568</v>
      </c>
      <c r="D169" s="2" t="str">
        <f t="shared" si="1"/>
        <v>Error?</v>
      </c>
    </row>
    <row r="170" spans="1:4" x14ac:dyDescent="0.2">
      <c r="A170" s="5">
        <v>109</v>
      </c>
      <c r="B170" s="1831">
        <f>'Assets-Liab 5-6'!F39</f>
        <v>433129</v>
      </c>
      <c r="D170" s="2" t="str">
        <f t="shared" si="1"/>
        <v>Error?</v>
      </c>
    </row>
    <row r="171" spans="1:4" x14ac:dyDescent="0.2">
      <c r="A171" s="5">
        <v>110</v>
      </c>
      <c r="B171" s="1831">
        <f>'Assets-Liab 5-6'!F41</f>
        <v>681640</v>
      </c>
      <c r="C171" s="2" t="s">
        <v>568</v>
      </c>
      <c r="D171" s="2" t="str">
        <f t="shared" si="1"/>
        <v>Error?</v>
      </c>
    </row>
    <row r="172" spans="1:4" x14ac:dyDescent="0.2">
      <c r="A172" s="10">
        <v>111</v>
      </c>
      <c r="B172" s="1831"/>
      <c r="D172" s="2" t="str">
        <f t="shared" si="1"/>
        <v>OK</v>
      </c>
    </row>
    <row r="173" spans="1:4" x14ac:dyDescent="0.2">
      <c r="A173" s="5">
        <v>112</v>
      </c>
      <c r="B173" s="1831">
        <f>'Assets-Liab 5-6'!G6</f>
        <v>160362</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389150</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22434</v>
      </c>
      <c r="D184" s="2" t="str">
        <f t="shared" si="1"/>
        <v>Error?</v>
      </c>
    </row>
    <row r="185" spans="1:4" x14ac:dyDescent="0.2">
      <c r="A185" s="5">
        <v>124</v>
      </c>
      <c r="B185" s="1831">
        <f>'Assets-Liab 5-6'!G32</f>
        <v>160362</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182796</v>
      </c>
      <c r="C188" s="2" t="s">
        <v>568</v>
      </c>
      <c r="D188" s="2" t="str">
        <f t="shared" si="1"/>
        <v>Error?</v>
      </c>
    </row>
    <row r="189" spans="1:4" x14ac:dyDescent="0.2">
      <c r="A189" s="5">
        <v>128</v>
      </c>
      <c r="B189" s="1831">
        <f>'Assets-Liab 5-6'!G39</f>
        <v>206354</v>
      </c>
      <c r="D189" s="2" t="str">
        <f t="shared" si="1"/>
        <v>Error?</v>
      </c>
    </row>
    <row r="190" spans="1:4" x14ac:dyDescent="0.2">
      <c r="A190" s="5">
        <v>129</v>
      </c>
      <c r="B190" s="1831">
        <f>'Assets-Liab 5-6'!G41</f>
        <v>389150</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754654</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751215</v>
      </c>
      <c r="C211" s="2" t="s">
        <v>568</v>
      </c>
      <c r="D211" s="2" t="str">
        <f t="shared" si="2"/>
        <v>Error?</v>
      </c>
    </row>
    <row r="212" spans="1:4" x14ac:dyDescent="0.2">
      <c r="A212" s="5">
        <v>151</v>
      </c>
      <c r="B212" s="1831">
        <f>'Assets-Liab 5-6'!H39</f>
        <v>3439</v>
      </c>
      <c r="D212" s="2" t="str">
        <f t="shared" si="2"/>
        <v>Error?</v>
      </c>
    </row>
    <row r="213" spans="1:4" x14ac:dyDescent="0.2">
      <c r="A213" s="12">
        <v>152</v>
      </c>
      <c r="B213" s="1831">
        <f>'Assets-Liab 5-6'!H41</f>
        <v>754654</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379992</v>
      </c>
      <c r="D273" s="2" t="str">
        <f t="shared" si="3"/>
        <v>Error?</v>
      </c>
    </row>
    <row r="274" spans="1:4" x14ac:dyDescent="0.2">
      <c r="A274" s="5">
        <v>213</v>
      </c>
      <c r="B274" s="1831">
        <f>'Assets-Liab 5-6'!M17</f>
        <v>52773750</v>
      </c>
      <c r="D274" s="2" t="str">
        <f t="shared" si="3"/>
        <v>Error?</v>
      </c>
    </row>
    <row r="275" spans="1:4" x14ac:dyDescent="0.2">
      <c r="A275" s="5">
        <v>214</v>
      </c>
      <c r="B275" s="1831">
        <f>'Assets-Liab 5-6'!M18</f>
        <v>368872</v>
      </c>
      <c r="D275" s="2" t="str">
        <f t="shared" si="3"/>
        <v>Error?</v>
      </c>
    </row>
    <row r="276" spans="1:4" x14ac:dyDescent="0.2">
      <c r="A276" s="5">
        <v>215</v>
      </c>
      <c r="B276" s="1831">
        <f>'Assets-Liab 5-6'!M19</f>
        <v>3989215</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57511829</v>
      </c>
      <c r="C279" s="2" t="s">
        <v>568</v>
      </c>
      <c r="D279" s="2" t="str">
        <f t="shared" si="3"/>
        <v>Error?</v>
      </c>
    </row>
    <row r="280" spans="1:4" x14ac:dyDescent="0.2">
      <c r="A280" s="5">
        <v>219</v>
      </c>
      <c r="B280" s="1831">
        <f>'Assets-Liab 5-6'!M40</f>
        <v>57511829</v>
      </c>
      <c r="D280" s="2" t="str">
        <f t="shared" si="3"/>
        <v>Error?</v>
      </c>
    </row>
    <row r="281" spans="1:4" x14ac:dyDescent="0.2">
      <c r="A281" s="5">
        <v>220</v>
      </c>
      <c r="B281" s="1831">
        <f>'Assets-Liab 5-6'!M41</f>
        <v>57511829</v>
      </c>
      <c r="C281" s="2" t="s">
        <v>568</v>
      </c>
      <c r="D281" s="2" t="str">
        <f t="shared" si="3"/>
        <v>Error?</v>
      </c>
    </row>
    <row r="282" spans="1:4" x14ac:dyDescent="0.2">
      <c r="A282" s="5">
        <v>221</v>
      </c>
      <c r="B282" s="1831">
        <f>'Assets-Liab 5-6'!N21</f>
        <v>1144326</v>
      </c>
      <c r="D282" s="2" t="str">
        <f t="shared" si="3"/>
        <v>Error?</v>
      </c>
    </row>
    <row r="283" spans="1:4" x14ac:dyDescent="0.2">
      <c r="A283" s="5">
        <v>222</v>
      </c>
      <c r="B283" s="1831">
        <f>'Assets-Liab 5-6'!N22</f>
        <v>37106082</v>
      </c>
      <c r="D283" s="2" t="str">
        <f t="shared" si="3"/>
        <v>Error?</v>
      </c>
    </row>
    <row r="284" spans="1:4" x14ac:dyDescent="0.2">
      <c r="A284" s="5">
        <v>223</v>
      </c>
      <c r="B284" s="1831">
        <f>'Assets-Liab 5-6'!N23</f>
        <v>38250408</v>
      </c>
      <c r="C284" s="2" t="s">
        <v>568</v>
      </c>
      <c r="D284" s="2" t="str">
        <f t="shared" si="3"/>
        <v>Error?</v>
      </c>
    </row>
    <row r="285" spans="1:4" x14ac:dyDescent="0.2">
      <c r="A285" s="5">
        <v>224</v>
      </c>
      <c r="B285" s="1831">
        <f>'Assets-Liab 5-6'!N36</f>
        <v>38250408</v>
      </c>
      <c r="D285" s="2" t="str">
        <f t="shared" si="3"/>
        <v>Error?</v>
      </c>
    </row>
    <row r="286" spans="1:4" x14ac:dyDescent="0.2">
      <c r="A286" s="10">
        <v>225</v>
      </c>
      <c r="B286" s="1831"/>
      <c r="D286" s="2" t="str">
        <f t="shared" si="3"/>
        <v>OK</v>
      </c>
    </row>
    <row r="287" spans="1:4" x14ac:dyDescent="0.2">
      <c r="A287" s="5">
        <v>226</v>
      </c>
      <c r="B287" s="1831">
        <f>'Assets-Liab 5-6'!N37</f>
        <v>38250408</v>
      </c>
      <c r="C287" s="2" t="s">
        <v>568</v>
      </c>
      <c r="D287" s="2" t="str">
        <f t="shared" si="3"/>
        <v>Error?</v>
      </c>
    </row>
    <row r="288" spans="1:4" x14ac:dyDescent="0.2">
      <c r="A288" s="5">
        <v>227</v>
      </c>
      <c r="B288" s="1831">
        <f>'Assets-Liab 5-6'!N41</f>
        <v>38250408</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275000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6726965</v>
      </c>
      <c r="D705" s="2" t="str">
        <f t="shared" si="10"/>
        <v>Error?</v>
      </c>
    </row>
    <row r="706" spans="1:4" x14ac:dyDescent="0.2">
      <c r="A706" s="5">
        <v>645</v>
      </c>
      <c r="B706" s="1831">
        <f>'Expenditures 15-22'!C16</f>
        <v>5089</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743888</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106485</v>
      </c>
      <c r="D718" s="2" t="str">
        <f t="shared" si="10"/>
        <v>Error?</v>
      </c>
    </row>
    <row r="719" spans="1:4" x14ac:dyDescent="0.2">
      <c r="A719" s="5">
        <v>658</v>
      </c>
      <c r="B719" s="1831">
        <f>'Expenditures 15-22'!C15</f>
        <v>8439</v>
      </c>
      <c r="D719" s="2" t="str">
        <f t="shared" si="10"/>
        <v>Error?</v>
      </c>
    </row>
    <row r="720" spans="1:4" x14ac:dyDescent="0.2">
      <c r="A720" s="5">
        <v>659</v>
      </c>
      <c r="B720" s="1831">
        <f>'Expenditures 15-22'!C33</f>
        <v>9324074</v>
      </c>
      <c r="C720" s="2" t="s">
        <v>568</v>
      </c>
      <c r="D720" s="2" t="str">
        <f t="shared" si="10"/>
        <v>Error?</v>
      </c>
    </row>
    <row r="721" spans="1:4" x14ac:dyDescent="0.2">
      <c r="A721" s="5">
        <v>660</v>
      </c>
      <c r="B721" s="1831">
        <f>'Expenditures 15-22'!C36</f>
        <v>267028</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208632</v>
      </c>
      <c r="D723" s="2" t="str">
        <f t="shared" si="10"/>
        <v>Error?</v>
      </c>
    </row>
    <row r="724" spans="1:4" x14ac:dyDescent="0.2">
      <c r="A724" s="5">
        <v>663</v>
      </c>
      <c r="B724" s="1831">
        <f>'Expenditures 15-22'!C39</f>
        <v>106487</v>
      </c>
      <c r="D724" s="2" t="str">
        <f t="shared" si="10"/>
        <v>Error?</v>
      </c>
    </row>
    <row r="725" spans="1:4" x14ac:dyDescent="0.2">
      <c r="A725" s="5">
        <v>664</v>
      </c>
      <c r="B725" s="1831">
        <f>'Expenditures 15-22'!C40</f>
        <v>272375</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854522</v>
      </c>
      <c r="C727" s="2" t="s">
        <v>568</v>
      </c>
      <c r="D727" s="2" t="str">
        <f t="shared" si="10"/>
        <v>Error?</v>
      </c>
    </row>
    <row r="728" spans="1:4" x14ac:dyDescent="0.2">
      <c r="A728" s="5">
        <v>667</v>
      </c>
      <c r="B728" s="1831">
        <f>'Expenditures 15-22'!C44</f>
        <v>113961</v>
      </c>
      <c r="D728" s="2" t="str">
        <f t="shared" si="10"/>
        <v>Error?</v>
      </c>
    </row>
    <row r="729" spans="1:4" x14ac:dyDescent="0.2">
      <c r="A729" s="5">
        <v>668</v>
      </c>
      <c r="B729" s="1831">
        <f>'Expenditures 15-22'!C45</f>
        <v>548308</v>
      </c>
      <c r="D729" s="2" t="str">
        <f t="shared" si="10"/>
        <v>Error?</v>
      </c>
    </row>
    <row r="730" spans="1:4" x14ac:dyDescent="0.2">
      <c r="A730" s="5">
        <v>669</v>
      </c>
      <c r="B730" s="1831">
        <f>'Expenditures 15-22'!C46</f>
        <v>64393</v>
      </c>
      <c r="D730" s="2" t="str">
        <f t="shared" si="10"/>
        <v>Error?</v>
      </c>
    </row>
    <row r="731" spans="1:4" x14ac:dyDescent="0.2">
      <c r="A731" s="5">
        <v>670</v>
      </c>
      <c r="B731" s="1831">
        <f>'Expenditures 15-22'!C47</f>
        <v>726662</v>
      </c>
      <c r="C731" s="2" t="s">
        <v>568</v>
      </c>
      <c r="D731" s="2" t="str">
        <f t="shared" si="10"/>
        <v>Error?</v>
      </c>
    </row>
    <row r="732" spans="1:4" x14ac:dyDescent="0.2">
      <c r="A732" s="5">
        <v>671</v>
      </c>
      <c r="B732" s="1831">
        <f>'Expenditures 15-22'!C49</f>
        <v>0</v>
      </c>
      <c r="D732" s="2" t="str">
        <f t="shared" si="10"/>
        <v>Error?</v>
      </c>
    </row>
    <row r="733" spans="1:4" x14ac:dyDescent="0.2">
      <c r="A733" s="5">
        <v>672</v>
      </c>
      <c r="B733" s="1831">
        <f>'Expenditures 15-22'!C50</f>
        <v>277716</v>
      </c>
      <c r="D733" s="2" t="str">
        <f t="shared" si="10"/>
        <v>Error?</v>
      </c>
    </row>
    <row r="734" spans="1:4" x14ac:dyDescent="0.2">
      <c r="A734" s="5">
        <v>673</v>
      </c>
      <c r="B734" s="1831">
        <f>'Expenditures 15-22'!C53</f>
        <v>383331</v>
      </c>
      <c r="C734" s="2" t="s">
        <v>568</v>
      </c>
      <c r="D734" s="2" t="str">
        <f t="shared" si="10"/>
        <v>Error?</v>
      </c>
    </row>
    <row r="735" spans="1:4" x14ac:dyDescent="0.2">
      <c r="A735" s="5">
        <v>674</v>
      </c>
      <c r="B735" s="1831">
        <f>'Expenditures 15-22'!C55</f>
        <v>853552</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853552</v>
      </c>
      <c r="C737" s="2" t="s">
        <v>568</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251919</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169479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421398</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0</v>
      </c>
      <c r="D751" s="2" t="str">
        <f t="shared" si="10"/>
        <v>Error?</v>
      </c>
    </row>
    <row r="752" spans="1:4" x14ac:dyDescent="0.2">
      <c r="A752" s="10">
        <v>691</v>
      </c>
      <c r="B752" s="1831"/>
      <c r="D752" s="2" t="str">
        <f t="shared" si="10"/>
        <v>OK</v>
      </c>
    </row>
    <row r="753" spans="1:4" x14ac:dyDescent="0.2">
      <c r="A753" s="5">
        <v>692</v>
      </c>
      <c r="B753" s="1831">
        <f>'Expenditures 15-22'!C72</f>
        <v>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3239465</v>
      </c>
      <c r="C755" s="2" t="s">
        <v>568</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12563539</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1093765</v>
      </c>
      <c r="D763" s="2" t="str">
        <f t="shared" si="10"/>
        <v>Error?</v>
      </c>
    </row>
    <row r="764" spans="1:4" x14ac:dyDescent="0.2">
      <c r="A764" s="5">
        <v>703</v>
      </c>
      <c r="B764" s="1831">
        <f>'Expenditures 15-22'!D16</f>
        <v>173</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125589</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2717</v>
      </c>
      <c r="D776" s="2" t="str">
        <f t="shared" si="11"/>
        <v>Error?</v>
      </c>
    </row>
    <row r="777" spans="1:4" x14ac:dyDescent="0.2">
      <c r="A777" s="5">
        <v>716</v>
      </c>
      <c r="B777" s="1831">
        <f>'Expenditures 15-22'!D15</f>
        <v>212</v>
      </c>
      <c r="D777" s="2" t="str">
        <f t="shared" si="11"/>
        <v>Error?</v>
      </c>
    </row>
    <row r="778" spans="1:4" x14ac:dyDescent="0.2">
      <c r="A778" s="5">
        <v>717</v>
      </c>
      <c r="B778" s="1831">
        <f>'Expenditures 15-22'!D33</f>
        <v>1484978</v>
      </c>
      <c r="C778" s="2" t="s">
        <v>568</v>
      </c>
      <c r="D778" s="2" t="str">
        <f t="shared" si="11"/>
        <v>Error?</v>
      </c>
    </row>
    <row r="779" spans="1:4" x14ac:dyDescent="0.2">
      <c r="A779" s="5">
        <v>718</v>
      </c>
      <c r="B779" s="1831">
        <f>'Expenditures 15-22'!D36</f>
        <v>36009</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18161</v>
      </c>
      <c r="D781" s="2" t="str">
        <f t="shared" si="11"/>
        <v>Error?</v>
      </c>
    </row>
    <row r="782" spans="1:4" x14ac:dyDescent="0.2">
      <c r="A782" s="5">
        <v>721</v>
      </c>
      <c r="B782" s="1831">
        <f>'Expenditures 15-22'!D39</f>
        <v>16260</v>
      </c>
      <c r="D782" s="2" t="str">
        <f t="shared" si="11"/>
        <v>Error?</v>
      </c>
    </row>
    <row r="783" spans="1:4" x14ac:dyDescent="0.2">
      <c r="A783" s="5">
        <v>722</v>
      </c>
      <c r="B783" s="1831">
        <f>'Expenditures 15-22'!D40</f>
        <v>41468</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111898</v>
      </c>
      <c r="C785" s="2" t="s">
        <v>568</v>
      </c>
      <c r="D785" s="2" t="str">
        <f t="shared" si="11"/>
        <v>Error?</v>
      </c>
    </row>
    <row r="786" spans="1:4" x14ac:dyDescent="0.2">
      <c r="A786" s="5">
        <v>725</v>
      </c>
      <c r="B786" s="1831">
        <f>'Expenditures 15-22'!D44</f>
        <v>30793</v>
      </c>
      <c r="D786" s="2" t="str">
        <f t="shared" si="11"/>
        <v>Error?</v>
      </c>
    </row>
    <row r="787" spans="1:4" x14ac:dyDescent="0.2">
      <c r="A787" s="5">
        <v>726</v>
      </c>
      <c r="B787" s="1831">
        <f>'Expenditures 15-22'!D45</f>
        <v>95089</v>
      </c>
      <c r="D787" s="2" t="str">
        <f t="shared" si="11"/>
        <v>Error?</v>
      </c>
    </row>
    <row r="788" spans="1:4" x14ac:dyDescent="0.2">
      <c r="A788" s="5">
        <v>727</v>
      </c>
      <c r="B788" s="1831">
        <f>'Expenditures 15-22'!D46</f>
        <v>15619</v>
      </c>
      <c r="D788" s="2" t="str">
        <f t="shared" si="11"/>
        <v>Error?</v>
      </c>
    </row>
    <row r="789" spans="1:4" x14ac:dyDescent="0.2">
      <c r="A789" s="5">
        <v>728</v>
      </c>
      <c r="B789" s="1831">
        <f>'Expenditures 15-22'!D47</f>
        <v>141501</v>
      </c>
      <c r="C789" s="2" t="s">
        <v>568</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74719</v>
      </c>
      <c r="D791" s="2" t="str">
        <f t="shared" si="11"/>
        <v>Error?</v>
      </c>
    </row>
    <row r="792" spans="1:4" x14ac:dyDescent="0.2">
      <c r="A792" s="5">
        <v>731</v>
      </c>
      <c r="B792" s="1831">
        <f>'Expenditures 15-22'!D53</f>
        <v>103305</v>
      </c>
      <c r="C792" s="2" t="s">
        <v>568</v>
      </c>
      <c r="D792" s="2" t="str">
        <f t="shared" si="11"/>
        <v>Error?</v>
      </c>
    </row>
    <row r="793" spans="1:4" x14ac:dyDescent="0.2">
      <c r="A793" s="5">
        <v>732</v>
      </c>
      <c r="B793" s="1831">
        <f>'Expenditures 15-22'!D55</f>
        <v>253024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253024</v>
      </c>
      <c r="C795" s="2" t="s">
        <v>568</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58148</v>
      </c>
      <c r="D797" s="2" t="str">
        <f t="shared" si="11"/>
        <v>Error?</v>
      </c>
    </row>
    <row r="798" spans="1:4" x14ac:dyDescent="0.2">
      <c r="A798" s="5">
        <v>737</v>
      </c>
      <c r="B798" s="1831">
        <f>'Expenditures 15-22'!D61</f>
        <v>47</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22319</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80514</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0</v>
      </c>
      <c r="D809" s="2" t="str">
        <f t="shared" si="11"/>
        <v>Error?</v>
      </c>
    </row>
    <row r="810" spans="1:4" x14ac:dyDescent="0.2">
      <c r="A810" s="10">
        <v>749</v>
      </c>
      <c r="B810" s="1831"/>
      <c r="D810" s="2" t="str">
        <f t="shared" si="11"/>
        <v>OK</v>
      </c>
    </row>
    <row r="811" spans="1:4" x14ac:dyDescent="0.2">
      <c r="A811" s="5">
        <v>750</v>
      </c>
      <c r="B811" s="1831">
        <f>'Expenditures 15-22'!D72</f>
        <v>0</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690242</v>
      </c>
      <c r="C813" s="2" t="s">
        <v>568</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2175220</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67746</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14090</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82596</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10518</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8649</v>
      </c>
      <c r="D842" s="2" t="str">
        <f t="shared" si="12"/>
        <v>Error?</v>
      </c>
    </row>
    <row r="843" spans="1:4" x14ac:dyDescent="0.2">
      <c r="A843" s="5">
        <v>782</v>
      </c>
      <c r="B843" s="1831">
        <f>'Expenditures 15-22'!E42</f>
        <v>19167</v>
      </c>
      <c r="C843" s="2" t="s">
        <v>568</v>
      </c>
      <c r="D843" s="2" t="str">
        <f t="shared" si="12"/>
        <v>Error?</v>
      </c>
    </row>
    <row r="844" spans="1:4" x14ac:dyDescent="0.2">
      <c r="A844" s="5">
        <v>783</v>
      </c>
      <c r="B844" s="1831">
        <f>'Expenditures 15-22'!E44</f>
        <v>113591</v>
      </c>
      <c r="D844" s="2" t="str">
        <f t="shared" si="12"/>
        <v>Error?</v>
      </c>
    </row>
    <row r="845" spans="1:4" x14ac:dyDescent="0.2">
      <c r="A845" s="5">
        <v>784</v>
      </c>
      <c r="B845" s="1831">
        <f>'Expenditures 15-22'!E45</f>
        <v>162407</v>
      </c>
      <c r="D845" s="2" t="str">
        <f t="shared" si="12"/>
        <v>Error?</v>
      </c>
    </row>
    <row r="846" spans="1:4" x14ac:dyDescent="0.2">
      <c r="A846" s="5">
        <v>785</v>
      </c>
      <c r="B846" s="1831">
        <f>'Expenditures 15-22'!E46</f>
        <v>10125</v>
      </c>
      <c r="D846" s="2" t="str">
        <f t="shared" si="12"/>
        <v>Error?</v>
      </c>
    </row>
    <row r="847" spans="1:4" x14ac:dyDescent="0.2">
      <c r="A847" s="5">
        <v>786</v>
      </c>
      <c r="B847" s="1831">
        <f>'Expenditures 15-22'!E47</f>
        <v>286123</v>
      </c>
      <c r="C847" s="2" t="s">
        <v>568</v>
      </c>
      <c r="D847" s="2" t="str">
        <f t="shared" si="12"/>
        <v>Error?</v>
      </c>
    </row>
    <row r="848" spans="1:4" x14ac:dyDescent="0.2">
      <c r="A848" s="5">
        <v>787</v>
      </c>
      <c r="B848" s="1831">
        <f>'Expenditures 15-22'!E49</f>
        <v>281235</v>
      </c>
      <c r="D848" s="2" t="str">
        <f t="shared" si="12"/>
        <v>Error?</v>
      </c>
    </row>
    <row r="849" spans="1:4" x14ac:dyDescent="0.2">
      <c r="A849" s="5">
        <v>788</v>
      </c>
      <c r="B849" s="1831">
        <f>'Expenditures 15-22'!E50</f>
        <v>9379</v>
      </c>
      <c r="D849" s="2" t="str">
        <f t="shared" si="12"/>
        <v>Error?</v>
      </c>
    </row>
    <row r="850" spans="1:4" x14ac:dyDescent="0.2">
      <c r="A850" s="5">
        <v>789</v>
      </c>
      <c r="B850" s="1831">
        <f>'Expenditures 15-22'!E53</f>
        <v>290614</v>
      </c>
      <c r="C850" s="2" t="s">
        <v>568</v>
      </c>
      <c r="D850" s="2" t="str">
        <f t="shared" si="12"/>
        <v>Error?</v>
      </c>
    </row>
    <row r="851" spans="1:4" x14ac:dyDescent="0.2">
      <c r="A851" s="5">
        <v>790</v>
      </c>
      <c r="B851" s="1831">
        <f>'Expenditures 15-22'!E55</f>
        <v>1800</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1800</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58917</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271933</v>
      </c>
      <c r="D858" s="2" t="str">
        <f t="shared" si="12"/>
        <v>Error?</v>
      </c>
    </row>
    <row r="859" spans="1:4" x14ac:dyDescent="0.2">
      <c r="A859" s="5">
        <v>798</v>
      </c>
      <c r="B859" s="1831">
        <f>'Expenditures 15-22'!E64</f>
        <v>8935</v>
      </c>
      <c r="D859" s="2" t="str">
        <f t="shared" si="12"/>
        <v>Error?</v>
      </c>
    </row>
    <row r="860" spans="1:4" x14ac:dyDescent="0.2">
      <c r="A860" s="10">
        <v>799</v>
      </c>
      <c r="B860" s="1831"/>
      <c r="D860" s="2" t="str">
        <f t="shared" si="12"/>
        <v>OK</v>
      </c>
    </row>
    <row r="861" spans="1:4" x14ac:dyDescent="0.2">
      <c r="A861" s="5">
        <v>800</v>
      </c>
      <c r="B861" s="1831">
        <f>'Expenditures 15-22'!E65</f>
        <v>339785</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9819</v>
      </c>
      <c r="D865" s="2" t="str">
        <f t="shared" si="12"/>
        <v>Error?</v>
      </c>
    </row>
    <row r="866" spans="1:4" x14ac:dyDescent="0.2">
      <c r="A866" s="10">
        <v>805</v>
      </c>
      <c r="B866" s="1831"/>
      <c r="D866" s="2" t="str">
        <f t="shared" si="12"/>
        <v>OK</v>
      </c>
    </row>
    <row r="867" spans="1:4" x14ac:dyDescent="0.2">
      <c r="A867" s="5">
        <v>806</v>
      </c>
      <c r="B867" s="1831">
        <f>'Expenditures 15-22'!E71</f>
        <v>4830</v>
      </c>
      <c r="D867" s="2" t="str">
        <f t="shared" si="12"/>
        <v>Error?</v>
      </c>
    </row>
    <row r="868" spans="1:4" x14ac:dyDescent="0.2">
      <c r="A868" s="10">
        <v>807</v>
      </c>
      <c r="B868" s="1831"/>
      <c r="D868" s="2" t="str">
        <f t="shared" si="12"/>
        <v>OK</v>
      </c>
    </row>
    <row r="869" spans="1:4" x14ac:dyDescent="0.2">
      <c r="A869" s="5">
        <v>808</v>
      </c>
      <c r="B869" s="1831">
        <f>'Expenditures 15-22'!E72</f>
        <v>14649</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952138</v>
      </c>
      <c r="C871" s="2" t="s">
        <v>568</v>
      </c>
      <c r="D871" s="2" t="str">
        <f t="shared" si="12"/>
        <v>Error?</v>
      </c>
    </row>
    <row r="872" spans="1:4" x14ac:dyDescent="0.2">
      <c r="A872" s="5">
        <v>811</v>
      </c>
      <c r="B872" s="1831">
        <f>'Expenditures 15-22'!E75</f>
        <v>4008</v>
      </c>
      <c r="D872" s="2" t="str">
        <f t="shared" si="12"/>
        <v>Error?</v>
      </c>
    </row>
    <row r="873" spans="1:4" x14ac:dyDescent="0.2">
      <c r="A873" s="5">
        <v>812</v>
      </c>
      <c r="B873" s="1831">
        <f>'Expenditures 15-22'!E114</f>
        <v>1653778</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367396</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4834</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26476</v>
      </c>
      <c r="D892" s="2" t="str">
        <f t="shared" si="12"/>
        <v>Error?</v>
      </c>
    </row>
    <row r="893" spans="1:4" x14ac:dyDescent="0.2">
      <c r="A893" s="5">
        <v>832</v>
      </c>
      <c r="B893" s="1831">
        <f>'Expenditures 15-22'!F15</f>
        <v>913</v>
      </c>
      <c r="D893" s="2" t="str">
        <f t="shared" si="12"/>
        <v>Error?</v>
      </c>
    </row>
    <row r="894" spans="1:4" x14ac:dyDescent="0.2">
      <c r="A894" s="5">
        <v>833</v>
      </c>
      <c r="B894" s="1831">
        <f>'Expenditures 15-22'!F33</f>
        <v>426153</v>
      </c>
      <c r="C894" s="2" t="s">
        <v>568</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2492</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1324</v>
      </c>
      <c r="D899" s="2" t="str">
        <f t="shared" si="13"/>
        <v>Error?</v>
      </c>
    </row>
    <row r="900" spans="1:4" x14ac:dyDescent="0.2">
      <c r="A900" s="5">
        <v>839</v>
      </c>
      <c r="B900" s="1831">
        <f>'Expenditures 15-22'!F41</f>
        <v>50</v>
      </c>
      <c r="D900" s="2" t="str">
        <f t="shared" si="13"/>
        <v>Error?</v>
      </c>
    </row>
    <row r="901" spans="1:4" x14ac:dyDescent="0.2">
      <c r="A901" s="5">
        <v>840</v>
      </c>
      <c r="B901" s="1831">
        <f>'Expenditures 15-22'!F42</f>
        <v>3866</v>
      </c>
      <c r="C901" s="2" t="s">
        <v>568</v>
      </c>
      <c r="D901" s="2" t="str">
        <f t="shared" si="13"/>
        <v>Error?</v>
      </c>
    </row>
    <row r="902" spans="1:4" x14ac:dyDescent="0.2">
      <c r="A902" s="5">
        <v>841</v>
      </c>
      <c r="B902" s="1831">
        <f>'Expenditures 15-22'!F44</f>
        <v>2818</v>
      </c>
      <c r="D902" s="2" t="str">
        <f t="shared" si="13"/>
        <v>Error?</v>
      </c>
    </row>
    <row r="903" spans="1:4" x14ac:dyDescent="0.2">
      <c r="A903" s="5">
        <v>842</v>
      </c>
      <c r="B903" s="1831">
        <f>'Expenditures 15-22'!F45</f>
        <v>151879</v>
      </c>
      <c r="D903" s="2" t="str">
        <f t="shared" si="13"/>
        <v>Error?</v>
      </c>
    </row>
    <row r="904" spans="1:4" x14ac:dyDescent="0.2">
      <c r="A904" s="5">
        <v>843</v>
      </c>
      <c r="B904" s="1831">
        <f>'Expenditures 15-22'!F46</f>
        <v>41559</v>
      </c>
      <c r="D904" s="2" t="str">
        <f t="shared" si="13"/>
        <v>Error?</v>
      </c>
    </row>
    <row r="905" spans="1:4" x14ac:dyDescent="0.2">
      <c r="A905" s="5">
        <v>844</v>
      </c>
      <c r="B905" s="1831">
        <f>'Expenditures 15-22'!F47</f>
        <v>196256</v>
      </c>
      <c r="C905" s="2" t="s">
        <v>568</v>
      </c>
      <c r="D905" s="2" t="str">
        <f t="shared" si="13"/>
        <v>Error?</v>
      </c>
    </row>
    <row r="906" spans="1:4" x14ac:dyDescent="0.2">
      <c r="A906" s="5">
        <v>845</v>
      </c>
      <c r="B906" s="1831">
        <f>'Expenditures 15-22'!F49</f>
        <v>0</v>
      </c>
      <c r="D906" s="2" t="str">
        <f t="shared" si="13"/>
        <v>Error?</v>
      </c>
    </row>
    <row r="907" spans="1:4" x14ac:dyDescent="0.2">
      <c r="A907" s="5">
        <v>846</v>
      </c>
      <c r="B907" s="1831">
        <f>'Expenditures 15-22'!F50</f>
        <v>2452</v>
      </c>
      <c r="D907" s="2" t="str">
        <f t="shared" si="13"/>
        <v>Error?</v>
      </c>
    </row>
    <row r="908" spans="1:4" x14ac:dyDescent="0.2">
      <c r="A908" s="5">
        <v>847</v>
      </c>
      <c r="B908" s="1831">
        <f>'Expenditures 15-22'!F53</f>
        <v>2452</v>
      </c>
      <c r="C908" s="2" t="s">
        <v>568</v>
      </c>
      <c r="D908" s="2" t="str">
        <f t="shared" si="13"/>
        <v>Error?</v>
      </c>
    </row>
    <row r="909" spans="1:4" x14ac:dyDescent="0.2">
      <c r="A909" s="5">
        <v>848</v>
      </c>
      <c r="B909" s="1831">
        <f>'Expenditures 15-22'!F55</f>
        <v>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0</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2455</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-24121</v>
      </c>
      <c r="D916" s="2" t="str">
        <f t="shared" si="13"/>
        <v>Error?</v>
      </c>
    </row>
    <row r="917" spans="1:4" x14ac:dyDescent="0.2">
      <c r="A917" s="5">
        <v>856</v>
      </c>
      <c r="B917" s="1831">
        <f>'Expenditures 15-22'!F64</f>
        <v>5077</v>
      </c>
      <c r="D917" s="2" t="str">
        <f t="shared" si="13"/>
        <v>Error?</v>
      </c>
    </row>
    <row r="918" spans="1:4" x14ac:dyDescent="0.2">
      <c r="A918" s="10">
        <v>857</v>
      </c>
      <c r="B918" s="1831"/>
      <c r="D918" s="2" t="str">
        <f t="shared" si="13"/>
        <v>OK</v>
      </c>
    </row>
    <row r="919" spans="1:4" x14ac:dyDescent="0.2">
      <c r="A919" s="5">
        <v>858</v>
      </c>
      <c r="B919" s="1831">
        <f>'Expenditures 15-22'!F65</f>
        <v>-16589</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27803</v>
      </c>
      <c r="D923" s="2" t="str">
        <f t="shared" si="13"/>
        <v>Error?</v>
      </c>
    </row>
    <row r="924" spans="1:4" x14ac:dyDescent="0.2">
      <c r="A924" s="10">
        <v>863</v>
      </c>
      <c r="B924" s="1831"/>
      <c r="D924" s="2" t="str">
        <f t="shared" si="13"/>
        <v>OK</v>
      </c>
    </row>
    <row r="925" spans="1:4" x14ac:dyDescent="0.2">
      <c r="A925" s="5">
        <v>864</v>
      </c>
      <c r="B925" s="1831">
        <f>'Expenditures 15-22'!F71</f>
        <v>49226</v>
      </c>
      <c r="D925" s="2" t="str">
        <f t="shared" si="13"/>
        <v>Error?</v>
      </c>
    </row>
    <row r="926" spans="1:4" x14ac:dyDescent="0.2">
      <c r="A926" s="10">
        <v>865</v>
      </c>
      <c r="B926" s="1831"/>
      <c r="D926" s="2" t="str">
        <f t="shared" si="13"/>
        <v>OK</v>
      </c>
    </row>
    <row r="927" spans="1:4" x14ac:dyDescent="0.2">
      <c r="A927" s="5">
        <v>866</v>
      </c>
      <c r="B927" s="1831">
        <f>'Expenditures 15-22'!F72</f>
        <v>77029</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263014</v>
      </c>
      <c r="C929" s="2" t="s">
        <v>568</v>
      </c>
      <c r="D929" s="2" t="str">
        <f t="shared" si="13"/>
        <v>Error?</v>
      </c>
    </row>
    <row r="930" spans="1:4" x14ac:dyDescent="0.2">
      <c r="A930" s="5">
        <v>869</v>
      </c>
      <c r="B930" s="1831">
        <f>'Expenditures 15-22'!F75</f>
        <v>10933</v>
      </c>
      <c r="D930" s="2" t="str">
        <f t="shared" si="13"/>
        <v>Error?</v>
      </c>
    </row>
    <row r="931" spans="1:4" x14ac:dyDescent="0.2">
      <c r="A931" s="5">
        <v>870</v>
      </c>
      <c r="B931" s="1831">
        <f>'Expenditures 15-22'!F114</f>
        <v>700100</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1120822</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1120822</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516403</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516403</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27005</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27005</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543408</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1664230</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1767</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1767</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568</v>
      </c>
      <c r="D1017" s="2" t="str">
        <f t="shared" si="14"/>
        <v>Error?</v>
      </c>
    </row>
    <row r="1018" spans="1:4" x14ac:dyDescent="0.2">
      <c r="A1018" s="5">
        <v>957</v>
      </c>
      <c r="B1018" s="1831">
        <f>'Expenditures 15-22'!H44</f>
        <v>2131</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2131</v>
      </c>
      <c r="C1021" s="2" t="s">
        <v>568</v>
      </c>
      <c r="D1021" s="2" t="str">
        <f t="shared" si="14"/>
        <v>Error?</v>
      </c>
    </row>
    <row r="1022" spans="1:4" x14ac:dyDescent="0.2">
      <c r="A1022" s="5">
        <v>961</v>
      </c>
      <c r="B1022" s="1831">
        <f>'Expenditures 15-22'!H49</f>
        <v>12120</v>
      </c>
      <c r="D1022" s="2" t="str">
        <f t="shared" si="14"/>
        <v>Error?</v>
      </c>
    </row>
    <row r="1023" spans="1:4" x14ac:dyDescent="0.2">
      <c r="A1023" s="5">
        <v>962</v>
      </c>
      <c r="B1023" s="1831">
        <f>'Expenditures 15-22'!H50</f>
        <v>350</v>
      </c>
      <c r="D1023" s="2" t="str">
        <f t="shared" ref="D1023:D1086" si="15">IF(ISBLANK(B1023),"OK",IF(A1023-B1023=0,"OK","Error?"))</f>
        <v>Error?</v>
      </c>
    </row>
    <row r="1024" spans="1:4" x14ac:dyDescent="0.2">
      <c r="A1024" s="5">
        <v>963</v>
      </c>
      <c r="B1024" s="1831">
        <f>'Expenditures 15-22'!H53</f>
        <v>12470</v>
      </c>
      <c r="C1024" s="2" t="s">
        <v>568</v>
      </c>
      <c r="D1024" s="2" t="str">
        <f t="shared" si="15"/>
        <v>Error?</v>
      </c>
    </row>
    <row r="1025" spans="1:4" x14ac:dyDescent="0.2">
      <c r="A1025" s="5">
        <v>964</v>
      </c>
      <c r="B1025" s="1831">
        <f>'Expenditures 15-22'!H55</f>
        <v>0</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0</v>
      </c>
      <c r="C1027" s="2" t="s">
        <v>568</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656</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2226</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2882</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17483</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1107511</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1126761</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1996</v>
      </c>
      <c r="E1056" s="4" t="s">
        <v>1995</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9378461</v>
      </c>
      <c r="C1093" s="2" t="s">
        <v>568</v>
      </c>
      <c r="D1093" s="2" t="str">
        <f t="shared" si="16"/>
        <v>Error?</v>
      </c>
    </row>
    <row r="1094" spans="1:4" x14ac:dyDescent="0.2">
      <c r="A1094" s="5">
        <v>1033</v>
      </c>
      <c r="B1094" s="1831">
        <f>'Expenditures 15-22'!K16</f>
        <v>5262</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874311</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149768</v>
      </c>
      <c r="C1106" s="2" t="s">
        <v>568</v>
      </c>
      <c r="D1106" s="2" t="str">
        <f t="shared" si="16"/>
        <v>Error?</v>
      </c>
    </row>
    <row r="1107" spans="1:4" x14ac:dyDescent="0.2">
      <c r="A1107" s="5">
        <v>1046</v>
      </c>
      <c r="B1107" s="1831">
        <f>'Expenditures 15-22'!K15</f>
        <v>9564</v>
      </c>
      <c r="C1107" s="2" t="s">
        <v>568</v>
      </c>
      <c r="D1107" s="2" t="str">
        <f t="shared" si="16"/>
        <v>Error?</v>
      </c>
    </row>
    <row r="1108" spans="1:4" x14ac:dyDescent="0.2">
      <c r="A1108" s="5">
        <v>1047</v>
      </c>
      <c r="B1108" s="1831">
        <f>'Expenditures 15-22'!K33</f>
        <v>12440390</v>
      </c>
      <c r="C1108" s="2" t="s">
        <v>568</v>
      </c>
      <c r="D1108" s="2" t="str">
        <f t="shared" si="16"/>
        <v>Error?</v>
      </c>
    </row>
    <row r="1109" spans="1:4" x14ac:dyDescent="0.2">
      <c r="A1109" s="5">
        <v>1048</v>
      </c>
      <c r="B1109" s="1831">
        <f>'Expenditures 15-22'!K36</f>
        <v>303037</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239803</v>
      </c>
      <c r="C1111" s="2" t="s">
        <v>568</v>
      </c>
      <c r="D1111" s="2" t="str">
        <f t="shared" si="16"/>
        <v>Error?</v>
      </c>
    </row>
    <row r="1112" spans="1:4" x14ac:dyDescent="0.2">
      <c r="A1112" s="5">
        <v>1051</v>
      </c>
      <c r="B1112" s="1831">
        <f>'Expenditures 15-22'!K39</f>
        <v>122747</v>
      </c>
      <c r="C1112" s="2" t="s">
        <v>568</v>
      </c>
      <c r="D1112" s="2" t="str">
        <f t="shared" si="16"/>
        <v>Error?</v>
      </c>
    </row>
    <row r="1113" spans="1:4" x14ac:dyDescent="0.2">
      <c r="A1113" s="5">
        <v>1052</v>
      </c>
      <c r="B1113" s="1831">
        <f>'Expenditures 15-22'!K40</f>
        <v>315167</v>
      </c>
      <c r="C1113" s="2" t="s">
        <v>568</v>
      </c>
      <c r="D1113" s="2" t="str">
        <f t="shared" si="16"/>
        <v>Error?</v>
      </c>
    </row>
    <row r="1114" spans="1:4" x14ac:dyDescent="0.2">
      <c r="A1114" s="5">
        <v>1053</v>
      </c>
      <c r="B1114" s="1831">
        <f>'Expenditures 15-22'!K41</f>
        <v>8699</v>
      </c>
      <c r="C1114" s="2" t="s">
        <v>568</v>
      </c>
      <c r="D1114" s="2" t="str">
        <f t="shared" si="16"/>
        <v>Error?</v>
      </c>
    </row>
    <row r="1115" spans="1:4" x14ac:dyDescent="0.2">
      <c r="A1115" s="5">
        <v>1054</v>
      </c>
      <c r="B1115" s="1831">
        <f>'Expenditures 15-22'!K42</f>
        <v>989453</v>
      </c>
      <c r="C1115" s="2" t="s">
        <v>568</v>
      </c>
      <c r="D1115" s="2" t="str">
        <f t="shared" si="16"/>
        <v>Error?</v>
      </c>
    </row>
    <row r="1116" spans="1:4" x14ac:dyDescent="0.2">
      <c r="A1116" s="5">
        <v>1055</v>
      </c>
      <c r="B1116" s="1831">
        <f>'Expenditures 15-22'!K44</f>
        <v>263294</v>
      </c>
      <c r="C1116" s="2" t="s">
        <v>568</v>
      </c>
      <c r="D1116" s="2" t="str">
        <f t="shared" si="16"/>
        <v>Error?</v>
      </c>
    </row>
    <row r="1117" spans="1:4" x14ac:dyDescent="0.2">
      <c r="A1117" s="5">
        <v>1056</v>
      </c>
      <c r="B1117" s="1831">
        <f>'Expenditures 15-22'!K45</f>
        <v>1474086</v>
      </c>
      <c r="C1117" s="2" t="s">
        <v>568</v>
      </c>
      <c r="D1117" s="2" t="str">
        <f t="shared" si="16"/>
        <v>Error?</v>
      </c>
    </row>
    <row r="1118" spans="1:4" x14ac:dyDescent="0.2">
      <c r="A1118" s="5">
        <v>1057</v>
      </c>
      <c r="B1118" s="1831">
        <f>'Expenditures 15-22'!K46</f>
        <v>131696</v>
      </c>
      <c r="C1118" s="2" t="s">
        <v>568</v>
      </c>
      <c r="D1118" s="2" t="str">
        <f t="shared" si="16"/>
        <v>Error?</v>
      </c>
    </row>
    <row r="1119" spans="1:4" x14ac:dyDescent="0.2">
      <c r="A1119" s="5">
        <v>1058</v>
      </c>
      <c r="B1119" s="1831">
        <f>'Expenditures 15-22'!K47</f>
        <v>1869076</v>
      </c>
      <c r="C1119" s="2" t="s">
        <v>568</v>
      </c>
      <c r="D1119" s="2" t="str">
        <f t="shared" si="16"/>
        <v>Error?</v>
      </c>
    </row>
    <row r="1120" spans="1:4" x14ac:dyDescent="0.2">
      <c r="A1120" s="5">
        <v>1059</v>
      </c>
      <c r="B1120" s="1831">
        <f>'Expenditures 15-22'!K49</f>
        <v>293355</v>
      </c>
      <c r="C1120" s="2" t="s">
        <v>568</v>
      </c>
      <c r="D1120" s="2" t="str">
        <f t="shared" si="16"/>
        <v>Error?</v>
      </c>
    </row>
    <row r="1121" spans="1:4" x14ac:dyDescent="0.2">
      <c r="A1121" s="5">
        <v>1060</v>
      </c>
      <c r="B1121" s="1831">
        <f>'Expenditures 15-22'!K50</f>
        <v>364616</v>
      </c>
      <c r="C1121" s="2" t="s">
        <v>568</v>
      </c>
      <c r="D1121" s="2" t="str">
        <f t="shared" si="16"/>
        <v>Error?</v>
      </c>
    </row>
    <row r="1122" spans="1:4" x14ac:dyDescent="0.2">
      <c r="A1122" s="5">
        <v>1061</v>
      </c>
      <c r="B1122" s="1831">
        <f>'Expenditures 15-22'!K53</f>
        <v>792172</v>
      </c>
      <c r="C1122" s="2" t="s">
        <v>568</v>
      </c>
      <c r="D1122" s="2" t="str">
        <f t="shared" si="16"/>
        <v>Error?</v>
      </c>
    </row>
    <row r="1123" spans="1:4" x14ac:dyDescent="0.2">
      <c r="A1123" s="5">
        <v>1062</v>
      </c>
      <c r="B1123" s="1831">
        <f>'Expenditures 15-22'!K55</f>
        <v>1108376</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1108376</v>
      </c>
      <c r="C1125" s="2" t="s">
        <v>568</v>
      </c>
      <c r="D1125" s="2" t="str">
        <f t="shared" si="16"/>
        <v>Error?</v>
      </c>
    </row>
    <row r="1126" spans="1:4" x14ac:dyDescent="0.2">
      <c r="A1126" s="5">
        <v>1065</v>
      </c>
      <c r="B1126" s="1831">
        <f>'Expenditures 15-22'!K59</f>
        <v>0</v>
      </c>
      <c r="C1126" s="2" t="s">
        <v>568</v>
      </c>
      <c r="D1126" s="2" t="str">
        <f t="shared" si="16"/>
        <v>Error?</v>
      </c>
    </row>
    <row r="1127" spans="1:4" x14ac:dyDescent="0.2">
      <c r="A1127" s="5">
        <v>1066</v>
      </c>
      <c r="B1127" s="1831">
        <f>'Expenditures 15-22'!K60</f>
        <v>372095</v>
      </c>
      <c r="C1127" s="2" t="s">
        <v>568</v>
      </c>
      <c r="D1127" s="2" t="str">
        <f t="shared" si="16"/>
        <v>Error?</v>
      </c>
    </row>
    <row r="1128" spans="1:4" x14ac:dyDescent="0.2">
      <c r="A1128" s="5">
        <v>1067</v>
      </c>
      <c r="B1128" s="1831">
        <f>'Expenditures 15-22'!K61</f>
        <v>47</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468841</v>
      </c>
      <c r="C1130" s="2" t="s">
        <v>568</v>
      </c>
      <c r="D1130" s="2" t="str">
        <f t="shared" si="16"/>
        <v>Error?</v>
      </c>
    </row>
    <row r="1131" spans="1:4" x14ac:dyDescent="0.2">
      <c r="A1131" s="5">
        <v>1070</v>
      </c>
      <c r="B1131" s="1831">
        <f>'Expenditures 15-22'!K64</f>
        <v>14012</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854995</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0</v>
      </c>
      <c r="C1135" s="2" t="s">
        <v>568</v>
      </c>
      <c r="D1135" s="2" t="str">
        <f t="shared" si="16"/>
        <v>Error?</v>
      </c>
    </row>
    <row r="1136" spans="1:4" x14ac:dyDescent="0.2">
      <c r="A1136" s="5">
        <v>1075</v>
      </c>
      <c r="B1136" s="1831">
        <f>'Expenditures 15-22'!K69</f>
        <v>0</v>
      </c>
      <c r="C1136" s="2" t="s">
        <v>568</v>
      </c>
      <c r="D1136" s="2" t="str">
        <f t="shared" si="16"/>
        <v>Error?</v>
      </c>
    </row>
    <row r="1137" spans="1:4" x14ac:dyDescent="0.2">
      <c r="A1137" s="5">
        <v>1076</v>
      </c>
      <c r="B1137" s="1831">
        <f>'Expenditures 15-22'!K70</f>
        <v>37622</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54056</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91678</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5705750</v>
      </c>
      <c r="C1143" s="2" t="s">
        <v>568</v>
      </c>
      <c r="D1143" s="2" t="str">
        <f t="shared" si="16"/>
        <v>Error?</v>
      </c>
    </row>
    <row r="1144" spans="1:4" x14ac:dyDescent="0.2">
      <c r="A1144" s="5">
        <v>1083</v>
      </c>
      <c r="B1144" s="1831">
        <f>'Expenditures 15-22'!K75</f>
        <v>14941</v>
      </c>
      <c r="C1144" s="2" t="s">
        <v>568</v>
      </c>
      <c r="D1144" s="2" t="str">
        <f t="shared" si="16"/>
        <v>Error?</v>
      </c>
    </row>
    <row r="1145" spans="1:4" x14ac:dyDescent="0.2">
      <c r="A1145" s="5">
        <v>1084</v>
      </c>
      <c r="B1145" s="1831">
        <f>'Expenditures 15-22'!K102</f>
        <v>1722547</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19883628</v>
      </c>
      <c r="C1152" s="2" t="s">
        <v>568</v>
      </c>
      <c r="D1152" s="2" t="str">
        <f t="shared" si="17"/>
        <v>Error?</v>
      </c>
    </row>
    <row r="1153" spans="1:4" x14ac:dyDescent="0.2">
      <c r="A1153" s="5">
        <v>1092</v>
      </c>
      <c r="B1153" s="1831">
        <f>'Expenditures 15-22'!K115</f>
        <v>-1761082</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248619</v>
      </c>
      <c r="D1221" s="2" t="str">
        <f t="shared" si="18"/>
        <v>Error?</v>
      </c>
    </row>
    <row r="1222" spans="1:4" x14ac:dyDescent="0.2">
      <c r="A1222" s="10">
        <v>1161</v>
      </c>
      <c r="B1222" s="1831"/>
      <c r="D1222" s="2" t="str">
        <f t="shared" si="18"/>
        <v>OK</v>
      </c>
    </row>
    <row r="1223" spans="1:4" x14ac:dyDescent="0.2">
      <c r="A1223" s="5">
        <v>1162</v>
      </c>
      <c r="B1223" s="1831">
        <f>'Expenditures 15-22'!C127</f>
        <v>248619</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248619</v>
      </c>
      <c r="C1225" s="2" t="s">
        <v>568</v>
      </c>
      <c r="D1225" s="2" t="str">
        <f t="shared" si="18"/>
        <v>Error?</v>
      </c>
    </row>
    <row r="1226" spans="1:4" x14ac:dyDescent="0.2">
      <c r="A1226" s="5">
        <v>1165</v>
      </c>
      <c r="B1226" s="1831">
        <f>'Expenditures 15-22'!C151</f>
        <v>248619</v>
      </c>
      <c r="C1226" s="2" t="s">
        <v>568</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60002</v>
      </c>
      <c r="D1229" s="2" t="str">
        <f t="shared" si="18"/>
        <v>Error?</v>
      </c>
    </row>
    <row r="1230" spans="1:4" x14ac:dyDescent="0.2">
      <c r="A1230" s="10">
        <v>1169</v>
      </c>
      <c r="B1230" s="1831"/>
      <c r="D1230" s="2" t="str">
        <f t="shared" si="18"/>
        <v>OK</v>
      </c>
    </row>
    <row r="1231" spans="1:4" x14ac:dyDescent="0.2">
      <c r="A1231" s="5">
        <v>1170</v>
      </c>
      <c r="B1231" s="1831">
        <f>'Expenditures 15-22'!D127</f>
        <v>60002</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60002</v>
      </c>
      <c r="C1233" s="2" t="s">
        <v>568</v>
      </c>
      <c r="D1233" s="2" t="str">
        <f t="shared" si="18"/>
        <v>Error?</v>
      </c>
    </row>
    <row r="1234" spans="1:4" x14ac:dyDescent="0.2">
      <c r="A1234" s="5">
        <v>1173</v>
      </c>
      <c r="B1234" s="1831">
        <f>'Expenditures 15-22'!D151</f>
        <v>60002</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782445</v>
      </c>
      <c r="D1237" s="2" t="str">
        <f t="shared" si="18"/>
        <v>Error?</v>
      </c>
    </row>
    <row r="1238" spans="1:4" x14ac:dyDescent="0.2">
      <c r="A1238" s="10">
        <v>1177</v>
      </c>
      <c r="B1238" s="1831"/>
      <c r="D1238" s="2" t="str">
        <f t="shared" si="18"/>
        <v>OK</v>
      </c>
    </row>
    <row r="1239" spans="1:4" x14ac:dyDescent="0.2">
      <c r="A1239" s="5">
        <v>1178</v>
      </c>
      <c r="B1239" s="1831">
        <f>'Expenditures 15-22'!E127</f>
        <v>782445</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782445</v>
      </c>
      <c r="C1241" s="2" t="s">
        <v>568</v>
      </c>
      <c r="D1241" s="2" t="str">
        <f t="shared" si="18"/>
        <v>Error?</v>
      </c>
    </row>
    <row r="1242" spans="1:4" x14ac:dyDescent="0.2">
      <c r="A1242" s="5">
        <v>1181</v>
      </c>
      <c r="B1242" s="1831">
        <f>'Expenditures 15-22'!E151</f>
        <v>782445</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360110</v>
      </c>
      <c r="D1245" s="2" t="str">
        <f t="shared" si="18"/>
        <v>Error?</v>
      </c>
    </row>
    <row r="1246" spans="1:4" x14ac:dyDescent="0.2">
      <c r="A1246" s="10">
        <v>1185</v>
      </c>
      <c r="B1246" s="1831"/>
      <c r="D1246" s="2" t="str">
        <f t="shared" si="18"/>
        <v>OK</v>
      </c>
    </row>
    <row r="1247" spans="1:4" x14ac:dyDescent="0.2">
      <c r="A1247" s="5">
        <v>1186</v>
      </c>
      <c r="B1247" s="1831">
        <f>'Expenditures 15-22'!F127</f>
        <v>360110</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360110</v>
      </c>
      <c r="C1249" s="2" t="s">
        <v>568</v>
      </c>
      <c r="D1249" s="2" t="str">
        <f t="shared" si="18"/>
        <v>Error?</v>
      </c>
    </row>
    <row r="1250" spans="1:4" x14ac:dyDescent="0.2">
      <c r="A1250" s="5">
        <v>1189</v>
      </c>
      <c r="B1250" s="1831">
        <f>'Expenditures 15-22'!F151</f>
        <v>360110</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244392</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244392</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244392</v>
      </c>
      <c r="C1258" s="2" t="s">
        <v>568</v>
      </c>
      <c r="D1258" s="2" t="str">
        <f t="shared" si="18"/>
        <v>Error?</v>
      </c>
    </row>
    <row r="1259" spans="1:4" x14ac:dyDescent="0.2">
      <c r="A1259" s="5">
        <v>1198</v>
      </c>
      <c r="B1259" s="1831">
        <f>'Expenditures 15-22'!G151</f>
        <v>244392</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0</v>
      </c>
      <c r="C1273" s="2" t="s">
        <v>568</v>
      </c>
      <c r="D1273" s="2" t="str">
        <f t="shared" si="18"/>
        <v>Error?</v>
      </c>
    </row>
    <row r="1274" spans="1:4" x14ac:dyDescent="0.2">
      <c r="A1274" s="5">
        <v>1213</v>
      </c>
      <c r="B1274" s="1831">
        <f>'Expenditures 15-22'!K122</f>
        <v>0</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1695568</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1695568</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1695568</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1695568</v>
      </c>
      <c r="C1288" s="2" t="s">
        <v>568</v>
      </c>
      <c r="D1288" s="2" t="str">
        <f t="shared" si="19"/>
        <v>Error?</v>
      </c>
    </row>
    <row r="1289" spans="1:4" x14ac:dyDescent="0.2">
      <c r="A1289" s="5">
        <v>1228</v>
      </c>
      <c r="B1289" s="1831">
        <f>'Expenditures 15-22'!K152</f>
        <v>48158</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1407727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1497176</v>
      </c>
      <c r="D1315" s="2" t="str">
        <f t="shared" si="19"/>
        <v>Error?</v>
      </c>
    </row>
    <row r="1316" spans="1:4" x14ac:dyDescent="0.2">
      <c r="A1316" s="5">
        <v>1255</v>
      </c>
      <c r="B1316" s="1831">
        <f>'Expenditures 15-22'!H171</f>
        <v>1850</v>
      </c>
      <c r="D1316" s="2" t="str">
        <f t="shared" si="19"/>
        <v>Error?</v>
      </c>
    </row>
    <row r="1317" spans="1:4" x14ac:dyDescent="0.2">
      <c r="A1317" s="5">
        <v>1256</v>
      </c>
      <c r="B1317" s="1831">
        <f>'Expenditures 15-22'!H172</f>
        <v>2906753</v>
      </c>
      <c r="C1317" s="2" t="s">
        <v>568</v>
      </c>
      <c r="D1317" s="2" t="str">
        <f t="shared" si="19"/>
        <v>Error?</v>
      </c>
    </row>
    <row r="1318" spans="1:4" x14ac:dyDescent="0.2">
      <c r="A1318" s="5">
        <v>1257</v>
      </c>
      <c r="B1318" s="1831">
        <f>'Expenditures 15-22'!H174</f>
        <v>2906753</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1407727</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1497176</v>
      </c>
      <c r="C1329" s="2" t="s">
        <v>568</v>
      </c>
      <c r="D1329" s="2" t="str">
        <f t="shared" si="19"/>
        <v>Error?</v>
      </c>
    </row>
    <row r="1330" spans="1:4" x14ac:dyDescent="0.2">
      <c r="A1330" s="5">
        <v>1269</v>
      </c>
      <c r="B1330" s="1831">
        <f>'Expenditures 15-22'!K171</f>
        <v>1850</v>
      </c>
      <c r="C1330" s="2" t="s">
        <v>568</v>
      </c>
      <c r="D1330" s="2" t="str">
        <f t="shared" si="19"/>
        <v>Error?</v>
      </c>
    </row>
    <row r="1331" spans="1:4" x14ac:dyDescent="0.2">
      <c r="A1331" s="5">
        <v>1270</v>
      </c>
      <c r="B1331" s="1831">
        <f>'Expenditures 15-22'!K172</f>
        <v>2906753</v>
      </c>
      <c r="C1331" s="2" t="s">
        <v>568</v>
      </c>
      <c r="D1331" s="2" t="str">
        <f t="shared" si="19"/>
        <v>Error?</v>
      </c>
    </row>
    <row r="1332" spans="1:4" x14ac:dyDescent="0.2">
      <c r="A1332" s="5">
        <v>1271</v>
      </c>
      <c r="B1332" s="1831">
        <f>'Expenditures 15-22'!K174</f>
        <v>2906753</v>
      </c>
      <c r="C1332" s="2" t="s">
        <v>568</v>
      </c>
      <c r="D1332" s="2" t="str">
        <f t="shared" si="19"/>
        <v>Error?</v>
      </c>
    </row>
    <row r="1333" spans="1:4" x14ac:dyDescent="0.2">
      <c r="A1333" s="5">
        <v>1272</v>
      </c>
      <c r="B1333" s="1831">
        <f>'Expenditures 15-22'!K175</f>
        <v>44132</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193929</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193929</v>
      </c>
      <c r="C1339" s="2" t="s">
        <v>568</v>
      </c>
      <c r="D1339" s="2" t="str">
        <f t="shared" si="19"/>
        <v>Error?</v>
      </c>
    </row>
    <row r="1340" spans="1:4" x14ac:dyDescent="0.2">
      <c r="A1340" s="5">
        <v>1279</v>
      </c>
      <c r="B1340" s="1831">
        <f>'Expenditures 15-22'!C210</f>
        <v>193929</v>
      </c>
      <c r="C1340" s="2" t="s">
        <v>568</v>
      </c>
      <c r="D1340" s="2" t="str">
        <f t="shared" si="19"/>
        <v>Error?</v>
      </c>
    </row>
    <row r="1341" spans="1:4" x14ac:dyDescent="0.2">
      <c r="A1341" s="5">
        <v>1280</v>
      </c>
      <c r="B1341" s="1831">
        <f>'Expenditures 15-22'!D182</f>
        <v>10616</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10616</v>
      </c>
      <c r="C1345" s="2" t="s">
        <v>568</v>
      </c>
      <c r="D1345" s="2" t="str">
        <f t="shared" si="20"/>
        <v>Error?</v>
      </c>
    </row>
    <row r="1346" spans="1:4" x14ac:dyDescent="0.2">
      <c r="A1346" s="5">
        <v>1285</v>
      </c>
      <c r="B1346" s="1831">
        <f>'Expenditures 15-22'!D210</f>
        <v>10616</v>
      </c>
      <c r="C1346" s="2" t="s">
        <v>568</v>
      </c>
      <c r="D1346" s="2" t="str">
        <f t="shared" si="20"/>
        <v>Error?</v>
      </c>
    </row>
    <row r="1347" spans="1:4" x14ac:dyDescent="0.2">
      <c r="A1347" s="5">
        <v>1286</v>
      </c>
      <c r="B1347" s="1831">
        <f>'Expenditures 15-22'!E182</f>
        <v>421964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421964</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421964</v>
      </c>
      <c r="C1353" s="2" t="s">
        <v>568</v>
      </c>
      <c r="D1353" s="2" t="str">
        <f t="shared" si="20"/>
        <v>Error?</v>
      </c>
    </row>
    <row r="1354" spans="1:4" x14ac:dyDescent="0.2">
      <c r="A1354" s="5">
        <v>1293</v>
      </c>
      <c r="B1354" s="1831">
        <f>'Expenditures 15-22'!F182</f>
        <v>35972</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35972</v>
      </c>
      <c r="C1358" s="2" t="s">
        <v>568</v>
      </c>
      <c r="D1358" s="2" t="str">
        <f t="shared" si="20"/>
        <v>Error?</v>
      </c>
    </row>
    <row r="1359" spans="1:4" x14ac:dyDescent="0.2">
      <c r="A1359" s="5">
        <v>1298</v>
      </c>
      <c r="B1359" s="1831">
        <f>'Expenditures 15-22'!F210</f>
        <v>35972</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678</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678</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103266</v>
      </c>
      <c r="C1375" s="2" t="s">
        <v>568</v>
      </c>
      <c r="D1375" s="2" t="str">
        <f t="shared" si="20"/>
        <v>Error?</v>
      </c>
    </row>
    <row r="1376" spans="1:4" x14ac:dyDescent="0.2">
      <c r="A1376" s="5">
        <v>1315</v>
      </c>
      <c r="B1376" s="1831">
        <f>'Expenditures 15-22'!H210</f>
        <v>103944</v>
      </c>
      <c r="C1376" s="2" t="s">
        <v>568</v>
      </c>
      <c r="D1376" s="2" t="str">
        <f t="shared" si="20"/>
        <v>Error?</v>
      </c>
    </row>
    <row r="1377" spans="1:4" x14ac:dyDescent="0.2">
      <c r="A1377" s="5">
        <v>1316</v>
      </c>
      <c r="B1377" s="1831">
        <f>'Expenditures 15-22'!K182</f>
        <v>663159</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663159</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103266</v>
      </c>
      <c r="C1387" s="2" t="s">
        <v>568</v>
      </c>
      <c r="D1387" s="2" t="str">
        <f t="shared" si="20"/>
        <v>Error?</v>
      </c>
    </row>
    <row r="1388" spans="1:4" x14ac:dyDescent="0.2">
      <c r="A1388" s="5">
        <v>1327</v>
      </c>
      <c r="B1388" s="1831">
        <f>'Expenditures 15-22'!K210</f>
        <v>766425</v>
      </c>
      <c r="C1388" s="2" t="s">
        <v>568</v>
      </c>
      <c r="D1388" s="2" t="str">
        <f t="shared" si="20"/>
        <v>Error?</v>
      </c>
    </row>
    <row r="1389" spans="1:4" x14ac:dyDescent="0.2">
      <c r="A1389" s="5">
        <v>1328</v>
      </c>
      <c r="B1389" s="1831">
        <f>'Expenditures 15-22'!K211</f>
        <v>92639</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3701</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1463</v>
      </c>
      <c r="D1408" s="2" t="str">
        <f t="shared" si="21"/>
        <v>Error?</v>
      </c>
    </row>
    <row r="1409" spans="1:4" x14ac:dyDescent="0.2">
      <c r="A1409" s="5">
        <v>1348</v>
      </c>
      <c r="B1409" s="1831">
        <f>'Expenditures 15-22'!D224</f>
        <v>205</v>
      </c>
      <c r="D1409" s="2" t="str">
        <f t="shared" si="21"/>
        <v>Error?</v>
      </c>
    </row>
    <row r="1410" spans="1:4" x14ac:dyDescent="0.2">
      <c r="A1410" s="5">
        <v>1349</v>
      </c>
      <c r="B1410" s="1831">
        <f>'Expenditures 15-22'!D229</f>
        <v>92946</v>
      </c>
      <c r="C1410" s="2" t="s">
        <v>568</v>
      </c>
      <c r="D1410" s="2" t="str">
        <f t="shared" si="21"/>
        <v>Error?</v>
      </c>
    </row>
    <row r="1411" spans="1:4" x14ac:dyDescent="0.2">
      <c r="A1411" s="5">
        <v>1350</v>
      </c>
      <c r="B1411" s="1831">
        <f>'Expenditures 15-22'!D232</f>
        <v>0</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12364</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12364</v>
      </c>
      <c r="C1417" s="2" t="s">
        <v>568</v>
      </c>
      <c r="D1417" s="2" t="str">
        <f t="shared" si="21"/>
        <v>Error?</v>
      </c>
    </row>
    <row r="1418" spans="1:4" x14ac:dyDescent="0.2">
      <c r="A1418" s="5">
        <v>1357</v>
      </c>
      <c r="B1418" s="1831">
        <f>'Expenditures 15-22'!D240</f>
        <v>0</v>
      </c>
      <c r="D1418" s="2" t="str">
        <f t="shared" si="21"/>
        <v>Error?</v>
      </c>
    </row>
    <row r="1419" spans="1:4" x14ac:dyDescent="0.2">
      <c r="A1419" s="5">
        <v>1358</v>
      </c>
      <c r="B1419" s="1831">
        <f>'Expenditures 15-22'!D241</f>
        <v>33513</v>
      </c>
      <c r="D1419" s="2" t="str">
        <f t="shared" si="21"/>
        <v>Error?</v>
      </c>
    </row>
    <row r="1420" spans="1:4" x14ac:dyDescent="0.2">
      <c r="A1420" s="5">
        <v>1359</v>
      </c>
      <c r="B1420" s="1831">
        <f>'Expenditures 15-22'!D242</f>
        <v>18735</v>
      </c>
      <c r="D1420" s="2" t="str">
        <f t="shared" si="21"/>
        <v>Error?</v>
      </c>
    </row>
    <row r="1421" spans="1:4" x14ac:dyDescent="0.2">
      <c r="A1421" s="5">
        <v>1360</v>
      </c>
      <c r="B1421" s="1831">
        <f>'Expenditures 15-22'!D243</f>
        <v>52248</v>
      </c>
      <c r="C1421" s="2" t="s">
        <v>568</v>
      </c>
      <c r="D1421" s="2" t="str">
        <f t="shared" si="21"/>
        <v>Error?</v>
      </c>
    </row>
    <row r="1422" spans="1:4" x14ac:dyDescent="0.2">
      <c r="A1422" s="5">
        <v>1361</v>
      </c>
      <c r="B1422" s="1831">
        <f>'Expenditures 15-22'!D245</f>
        <v>0</v>
      </c>
      <c r="D1422" s="2" t="str">
        <f t="shared" si="21"/>
        <v>Error?</v>
      </c>
    </row>
    <row r="1423" spans="1:4" x14ac:dyDescent="0.2">
      <c r="A1423" s="5">
        <v>1362</v>
      </c>
      <c r="B1423" s="1831">
        <f>'Expenditures 15-22'!D246</f>
        <v>14030</v>
      </c>
      <c r="D1423" s="2" t="str">
        <f t="shared" si="21"/>
        <v>Error?</v>
      </c>
    </row>
    <row r="1424" spans="1:4" x14ac:dyDescent="0.2">
      <c r="A1424" s="5">
        <v>1363</v>
      </c>
      <c r="B1424" s="1831">
        <f>'Expenditures 15-22'!D257</f>
        <v>19476</v>
      </c>
      <c r="C1424" s="2" t="s">
        <v>568</v>
      </c>
      <c r="D1424" s="2" t="str">
        <f t="shared" si="21"/>
        <v>Error?</v>
      </c>
    </row>
    <row r="1425" spans="1:4" x14ac:dyDescent="0.2">
      <c r="A1425" s="5">
        <v>1364</v>
      </c>
      <c r="B1425" s="1831">
        <f>'Expenditures 15-22'!D259</f>
        <v>40897</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40897</v>
      </c>
      <c r="C1427" s="2" t="s">
        <v>568</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21133</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49145</v>
      </c>
      <c r="D1431" s="2" t="str">
        <f t="shared" si="21"/>
        <v>Error?</v>
      </c>
    </row>
    <row r="1432" spans="1:4" x14ac:dyDescent="0.2">
      <c r="A1432" s="5">
        <v>1371</v>
      </c>
      <c r="B1432" s="1831">
        <f>'Expenditures 15-22'!D267</f>
        <v>36960</v>
      </c>
      <c r="D1432" s="2" t="str">
        <f t="shared" si="21"/>
        <v>Error?</v>
      </c>
    </row>
    <row r="1433" spans="1:4" x14ac:dyDescent="0.2">
      <c r="A1433" s="5">
        <v>1372</v>
      </c>
      <c r="B1433" s="1831">
        <f>'Expenditures 15-22'!D268</f>
        <v>32779</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140017</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0</v>
      </c>
      <c r="D1442" s="2" t="str">
        <f t="shared" si="21"/>
        <v>Error?</v>
      </c>
    </row>
    <row r="1443" spans="1:4" x14ac:dyDescent="0.2">
      <c r="A1443" s="10">
        <v>1382</v>
      </c>
      <c r="B1443" s="1831"/>
      <c r="D1443" s="2" t="str">
        <f t="shared" si="21"/>
        <v>OK</v>
      </c>
    </row>
    <row r="1444" spans="1:4" x14ac:dyDescent="0.2">
      <c r="A1444" s="5">
        <v>1383</v>
      </c>
      <c r="B1444" s="1831">
        <f>'Expenditures 15-22'!D277</f>
        <v>0</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265002</v>
      </c>
      <c r="C1446" s="2" t="s">
        <v>568</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357948</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3701</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1463</v>
      </c>
      <c r="C1472" s="2" t="s">
        <v>568</v>
      </c>
      <c r="D1472" s="2" t="str">
        <f t="shared" si="22"/>
        <v>Error?</v>
      </c>
    </row>
    <row r="1473" spans="1:4" x14ac:dyDescent="0.2">
      <c r="A1473" s="5">
        <v>1412</v>
      </c>
      <c r="B1473" s="1831">
        <f>'Expenditures 15-22'!K224</f>
        <v>205</v>
      </c>
      <c r="C1473" s="2" t="s">
        <v>568</v>
      </c>
      <c r="D1473" s="2" t="str">
        <f t="shared" si="22"/>
        <v>Error?</v>
      </c>
    </row>
    <row r="1474" spans="1:4" x14ac:dyDescent="0.2">
      <c r="A1474" s="5">
        <v>1413</v>
      </c>
      <c r="B1474" s="1831">
        <f>'Expenditures 15-22'!K229</f>
        <v>92946</v>
      </c>
      <c r="C1474" s="2" t="s">
        <v>568</v>
      </c>
      <c r="D1474" s="2" t="str">
        <f t="shared" si="22"/>
        <v>Error?</v>
      </c>
    </row>
    <row r="1475" spans="1:4" x14ac:dyDescent="0.2">
      <c r="A1475" s="5">
        <v>1414</v>
      </c>
      <c r="B1475" s="1831">
        <f>'Expenditures 15-22'!K232</f>
        <v>0</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12364</v>
      </c>
      <c r="C1477" s="2" t="s">
        <v>568</v>
      </c>
      <c r="D1477" s="2" t="str">
        <f t="shared" si="22"/>
        <v>Error?</v>
      </c>
    </row>
    <row r="1478" spans="1:4" x14ac:dyDescent="0.2">
      <c r="A1478" s="5">
        <v>1417</v>
      </c>
      <c r="B1478" s="1831">
        <f>'Expenditures 15-22'!K235</f>
        <v>0</v>
      </c>
      <c r="C1478" s="2" t="s">
        <v>568</v>
      </c>
      <c r="D1478" s="2" t="str">
        <f t="shared" si="22"/>
        <v>Error?</v>
      </c>
    </row>
    <row r="1479" spans="1:4" x14ac:dyDescent="0.2">
      <c r="A1479" s="5">
        <v>1418</v>
      </c>
      <c r="B1479" s="1831">
        <f>'Expenditures 15-22'!K236</f>
        <v>0</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12364</v>
      </c>
      <c r="C1481" s="2" t="s">
        <v>568</v>
      </c>
      <c r="D1481" s="2" t="str">
        <f t="shared" si="22"/>
        <v>Error?</v>
      </c>
    </row>
    <row r="1482" spans="1:4" x14ac:dyDescent="0.2">
      <c r="A1482" s="5">
        <v>1421</v>
      </c>
      <c r="B1482" s="1831">
        <f>'Expenditures 15-22'!K240</f>
        <v>0</v>
      </c>
      <c r="C1482" s="2" t="s">
        <v>568</v>
      </c>
      <c r="D1482" s="2" t="str">
        <f t="shared" si="22"/>
        <v>Error?</v>
      </c>
    </row>
    <row r="1483" spans="1:4" x14ac:dyDescent="0.2">
      <c r="A1483" s="5">
        <v>1422</v>
      </c>
      <c r="B1483" s="1831">
        <f>'Expenditures 15-22'!K241</f>
        <v>33513</v>
      </c>
      <c r="C1483" s="2" t="s">
        <v>568</v>
      </c>
      <c r="D1483" s="2" t="str">
        <f t="shared" si="22"/>
        <v>Error?</v>
      </c>
    </row>
    <row r="1484" spans="1:4" x14ac:dyDescent="0.2">
      <c r="A1484" s="5">
        <v>1423</v>
      </c>
      <c r="B1484" s="1831">
        <f>'Expenditures 15-22'!K242</f>
        <v>18735</v>
      </c>
      <c r="C1484" s="2" t="s">
        <v>568</v>
      </c>
      <c r="D1484" s="2" t="str">
        <f t="shared" si="22"/>
        <v>Error?</v>
      </c>
    </row>
    <row r="1485" spans="1:4" x14ac:dyDescent="0.2">
      <c r="A1485" s="5">
        <v>1424</v>
      </c>
      <c r="B1485" s="1831">
        <f>'Expenditures 15-22'!K243</f>
        <v>52248</v>
      </c>
      <c r="C1485" s="2" t="s">
        <v>568</v>
      </c>
      <c r="D1485" s="2" t="str">
        <f t="shared" si="22"/>
        <v>Error?</v>
      </c>
    </row>
    <row r="1486" spans="1:4" x14ac:dyDescent="0.2">
      <c r="A1486" s="5">
        <v>1425</v>
      </c>
      <c r="B1486" s="1831">
        <f>'Expenditures 15-22'!K245</f>
        <v>0</v>
      </c>
      <c r="C1486" s="2" t="s">
        <v>568</v>
      </c>
      <c r="D1486" s="2" t="str">
        <f t="shared" si="22"/>
        <v>Error?</v>
      </c>
    </row>
    <row r="1487" spans="1:4" x14ac:dyDescent="0.2">
      <c r="A1487" s="5">
        <v>1426</v>
      </c>
      <c r="B1487" s="1831">
        <f>'Expenditures 15-22'!K246</f>
        <v>14030</v>
      </c>
      <c r="C1487" s="2" t="s">
        <v>568</v>
      </c>
      <c r="D1487" s="2" t="str">
        <f t="shared" si="22"/>
        <v>Error?</v>
      </c>
    </row>
    <row r="1488" spans="1:4" x14ac:dyDescent="0.2">
      <c r="A1488" s="5">
        <v>1427</v>
      </c>
      <c r="B1488" s="1831">
        <f>'Expenditures 15-22'!K257</f>
        <v>19476</v>
      </c>
      <c r="C1488" s="2" t="s">
        <v>568</v>
      </c>
      <c r="D1488" s="2" t="str">
        <f t="shared" si="22"/>
        <v>Error?</v>
      </c>
    </row>
    <row r="1489" spans="1:4" x14ac:dyDescent="0.2">
      <c r="A1489" s="5">
        <v>1428</v>
      </c>
      <c r="B1489" s="1831">
        <f>'Expenditures 15-22'!K259</f>
        <v>40897</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40897</v>
      </c>
      <c r="C1491" s="2" t="s">
        <v>568</v>
      </c>
      <c r="D1491" s="2" t="str">
        <f t="shared" si="22"/>
        <v>Error?</v>
      </c>
    </row>
    <row r="1492" spans="1:4" x14ac:dyDescent="0.2">
      <c r="A1492" s="5">
        <v>1431</v>
      </c>
      <c r="B1492" s="1831">
        <f>'Expenditures 15-22'!K263</f>
        <v>0</v>
      </c>
      <c r="C1492" s="2" t="s">
        <v>568</v>
      </c>
      <c r="D1492" s="2" t="str">
        <f t="shared" si="22"/>
        <v>Error?</v>
      </c>
    </row>
    <row r="1493" spans="1:4" x14ac:dyDescent="0.2">
      <c r="A1493" s="5">
        <v>1432</v>
      </c>
      <c r="B1493" s="1831">
        <f>'Expenditures 15-22'!K264</f>
        <v>21133</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49145</v>
      </c>
      <c r="C1495" s="2" t="s">
        <v>568</v>
      </c>
      <c r="D1495" s="2" t="str">
        <f t="shared" si="22"/>
        <v>Error?</v>
      </c>
    </row>
    <row r="1496" spans="1:4" x14ac:dyDescent="0.2">
      <c r="A1496" s="5">
        <v>1435</v>
      </c>
      <c r="B1496" s="1831">
        <f>'Expenditures 15-22'!K267</f>
        <v>36960</v>
      </c>
      <c r="C1496" s="2" t="s">
        <v>568</v>
      </c>
      <c r="D1496" s="2" t="str">
        <f t="shared" si="22"/>
        <v>Error?</v>
      </c>
    </row>
    <row r="1497" spans="1:4" x14ac:dyDescent="0.2">
      <c r="A1497" s="5">
        <v>1436</v>
      </c>
      <c r="B1497" s="1831">
        <f>'Expenditures 15-22'!K268</f>
        <v>32779</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140017</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0</v>
      </c>
      <c r="C1502" s="2" t="s">
        <v>568</v>
      </c>
      <c r="D1502" s="2" t="str">
        <f t="shared" si="22"/>
        <v>Error?</v>
      </c>
    </row>
    <row r="1503" spans="1:4" x14ac:dyDescent="0.2">
      <c r="A1503" s="5">
        <v>1442</v>
      </c>
      <c r="B1503" s="1831">
        <f>'Expenditures 15-22'!K274</f>
        <v>0</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0</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0</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265002</v>
      </c>
      <c r="C1510" s="2" t="s">
        <v>568</v>
      </c>
      <c r="D1510" s="2" t="str">
        <f t="shared" si="22"/>
        <v>Error?</v>
      </c>
    </row>
    <row r="1511" spans="1:4" x14ac:dyDescent="0.2">
      <c r="A1511" s="5">
        <v>1450</v>
      </c>
      <c r="B1511" s="1831">
        <f>'Expenditures 15-22'!K280</f>
        <v>0</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357948</v>
      </c>
      <c r="C1517" s="2" t="s">
        <v>568</v>
      </c>
      <c r="D1517" s="2" t="str">
        <f t="shared" si="22"/>
        <v>Error?</v>
      </c>
    </row>
    <row r="1518" spans="1:4" x14ac:dyDescent="0.2">
      <c r="A1518" s="5">
        <v>1457</v>
      </c>
      <c r="B1518" s="1831">
        <f>'Expenditures 15-22'!K296</f>
        <v>-25519</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1198136</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1198136</v>
      </c>
      <c r="C1535" s="2" t="s">
        <v>568</v>
      </c>
      <c r="D1535" s="2" t="str">
        <f t="shared" ref="D1535:D1598" si="23">IF(ISBLANK(B1535),"OK",IF(A1535-B1535=0,"OK","Error?"))</f>
        <v>Error?</v>
      </c>
    </row>
    <row r="1536" spans="1:4" x14ac:dyDescent="0.2">
      <c r="A1536" s="5">
        <v>1475</v>
      </c>
      <c r="B1536" s="1831">
        <f>'Expenditures 15-22'!E312</f>
        <v>1198136</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19048778</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19048778</v>
      </c>
      <c r="C1547" s="2" t="s">
        <v>568</v>
      </c>
      <c r="D1547" s="2" t="str">
        <f t="shared" si="23"/>
        <v>Error?</v>
      </c>
    </row>
    <row r="1548" spans="1:4" x14ac:dyDescent="0.2">
      <c r="A1548" s="5">
        <v>1487</v>
      </c>
      <c r="B1548" s="1831">
        <f>'Expenditures 15-22'!G312</f>
        <v>19048778</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20246914</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20246914</v>
      </c>
      <c r="C1559" s="2" t="s">
        <v>568</v>
      </c>
      <c r="D1559" s="2" t="str">
        <f t="shared" si="23"/>
        <v>Error?</v>
      </c>
    </row>
    <row r="1560" spans="1:4" x14ac:dyDescent="0.2">
      <c r="A1560" s="5">
        <v>1499</v>
      </c>
      <c r="B1560" s="1831">
        <f>'Expenditures 15-22'!K312</f>
        <v>20246914</v>
      </c>
      <c r="C1560" s="2" t="s">
        <v>568</v>
      </c>
      <c r="D1560" s="2" t="str">
        <f t="shared" si="23"/>
        <v>Error?</v>
      </c>
    </row>
    <row r="1561" spans="1:4" x14ac:dyDescent="0.2">
      <c r="A1561" s="5">
        <v>1500</v>
      </c>
      <c r="B1561" s="1831">
        <f>'Expenditures 15-22'!K313</f>
        <v>-20004259</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8874330</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7166512</v>
      </c>
      <c r="C1630" s="2" t="s">
        <v>568</v>
      </c>
      <c r="D1630" s="2" t="str">
        <f t="shared" si="24"/>
        <v>Error?</v>
      </c>
    </row>
    <row r="1631" spans="1:4" x14ac:dyDescent="0.2">
      <c r="A1631" s="5">
        <v>1570</v>
      </c>
      <c r="B1631" s="1831">
        <f>'Acct Summary 7-8'!D79</f>
        <v>651817</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449975</v>
      </c>
      <c r="C1644" s="2" t="s">
        <v>568</v>
      </c>
      <c r="D1644" s="2" t="str">
        <f t="shared" si="24"/>
        <v>Error?</v>
      </c>
    </row>
    <row r="1645" spans="1:4" x14ac:dyDescent="0.2">
      <c r="A1645" s="5">
        <v>1584</v>
      </c>
      <c r="B1645" s="1831">
        <f>'Acct Summary 7-8'!E79</f>
        <v>722119</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1144326</v>
      </c>
      <c r="C1658" s="2" t="s">
        <v>568</v>
      </c>
      <c r="D1658" s="2" t="str">
        <f t="shared" si="24"/>
        <v>Error?</v>
      </c>
    </row>
    <row r="1659" spans="1:4" x14ac:dyDescent="0.2">
      <c r="A1659" s="5">
        <v>1598</v>
      </c>
      <c r="B1659" s="1831">
        <f>'Acct Summary 7-8'!F79</f>
        <v>340490</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433129</v>
      </c>
      <c r="C1672" s="2" t="s">
        <v>568</v>
      </c>
      <c r="D1672" s="2" t="str">
        <f t="shared" si="25"/>
        <v>Error?</v>
      </c>
    </row>
    <row r="1673" spans="1:4" x14ac:dyDescent="0.2">
      <c r="A1673" s="5">
        <v>1612</v>
      </c>
      <c r="B1673" s="1831">
        <f>'Acct Summary 7-8'!G79</f>
        <v>231873</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206354</v>
      </c>
      <c r="C1686" s="2" t="s">
        <v>568</v>
      </c>
      <c r="D1686" s="2" t="str">
        <f t="shared" si="25"/>
        <v>Error?</v>
      </c>
    </row>
    <row r="1687" spans="1:4" x14ac:dyDescent="0.2">
      <c r="A1687" s="5">
        <v>1626</v>
      </c>
      <c r="B1687" s="1831">
        <f>'Acct Summary 7-8'!H79</f>
        <v>19482698</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3439</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14904405</v>
      </c>
      <c r="C1744" s="2" t="s">
        <v>568</v>
      </c>
      <c r="D1744" s="2" t="str">
        <f t="shared" si="26"/>
        <v>Error?</v>
      </c>
    </row>
    <row r="1745" spans="1:5" x14ac:dyDescent="0.2">
      <c r="A1745" s="5">
        <v>1684</v>
      </c>
      <c r="B1745" s="1831">
        <f>'Tax Sched 23'!B5</f>
        <v>1605382</v>
      </c>
      <c r="C1745" s="2" t="s">
        <v>568</v>
      </c>
      <c r="D1745" s="2" t="str">
        <f t="shared" si="26"/>
        <v>Error?</v>
      </c>
    </row>
    <row r="1746" spans="1:5" x14ac:dyDescent="0.2">
      <c r="A1746" s="5">
        <v>1685</v>
      </c>
      <c r="B1746" s="1831">
        <f>'Tax Sched 23'!B6</f>
        <v>2920283</v>
      </c>
      <c r="C1746" s="2" t="s">
        <v>568</v>
      </c>
      <c r="D1746" s="2" t="str">
        <f t="shared" si="26"/>
        <v>Error?</v>
      </c>
    </row>
    <row r="1747" spans="1:5" x14ac:dyDescent="0.2">
      <c r="A1747" s="5">
        <v>1686</v>
      </c>
      <c r="B1747" s="1831">
        <f>'Tax Sched 23'!B7</f>
        <v>313634</v>
      </c>
      <c r="C1747" s="2" t="s">
        <v>568</v>
      </c>
      <c r="D1747" s="2" t="str">
        <f t="shared" si="26"/>
        <v>Error?</v>
      </c>
    </row>
    <row r="1748" spans="1:5" x14ac:dyDescent="0.2">
      <c r="A1748" s="5">
        <v>1687</v>
      </c>
      <c r="B1748" s="1831">
        <f>'Tax Sched 23'!B8</f>
        <v>192467</v>
      </c>
      <c r="C1748" s="2" t="s">
        <v>568</v>
      </c>
      <c r="D1748" s="2" t="str">
        <f t="shared" si="26"/>
        <v>Error?</v>
      </c>
    </row>
    <row r="1749" spans="1:5" x14ac:dyDescent="0.2">
      <c r="A1749" s="5">
        <v>1688</v>
      </c>
      <c r="B1749" s="1831">
        <f>'Tax Sched 23'!B10</f>
        <v>64474</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0</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0</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20127711</v>
      </c>
      <c r="C1759" s="2" t="s">
        <v>568</v>
      </c>
      <c r="D1759" s="2" t="str">
        <f t="shared" si="26"/>
        <v>Error?</v>
      </c>
    </row>
    <row r="1760" spans="1:5" x14ac:dyDescent="0.2">
      <c r="A1760" s="5">
        <v>1699</v>
      </c>
      <c r="B1760" s="1831">
        <f>'Tax Sched 23'!D4</f>
        <v>7178476</v>
      </c>
      <c r="C1760" s="2" t="s">
        <v>568</v>
      </c>
      <c r="D1760" s="2" t="str">
        <f t="shared" si="26"/>
        <v>Error?</v>
      </c>
    </row>
    <row r="1761" spans="1:7" x14ac:dyDescent="0.2">
      <c r="A1761" s="5">
        <v>1700</v>
      </c>
      <c r="B1761" s="1831">
        <f>'Tax Sched 23'!D5</f>
        <v>771713</v>
      </c>
      <c r="C1761" s="2" t="s">
        <v>568</v>
      </c>
      <c r="D1761" s="2" t="str">
        <f t="shared" si="26"/>
        <v>Error?</v>
      </c>
    </row>
    <row r="1762" spans="1:7" s="8" customFormat="1" x14ac:dyDescent="0.2">
      <c r="A1762" s="5">
        <v>1701</v>
      </c>
      <c r="B1762" s="1831">
        <f>'Tax Sched 23'!D6</f>
        <v>1426126</v>
      </c>
      <c r="C1762" s="2" t="s">
        <v>568</v>
      </c>
      <c r="D1762" s="2" t="str">
        <f t="shared" si="26"/>
        <v>Error?</v>
      </c>
      <c r="E1762" s="9"/>
      <c r="G1762"/>
    </row>
    <row r="1763" spans="1:7" x14ac:dyDescent="0.2">
      <c r="A1763" s="5">
        <v>1702</v>
      </c>
      <c r="B1763" s="1831">
        <f>'Tax Sched 23'!D7</f>
        <v>146626</v>
      </c>
      <c r="C1763" s="2" t="s">
        <v>568</v>
      </c>
      <c r="D1763" s="2" t="str">
        <f t="shared" si="26"/>
        <v>Error?</v>
      </c>
    </row>
    <row r="1764" spans="1:7" x14ac:dyDescent="0.2">
      <c r="A1764" s="5">
        <v>1703</v>
      </c>
      <c r="B1764" s="1831">
        <f>'Tax Sched 23'!D8</f>
        <v>91988</v>
      </c>
      <c r="C1764" s="2" t="s">
        <v>568</v>
      </c>
      <c r="D1764" s="2" t="str">
        <f t="shared" si="26"/>
        <v>Error?</v>
      </c>
    </row>
    <row r="1765" spans="1:7" x14ac:dyDescent="0.2">
      <c r="A1765" s="5">
        <v>1704</v>
      </c>
      <c r="B1765" s="1831">
        <f>'Tax Sched 23'!D10</f>
        <v>30867</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0</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0</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9705990</v>
      </c>
      <c r="C1775" s="2" t="s">
        <v>568</v>
      </c>
      <c r="D1775" s="2" t="str">
        <f t="shared" si="26"/>
        <v>Error?</v>
      </c>
    </row>
    <row r="1776" spans="1:7" x14ac:dyDescent="0.2">
      <c r="A1776" s="5">
        <v>1715</v>
      </c>
      <c r="B1776" s="1831">
        <f>'Tax Sched 23'!C4</f>
        <v>7725929</v>
      </c>
      <c r="D1776" s="2" t="str">
        <f t="shared" si="26"/>
        <v>Error?</v>
      </c>
    </row>
    <row r="1777" spans="1:4" x14ac:dyDescent="0.2">
      <c r="A1777" s="5">
        <v>1716</v>
      </c>
      <c r="B1777" s="1831">
        <f>'Tax Sched 23'!C5</f>
        <v>833669</v>
      </c>
      <c r="D1777" s="2" t="str">
        <f t="shared" si="26"/>
        <v>Error?</v>
      </c>
    </row>
    <row r="1778" spans="1:4" x14ac:dyDescent="0.2">
      <c r="A1778" s="5">
        <v>1717</v>
      </c>
      <c r="B1778" s="1831">
        <f>'Tax Sched 23'!C6</f>
        <v>1494157</v>
      </c>
      <c r="D1778" s="2" t="str">
        <f t="shared" si="26"/>
        <v>Error?</v>
      </c>
    </row>
    <row r="1779" spans="1:4" x14ac:dyDescent="0.2">
      <c r="A1779" s="5">
        <v>1718</v>
      </c>
      <c r="B1779" s="1831">
        <f>'Tax Sched 23'!C7</f>
        <v>167008</v>
      </c>
      <c r="D1779" s="2" t="str">
        <f t="shared" si="26"/>
        <v>Error?</v>
      </c>
    </row>
    <row r="1780" spans="1:4" x14ac:dyDescent="0.2">
      <c r="A1780" s="5">
        <v>1719</v>
      </c>
      <c r="B1780" s="1831">
        <f>'Tax Sched 23'!C8</f>
        <v>100479</v>
      </c>
      <c r="D1780" s="2" t="str">
        <f t="shared" si="26"/>
        <v>Error?</v>
      </c>
    </row>
    <row r="1781" spans="1:4" x14ac:dyDescent="0.2">
      <c r="A1781" s="5">
        <v>1720</v>
      </c>
      <c r="B1781" s="1831">
        <f>'Tax Sched 23'!C10</f>
        <v>33607</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10421721</v>
      </c>
      <c r="C1791" s="2" t="s">
        <v>568</v>
      </c>
      <c r="D1791" s="2" t="str">
        <f t="shared" ref="D1791:D1854" si="27">IF(ISBLANK(B1791),"OK",IF(A1791-B1791=0,"OK","Error?"))</f>
        <v>Error?</v>
      </c>
    </row>
    <row r="1792" spans="1:4" x14ac:dyDescent="0.2">
      <c r="A1792" s="5">
        <v>1731</v>
      </c>
      <c r="B1792" s="1831">
        <f>'Tax Sched 23'!F4</f>
        <v>7403290</v>
      </c>
      <c r="C1792" s="2" t="s">
        <v>568</v>
      </c>
      <c r="D1792" s="2" t="str">
        <f t="shared" si="27"/>
        <v>Error?</v>
      </c>
    </row>
    <row r="1793" spans="1:4" x14ac:dyDescent="0.2">
      <c r="A1793" s="5">
        <v>1732</v>
      </c>
      <c r="B1793" s="1831">
        <f>'Tax Sched 23'!F5</f>
        <v>798855</v>
      </c>
      <c r="C1793" s="2" t="s">
        <v>568</v>
      </c>
      <c r="D1793" s="2" t="str">
        <f t="shared" si="27"/>
        <v>Error?</v>
      </c>
    </row>
    <row r="1794" spans="1:4" x14ac:dyDescent="0.2">
      <c r="A1794" s="5">
        <v>1733</v>
      </c>
      <c r="B1794" s="1831">
        <f>'Tax Sched 23'!F6</f>
        <v>1431761</v>
      </c>
      <c r="C1794" s="2" t="s">
        <v>568</v>
      </c>
      <c r="D1794" s="2" t="str">
        <f t="shared" si="27"/>
        <v>Error?</v>
      </c>
    </row>
    <row r="1795" spans="1:4" x14ac:dyDescent="0.2">
      <c r="A1795" s="5">
        <v>1734</v>
      </c>
      <c r="B1795" s="1831">
        <f>'Tax Sched 23'!F7</f>
        <v>160034</v>
      </c>
      <c r="C1795" s="2" t="s">
        <v>568</v>
      </c>
      <c r="D1795" s="2" t="str">
        <f t="shared" si="27"/>
        <v>Error?</v>
      </c>
    </row>
    <row r="1796" spans="1:4" x14ac:dyDescent="0.2">
      <c r="A1796" s="5">
        <v>1735</v>
      </c>
      <c r="B1796" s="1831">
        <f>'Tax Sched 23'!F8</f>
        <v>96283</v>
      </c>
      <c r="C1796" s="2" t="s">
        <v>568</v>
      </c>
      <c r="D1796" s="2" t="str">
        <f t="shared" si="27"/>
        <v>Error?</v>
      </c>
    </row>
    <row r="1797" spans="1:4" x14ac:dyDescent="0.2">
      <c r="A1797" s="5">
        <v>1736</v>
      </c>
      <c r="B1797" s="1831">
        <f>'Tax Sched 23'!F10</f>
        <v>32204</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0</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0</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9986506</v>
      </c>
      <c r="C1807" s="2" t="s">
        <v>568</v>
      </c>
      <c r="D1807" s="2" t="str">
        <f t="shared" si="27"/>
        <v>Error?</v>
      </c>
    </row>
    <row r="1808" spans="1:4" x14ac:dyDescent="0.2">
      <c r="A1808" s="5">
        <v>1747</v>
      </c>
      <c r="B1808" s="1831">
        <f>'Tax Sched 23'!E4</f>
        <v>15129219</v>
      </c>
      <c r="D1808" s="2" t="str">
        <f t="shared" si="27"/>
        <v>Error?</v>
      </c>
    </row>
    <row r="1809" spans="1:4" x14ac:dyDescent="0.2">
      <c r="A1809" s="5">
        <v>1748</v>
      </c>
      <c r="B1809" s="1831">
        <f>'Tax Sched 23'!E5</f>
        <v>1632524</v>
      </c>
      <c r="D1809" s="2" t="str">
        <f t="shared" si="27"/>
        <v>Error?</v>
      </c>
    </row>
    <row r="1810" spans="1:4" x14ac:dyDescent="0.2">
      <c r="A1810" s="5">
        <v>1749</v>
      </c>
      <c r="B1810" s="1831">
        <f>'Tax Sched 23'!E6</f>
        <v>2925918</v>
      </c>
      <c r="D1810" s="2" t="str">
        <f t="shared" si="27"/>
        <v>Error?</v>
      </c>
    </row>
    <row r="1811" spans="1:4" x14ac:dyDescent="0.2">
      <c r="A1811" s="5">
        <v>1750</v>
      </c>
      <c r="B1811" s="1831">
        <f>'Tax Sched 23'!E7</f>
        <v>327042</v>
      </c>
      <c r="D1811" s="2" t="str">
        <f t="shared" si="27"/>
        <v>Error?</v>
      </c>
    </row>
    <row r="1812" spans="1:4" x14ac:dyDescent="0.2">
      <c r="A1812" s="5">
        <v>1751</v>
      </c>
      <c r="B1812" s="1831">
        <f>'Tax Sched 23'!E8</f>
        <v>196762</v>
      </c>
      <c r="D1812" s="2" t="str">
        <f t="shared" si="27"/>
        <v>Error?</v>
      </c>
    </row>
    <row r="1813" spans="1:4" x14ac:dyDescent="0.2">
      <c r="A1813" s="5">
        <v>1752</v>
      </c>
      <c r="B1813" s="1831">
        <f>'Tax Sched 23'!E10</f>
        <v>65811</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0</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0</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20408227</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39402529</v>
      </c>
      <c r="C1939" s="2" t="s">
        <v>568</v>
      </c>
      <c r="D1939" s="2" t="str">
        <f t="shared" si="29"/>
        <v>Error?</v>
      </c>
    </row>
    <row r="1940" spans="1:5" x14ac:dyDescent="0.2">
      <c r="A1940" s="5">
        <v>1879</v>
      </c>
      <c r="B1940" s="1831">
        <f>'Short-Term Long-Term Debt 24'!F49</f>
        <v>431339</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64474</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64474</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64474</v>
      </c>
      <c r="D1955" s="2" t="str">
        <f t="shared" si="29"/>
        <v>Error?</v>
      </c>
    </row>
    <row r="1956" spans="1:5" x14ac:dyDescent="0.2">
      <c r="A1956" s="10">
        <v>1895</v>
      </c>
      <c r="B1956" s="1831"/>
      <c r="D1956" s="2" t="str">
        <f t="shared" si="29"/>
        <v>OK</v>
      </c>
    </row>
    <row r="1957" spans="1:5" x14ac:dyDescent="0.2">
      <c r="A1957" s="5">
        <v>1896</v>
      </c>
      <c r="B1957" s="1831">
        <f>'Rest Tax Levies-Tort Im 25'!G23</f>
        <v>64474</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0</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0</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0</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379992</v>
      </c>
      <c r="D2008" s="2" t="str">
        <f t="shared" si="30"/>
        <v>Error?</v>
      </c>
    </row>
    <row r="2009" spans="1:4" x14ac:dyDescent="0.2">
      <c r="A2009" s="5">
        <v>1948</v>
      </c>
      <c r="B2009" s="1831">
        <f>'Cap Outlay Deprec 26'!C8</f>
        <v>32958662</v>
      </c>
      <c r="D2009" s="2" t="str">
        <f t="shared" si="30"/>
        <v>Error?</v>
      </c>
    </row>
    <row r="2010" spans="1:4" x14ac:dyDescent="0.2">
      <c r="A2010" s="5">
        <v>1949</v>
      </c>
      <c r="B2010" s="1831">
        <f>'Cap Outlay Deprec 26'!C10</f>
        <v>1324928</v>
      </c>
      <c r="D2010" s="2" t="str">
        <f t="shared" si="30"/>
        <v>Error?</v>
      </c>
    </row>
    <row r="2011" spans="1:4" x14ac:dyDescent="0.2">
      <c r="A2011" s="5">
        <v>1950</v>
      </c>
      <c r="B2011" s="1831">
        <f>'Cap Outlay Deprec 26'!C12</f>
        <v>4190578</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45033205</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19815088</v>
      </c>
      <c r="D2015" s="2" t="str">
        <f t="shared" si="30"/>
        <v>Error?</v>
      </c>
    </row>
    <row r="2016" spans="1:4" x14ac:dyDescent="0.2">
      <c r="A2016" s="5">
        <v>1955</v>
      </c>
      <c r="B2016" s="1831">
        <f>'Cap Outlay Deprec 26'!D10</f>
        <v>0</v>
      </c>
      <c r="D2016" s="2" t="str">
        <f t="shared" si="30"/>
        <v>Error?</v>
      </c>
    </row>
    <row r="2017" spans="1:4" x14ac:dyDescent="0.2">
      <c r="A2017" s="5">
        <v>1956</v>
      </c>
      <c r="B2017" s="1831">
        <f>'Cap Outlay Deprec 26'!D12</f>
        <v>0</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19815088</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956056</v>
      </c>
      <c r="D2022" s="2" t="str">
        <f t="shared" si="30"/>
        <v>Error?</v>
      </c>
    </row>
    <row r="2023" spans="1:4" x14ac:dyDescent="0.2">
      <c r="A2023" s="5">
        <v>1962</v>
      </c>
      <c r="B2023" s="1831">
        <f>'Cap Outlay Deprec 26'!E12</f>
        <v>201363</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7336464</v>
      </c>
      <c r="C2025" s="2" t="s">
        <v>568</v>
      </c>
      <c r="D2025" s="2" t="str">
        <f t="shared" si="30"/>
        <v>Error?</v>
      </c>
    </row>
    <row r="2026" spans="1:4" x14ac:dyDescent="0.2">
      <c r="A2026" s="5">
        <v>1965</v>
      </c>
      <c r="B2026" s="1831">
        <f>'Cap Outlay Deprec 26'!F5</f>
        <v>379992</v>
      </c>
      <c r="C2026" s="2" t="s">
        <v>568</v>
      </c>
      <c r="D2026" s="2" t="str">
        <f t="shared" si="30"/>
        <v>Error?</v>
      </c>
    </row>
    <row r="2027" spans="1:4" x14ac:dyDescent="0.2">
      <c r="A2027" s="5">
        <v>1966</v>
      </c>
      <c r="B2027" s="1831">
        <f>'Cap Outlay Deprec 26'!F8</f>
        <v>52773750</v>
      </c>
      <c r="C2027" s="2" t="s">
        <v>568</v>
      </c>
      <c r="D2027" s="2" t="str">
        <f t="shared" si="30"/>
        <v>Error?</v>
      </c>
    </row>
    <row r="2028" spans="1:4" x14ac:dyDescent="0.2">
      <c r="A2028" s="5">
        <v>1967</v>
      </c>
      <c r="B2028" s="1831">
        <f>'Cap Outlay Deprec 26'!F10</f>
        <v>368872</v>
      </c>
      <c r="C2028" s="2" t="s">
        <v>568</v>
      </c>
      <c r="D2028" s="2" t="str">
        <f t="shared" si="30"/>
        <v>Error?</v>
      </c>
    </row>
    <row r="2029" spans="1:4" x14ac:dyDescent="0.2">
      <c r="A2029" s="5">
        <v>1968</v>
      </c>
      <c r="B2029" s="1831">
        <f>'Cap Outlay Deprec 26'!F12</f>
        <v>3989215</v>
      </c>
      <c r="C2029" s="2" t="s">
        <v>568</v>
      </c>
      <c r="D2029" s="2" t="str">
        <f t="shared" si="30"/>
        <v>Error?</v>
      </c>
    </row>
    <row r="2030" spans="1:4" x14ac:dyDescent="0.2">
      <c r="A2030" s="5">
        <v>1969</v>
      </c>
      <c r="B2030" s="1831">
        <f>'Cap Outlay Deprec 26'!F13</f>
        <v>0</v>
      </c>
      <c r="C2030" s="2" t="s">
        <v>568</v>
      </c>
      <c r="D2030" s="2" t="str">
        <f t="shared" si="30"/>
        <v>Error?</v>
      </c>
    </row>
    <row r="2031" spans="1:4" x14ac:dyDescent="0.2">
      <c r="A2031" s="5">
        <v>1970</v>
      </c>
      <c r="B2031" s="1831">
        <f>'Cap Outlay Deprec 26'!F16</f>
        <v>57511829</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15749329</v>
      </c>
      <c r="D2033" s="2" t="str">
        <f t="shared" si="30"/>
        <v>Error?</v>
      </c>
    </row>
    <row r="2034" spans="1:4" x14ac:dyDescent="0.2">
      <c r="A2034" s="5">
        <v>1973</v>
      </c>
      <c r="B2034" s="1831">
        <f>'Cap Outlay Deprec 26'!H10</f>
        <v>819183</v>
      </c>
      <c r="D2034" s="2" t="str">
        <f t="shared" si="30"/>
        <v>Error?</v>
      </c>
    </row>
    <row r="2035" spans="1:4" x14ac:dyDescent="0.2">
      <c r="A2035" s="5">
        <v>1974</v>
      </c>
      <c r="B2035" s="1831">
        <f>'Cap Outlay Deprec 26'!H12</f>
        <v>3164372</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19732884</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1241759</v>
      </c>
      <c r="D2039" s="2" t="str">
        <f t="shared" si="30"/>
        <v>Error?</v>
      </c>
    </row>
    <row r="2040" spans="1:4" x14ac:dyDescent="0.2">
      <c r="A2040" s="5">
        <v>1979</v>
      </c>
      <c r="B2040" s="1831">
        <f>'Cap Outlay Deprec 26'!I10</f>
        <v>8009</v>
      </c>
      <c r="D2040" s="2" t="str">
        <f t="shared" si="30"/>
        <v>Error?</v>
      </c>
    </row>
    <row r="2041" spans="1:4" x14ac:dyDescent="0.2">
      <c r="A2041" s="5">
        <v>1980</v>
      </c>
      <c r="B2041" s="1831">
        <f>'Cap Outlay Deprec 26'!I12</f>
        <v>227749</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1477517</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2169929</v>
      </c>
      <c r="D2045" s="2" t="str">
        <f t="shared" si="30"/>
        <v>Error?</v>
      </c>
    </row>
    <row r="2046" spans="1:4" x14ac:dyDescent="0.2">
      <c r="A2046" s="5">
        <v>1985</v>
      </c>
      <c r="B2046" s="1831">
        <f>'Cap Outlay Deprec 26'!J10</f>
        <v>484030</v>
      </c>
      <c r="D2046" s="2" t="str">
        <f t="shared" si="30"/>
        <v>Error?</v>
      </c>
    </row>
    <row r="2047" spans="1:4" x14ac:dyDescent="0.2">
      <c r="A2047" s="5">
        <v>1986</v>
      </c>
      <c r="B2047" s="1831">
        <f>'Cap Outlay Deprec 26'!J12</f>
        <v>-72228</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2581731</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14821159</v>
      </c>
      <c r="C2051" s="2" t="s">
        <v>568</v>
      </c>
      <c r="D2051" s="2" t="str">
        <f t="shared" si="31"/>
        <v>Error?</v>
      </c>
    </row>
    <row r="2052" spans="1:4" x14ac:dyDescent="0.2">
      <c r="A2052" s="5">
        <v>1991</v>
      </c>
      <c r="B2052" s="1831">
        <f>'Cap Outlay Deprec 26'!K10</f>
        <v>343162</v>
      </c>
      <c r="C2052" s="2" t="s">
        <v>568</v>
      </c>
      <c r="D2052" s="2" t="str">
        <f t="shared" si="31"/>
        <v>Error?</v>
      </c>
    </row>
    <row r="2053" spans="1:4" x14ac:dyDescent="0.2">
      <c r="A2053" s="5">
        <v>1992</v>
      </c>
      <c r="B2053" s="1831">
        <f>'Cap Outlay Deprec 26'!K12</f>
        <v>3464349</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18628670</v>
      </c>
      <c r="C2055" s="2" t="s">
        <v>568</v>
      </c>
      <c r="D2055" s="2" t="str">
        <f t="shared" si="31"/>
        <v>Error?</v>
      </c>
    </row>
    <row r="2056" spans="1:4" x14ac:dyDescent="0.2">
      <c r="A2056" s="5">
        <v>1995</v>
      </c>
      <c r="B2056" s="1831">
        <f>'Cap Outlay Deprec 26'!L5</f>
        <v>379992</v>
      </c>
      <c r="C2056" s="2" t="s">
        <v>568</v>
      </c>
      <c r="D2056" s="2" t="str">
        <f t="shared" si="31"/>
        <v>Error?</v>
      </c>
    </row>
    <row r="2057" spans="1:4" x14ac:dyDescent="0.2">
      <c r="A2057" s="5">
        <v>1996</v>
      </c>
      <c r="B2057" s="1831">
        <f>'Cap Outlay Deprec 26'!L8</f>
        <v>37952591</v>
      </c>
      <c r="C2057" s="2" t="s">
        <v>568</v>
      </c>
      <c r="D2057" s="2" t="str">
        <f t="shared" si="31"/>
        <v>Error?</v>
      </c>
    </row>
    <row r="2058" spans="1:4" x14ac:dyDescent="0.2">
      <c r="A2058" s="5">
        <v>1997</v>
      </c>
      <c r="B2058" s="1831">
        <f>'Cap Outlay Deprec 26'!L10</f>
        <v>25710</v>
      </c>
      <c r="C2058" s="2" t="s">
        <v>568</v>
      </c>
      <c r="D2058" s="2" t="str">
        <f t="shared" si="31"/>
        <v>Error?</v>
      </c>
    </row>
    <row r="2059" spans="1:4" x14ac:dyDescent="0.2">
      <c r="A2059" s="5">
        <v>1998</v>
      </c>
      <c r="B2059" s="1831">
        <f>'Cap Outlay Deprec 26'!L12</f>
        <v>524866</v>
      </c>
      <c r="C2059" s="2" t="s">
        <v>568</v>
      </c>
      <c r="D2059" s="2" t="str">
        <f t="shared" si="31"/>
        <v>Error?</v>
      </c>
    </row>
    <row r="2060" spans="1:4" x14ac:dyDescent="0.2">
      <c r="A2060" s="5">
        <v>1999</v>
      </c>
      <c r="B2060" s="1831">
        <f>'Cap Outlay Deprec 26'!L13</f>
        <v>0</v>
      </c>
      <c r="C2060" s="2" t="s">
        <v>568</v>
      </c>
      <c r="D2060" s="2" t="str">
        <f t="shared" si="31"/>
        <v>Error?</v>
      </c>
    </row>
    <row r="2061" spans="1:4" x14ac:dyDescent="0.2">
      <c r="A2061" s="5">
        <v>2000</v>
      </c>
      <c r="B2061" s="1831">
        <f>'Cap Outlay Deprec 26'!L16</f>
        <v>38883159</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956916</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1571952</v>
      </c>
      <c r="C2088" s="2" t="s">
        <v>568</v>
      </c>
      <c r="D2088" s="2" t="str">
        <f t="shared" si="31"/>
        <v>Error?</v>
      </c>
    </row>
    <row r="2089" spans="1:4" x14ac:dyDescent="0.2">
      <c r="A2089" s="5">
        <v>2028</v>
      </c>
      <c r="B2089" s="1831">
        <f>'Expenditures 15-22'!K92</f>
        <v>150595</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275000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15604348</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1458330</v>
      </c>
      <c r="C2553" s="2" t="s">
        <v>568</v>
      </c>
      <c r="D2553" s="2" t="str">
        <f t="shared" si="38"/>
        <v>Error?</v>
      </c>
    </row>
    <row r="2554" spans="1:4" x14ac:dyDescent="0.2">
      <c r="A2554" s="5">
        <v>2493</v>
      </c>
      <c r="B2554" s="1831">
        <f>'Acct Summary 7-8'!C7</f>
        <v>1059868</v>
      </c>
      <c r="C2554" s="2" t="s">
        <v>568</v>
      </c>
      <c r="D2554" s="2" t="str">
        <f t="shared" si="38"/>
        <v>Error?</v>
      </c>
    </row>
    <row r="2555" spans="1:4" x14ac:dyDescent="0.2">
      <c r="A2555" s="5">
        <v>2494</v>
      </c>
      <c r="B2555" s="1831">
        <f>'Acct Summary 7-8'!C8</f>
        <v>18122546</v>
      </c>
      <c r="C2555" s="2" t="s">
        <v>568</v>
      </c>
      <c r="D2555" s="2" t="str">
        <f t="shared" si="38"/>
        <v>Error?</v>
      </c>
    </row>
    <row r="2556" spans="1:4" x14ac:dyDescent="0.2">
      <c r="A2556" s="5">
        <v>2495</v>
      </c>
      <c r="B2556" s="1831">
        <f>'Acct Summary 7-8'!C12</f>
        <v>12440390</v>
      </c>
      <c r="C2556" s="2" t="s">
        <v>568</v>
      </c>
      <c r="D2556" s="2" t="str">
        <f t="shared" si="38"/>
        <v>Error?</v>
      </c>
    </row>
    <row r="2557" spans="1:4" x14ac:dyDescent="0.2">
      <c r="A2557" s="5">
        <v>2496</v>
      </c>
      <c r="B2557" s="1831">
        <f>'Acct Summary 7-8'!C13</f>
        <v>5705750</v>
      </c>
      <c r="C2557" s="2" t="s">
        <v>568</v>
      </c>
      <c r="D2557" s="2" t="str">
        <f t="shared" si="38"/>
        <v>Error?</v>
      </c>
    </row>
    <row r="2558" spans="1:4" x14ac:dyDescent="0.2">
      <c r="A2558" s="5">
        <v>2497</v>
      </c>
      <c r="B2558" s="1831">
        <f>'Acct Summary 7-8'!C14</f>
        <v>14941</v>
      </c>
      <c r="C2558" s="2" t="s">
        <v>568</v>
      </c>
      <c r="D2558" s="2" t="str">
        <f t="shared" si="38"/>
        <v>Error?</v>
      </c>
    </row>
    <row r="2559" spans="1:4" x14ac:dyDescent="0.2">
      <c r="A2559" s="5">
        <v>2498</v>
      </c>
      <c r="B2559" s="1831">
        <f>'Acct Summary 7-8'!C15</f>
        <v>1722547</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19883628</v>
      </c>
      <c r="C2561" s="2" t="s">
        <v>568</v>
      </c>
      <c r="D2561" s="2" t="str">
        <f t="shared" si="39"/>
        <v>Error?</v>
      </c>
    </row>
    <row r="2562" spans="1:4" x14ac:dyDescent="0.2">
      <c r="A2562" s="5">
        <v>2501</v>
      </c>
      <c r="B2562" s="1831">
        <f>'Acct Summary 7-8'!C20</f>
        <v>-1761082</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1693726</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50000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1743726</v>
      </c>
      <c r="C2568" s="2" t="s">
        <v>568</v>
      </c>
      <c r="D2568" s="2" t="str">
        <f t="shared" si="39"/>
        <v>Error?</v>
      </c>
    </row>
    <row r="2569" spans="1:4" x14ac:dyDescent="0.2">
      <c r="A2569" s="5">
        <v>2508</v>
      </c>
      <c r="B2569" s="1831">
        <f>'Acct Summary 7-8'!D13</f>
        <v>1695568</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1695568</v>
      </c>
      <c r="C2573" s="2" t="s">
        <v>568</v>
      </c>
      <c r="D2573" s="2" t="str">
        <f t="shared" si="39"/>
        <v>Error?</v>
      </c>
    </row>
    <row r="2574" spans="1:4" x14ac:dyDescent="0.2">
      <c r="A2574" s="5">
        <v>2513</v>
      </c>
      <c r="B2574" s="1831">
        <f>'Acct Summary 7-8'!D20</f>
        <v>48158</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492302</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366762</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859064</v>
      </c>
      <c r="C2595" s="2" t="s">
        <v>568</v>
      </c>
      <c r="D2595" s="2" t="str">
        <f t="shared" si="39"/>
        <v>Error?</v>
      </c>
    </row>
    <row r="2596" spans="1:4" x14ac:dyDescent="0.2">
      <c r="A2596" s="5">
        <v>2535</v>
      </c>
      <c r="B2596" s="1831">
        <f>'Acct Summary 7-8'!F13</f>
        <v>663159</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103266</v>
      </c>
      <c r="C2599" s="2" t="s">
        <v>568</v>
      </c>
      <c r="D2599" s="2" t="str">
        <f t="shared" si="39"/>
        <v>Error?</v>
      </c>
    </row>
    <row r="2600" spans="1:4" x14ac:dyDescent="0.2">
      <c r="A2600" s="5">
        <v>2539</v>
      </c>
      <c r="B2600" s="1831">
        <f>'Acct Summary 7-8'!F17</f>
        <v>766425</v>
      </c>
      <c r="C2600" s="2" t="s">
        <v>568</v>
      </c>
      <c r="D2600" s="2" t="str">
        <f t="shared" si="39"/>
        <v>Error?</v>
      </c>
    </row>
    <row r="2601" spans="1:4" x14ac:dyDescent="0.2">
      <c r="A2601" s="5">
        <v>2540</v>
      </c>
      <c r="B2601" s="1831">
        <f>'Acct Summary 7-8'!F20</f>
        <v>92639</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332429</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332429</v>
      </c>
      <c r="C2606" s="2" t="s">
        <v>568</v>
      </c>
      <c r="D2606" s="2" t="str">
        <f t="shared" si="39"/>
        <v>Error?</v>
      </c>
    </row>
    <row r="2607" spans="1:4" x14ac:dyDescent="0.2">
      <c r="A2607" s="5">
        <v>2546</v>
      </c>
      <c r="B2607" s="1831">
        <f>'Acct Summary 7-8'!G12</f>
        <v>92946</v>
      </c>
      <c r="C2607" s="2" t="s">
        <v>568</v>
      </c>
      <c r="D2607" s="2" t="str">
        <f t="shared" si="39"/>
        <v>Error?</v>
      </c>
    </row>
    <row r="2608" spans="1:4" x14ac:dyDescent="0.2">
      <c r="A2608" s="5">
        <v>2547</v>
      </c>
      <c r="B2608" s="1831">
        <f>'Acct Summary 7-8'!G13</f>
        <v>265002</v>
      </c>
      <c r="C2608" s="2" t="s">
        <v>568</v>
      </c>
      <c r="D2608" s="2" t="str">
        <f t="shared" si="39"/>
        <v>Error?</v>
      </c>
    </row>
    <row r="2609" spans="1:4" x14ac:dyDescent="0.2">
      <c r="A2609" s="5">
        <v>2548</v>
      </c>
      <c r="B2609" s="1831">
        <f>'Acct Summary 7-8'!G14</f>
        <v>0</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357948</v>
      </c>
      <c r="C2612" s="2" t="s">
        <v>568</v>
      </c>
      <c r="D2612" s="2" t="str">
        <f t="shared" si="39"/>
        <v>Error?</v>
      </c>
    </row>
    <row r="2613" spans="1:4" x14ac:dyDescent="0.2">
      <c r="A2613" s="5">
        <v>2552</v>
      </c>
      <c r="B2613" s="1831">
        <f>'Acct Summary 7-8'!G20</f>
        <v>-25519</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2950885</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2950885</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2906753</v>
      </c>
      <c r="C2634" s="2" t="s">
        <v>568</v>
      </c>
      <c r="D2634" s="2" t="str">
        <f t="shared" si="40"/>
        <v>Error?</v>
      </c>
    </row>
    <row r="2635" spans="1:4" x14ac:dyDescent="0.2">
      <c r="A2635" s="5">
        <v>2574</v>
      </c>
      <c r="B2635" s="1831">
        <f>'Acct Summary 7-8'!E17</f>
        <v>2906753</v>
      </c>
      <c r="C2635" s="2" t="s">
        <v>568</v>
      </c>
      <c r="D2635" s="2" t="str">
        <f t="shared" si="40"/>
        <v>Error?</v>
      </c>
    </row>
    <row r="2636" spans="1:4" x14ac:dyDescent="0.2">
      <c r="A2636" s="5">
        <v>2575</v>
      </c>
      <c r="B2636" s="1831">
        <f>'Acct Summary 7-8'!E20</f>
        <v>44132</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242655</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242655</v>
      </c>
      <c r="C2658" s="2" t="s">
        <v>568</v>
      </c>
      <c r="D2658" s="2" t="str">
        <f t="shared" si="40"/>
        <v>Error?</v>
      </c>
    </row>
    <row r="2659" spans="1:4" x14ac:dyDescent="0.2">
      <c r="A2659" s="5">
        <v>2598</v>
      </c>
      <c r="B2659" s="1831">
        <f>'Acct Summary 7-8'!H13</f>
        <v>20246914</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20246914</v>
      </c>
      <c r="C2661" s="2" t="s">
        <v>568</v>
      </c>
      <c r="D2661" s="2" t="str">
        <f t="shared" si="40"/>
        <v>Error?</v>
      </c>
    </row>
    <row r="2662" spans="1:4" x14ac:dyDescent="0.2">
      <c r="A2662" s="5">
        <v>2601</v>
      </c>
      <c r="B2662" s="1831">
        <f>'Acct Summary 7-8'!H20</f>
        <v>-20004259</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105615</v>
      </c>
      <c r="D2718" s="2" t="str">
        <f t="shared" si="41"/>
        <v>Error?</v>
      </c>
    </row>
    <row r="2719" spans="1:4" x14ac:dyDescent="0.2">
      <c r="A2719" s="5">
        <v>2658</v>
      </c>
      <c r="B2719" s="1831">
        <f>'Expenditures 15-22'!D51</f>
        <v>28586</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134201</v>
      </c>
      <c r="C2724" s="2" t="s">
        <v>568</v>
      </c>
      <c r="D2724" s="2" t="str">
        <f t="shared" si="41"/>
        <v>Error?</v>
      </c>
    </row>
    <row r="2725" spans="1:4" x14ac:dyDescent="0.2">
      <c r="A2725" s="5">
        <v>2664</v>
      </c>
      <c r="B2725" s="1831">
        <f>'Expenditures 15-22'!D247</f>
        <v>5446</v>
      </c>
      <c r="D2725" s="2" t="str">
        <f t="shared" si="41"/>
        <v>Error?</v>
      </c>
    </row>
    <row r="2726" spans="1:4" x14ac:dyDescent="0.2">
      <c r="A2726" s="5">
        <v>2665</v>
      </c>
      <c r="B2726" s="1831">
        <f>'Expenditures 15-22'!K247</f>
        <v>5446</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1996</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615036</v>
      </c>
      <c r="C2789" s="2" t="s">
        <v>568</v>
      </c>
      <c r="D2789" s="2" t="str">
        <f t="shared" si="42"/>
        <v>Error?</v>
      </c>
    </row>
    <row r="2790" spans="1:4" x14ac:dyDescent="0.2">
      <c r="A2790" s="5">
        <v>2729</v>
      </c>
      <c r="B2790" s="1831">
        <f>'Expenditures 15-22'!E102</f>
        <v>615036</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32204</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2279253</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14432</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32204</v>
      </c>
      <c r="D2908" s="2" t="str">
        <f t="shared" si="44"/>
        <v>Error?</v>
      </c>
    </row>
    <row r="2909" spans="1:4" x14ac:dyDescent="0.2">
      <c r="A2909" s="10">
        <v>2848</v>
      </c>
      <c r="B2909" s="1831"/>
      <c r="D2909" s="2" t="str">
        <f t="shared" si="44"/>
        <v>OK</v>
      </c>
    </row>
    <row r="2910" spans="1:4" x14ac:dyDescent="0.2">
      <c r="A2910" s="5">
        <v>2849</v>
      </c>
      <c r="B2910" s="1831">
        <f>'Assets-Liab 5-6'!I34</f>
        <v>32204</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2247049</v>
      </c>
      <c r="D2912" s="2" t="str">
        <f t="shared" si="44"/>
        <v>Error?</v>
      </c>
    </row>
    <row r="2913" spans="1:4" x14ac:dyDescent="0.2">
      <c r="A2913" s="5">
        <v>2852</v>
      </c>
      <c r="B2913" s="1831">
        <f>'Assets-Liab 5-6'!I41</f>
        <v>2279253</v>
      </c>
      <c r="C2913" s="2" t="s">
        <v>568</v>
      </c>
      <c r="D2913" s="2" t="str">
        <f t="shared" si="44"/>
        <v>Error?</v>
      </c>
    </row>
    <row r="2914" spans="1:4" x14ac:dyDescent="0.2">
      <c r="A2914" s="5">
        <v>2853</v>
      </c>
      <c r="B2914" s="1831">
        <f>'Assets-Liab 5-6'!L33</f>
        <v>14432</v>
      </c>
      <c r="D2914" s="2" t="str">
        <f t="shared" si="44"/>
        <v>Error?</v>
      </c>
    </row>
    <row r="2915" spans="1:4" x14ac:dyDescent="0.2">
      <c r="A2915" s="10">
        <v>2854</v>
      </c>
      <c r="B2915" s="1831"/>
      <c r="D2915" s="2" t="str">
        <f t="shared" si="44"/>
        <v>OK</v>
      </c>
    </row>
    <row r="2916" spans="1:4" x14ac:dyDescent="0.2">
      <c r="A2916" s="5">
        <v>2855</v>
      </c>
      <c r="B2916" s="1831">
        <f>'Assets-Liab 5-6'!L34</f>
        <v>14432</v>
      </c>
      <c r="C2916" s="2" t="s">
        <v>568</v>
      </c>
      <c r="D2916" s="2" t="str">
        <f t="shared" si="44"/>
        <v>Error?</v>
      </c>
    </row>
    <row r="2917" spans="1:4" x14ac:dyDescent="0.2">
      <c r="A2917" s="5">
        <v>2856</v>
      </c>
      <c r="B2917" s="1831">
        <f>'Assets-Liab 5-6'!L41</f>
        <v>14432</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614736</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300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956916</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1571652</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300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1996</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175642</v>
      </c>
      <c r="D3055" s="2" t="str">
        <f t="shared" si="46"/>
        <v>Error?</v>
      </c>
    </row>
    <row r="3056" spans="1:4" x14ac:dyDescent="0.2">
      <c r="A3056" s="5">
        <v>2995</v>
      </c>
      <c r="B3056" s="1831">
        <f>'Expenditures 15-22'!D10</f>
        <v>38972</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214614</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110135</v>
      </c>
      <c r="C3225" s="2" t="s">
        <v>568</v>
      </c>
      <c r="D3225" s="2" t="str">
        <f t="shared" si="49"/>
        <v>Error?</v>
      </c>
    </row>
    <row r="3226" spans="1:4" x14ac:dyDescent="0.2">
      <c r="A3226" s="5">
        <v>3165</v>
      </c>
      <c r="B3226" s="1831">
        <f>'Acct Summary 7-8'!I8</f>
        <v>110135</v>
      </c>
      <c r="C3226" s="2" t="s">
        <v>568</v>
      </c>
      <c r="D3226" s="2" t="str">
        <f t="shared" si="49"/>
        <v>Error?</v>
      </c>
    </row>
    <row r="3227" spans="1:4" x14ac:dyDescent="0.2">
      <c r="A3227" s="5">
        <v>3166</v>
      </c>
      <c r="B3227" s="1831">
        <f>'Acct Summary 7-8'!I20</f>
        <v>110135</v>
      </c>
      <c r="C3227" s="2" t="s">
        <v>568</v>
      </c>
      <c r="D3227" s="2" t="str">
        <f t="shared" si="49"/>
        <v>Error?</v>
      </c>
    </row>
    <row r="3228" spans="1:4" x14ac:dyDescent="0.2">
      <c r="A3228" s="5">
        <v>3167</v>
      </c>
      <c r="B3228" s="1831">
        <f>'Acct Summary 7-8'!C43</f>
        <v>431339</v>
      </c>
      <c r="D3228" s="2" t="str">
        <f t="shared" si="49"/>
        <v>Error?</v>
      </c>
    </row>
    <row r="3229" spans="1:4" x14ac:dyDescent="0.2">
      <c r="A3229" s="5">
        <v>3168</v>
      </c>
      <c r="B3229" s="1831">
        <f>'Acct Summary 7-8'!C44</f>
        <v>431339</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378075</v>
      </c>
      <c r="C3231" s="2" t="s">
        <v>568</v>
      </c>
      <c r="D3231" s="2" t="str">
        <f t="shared" si="49"/>
        <v>Error?</v>
      </c>
    </row>
    <row r="3232" spans="1:4" x14ac:dyDescent="0.2">
      <c r="A3232" s="5">
        <v>3171</v>
      </c>
      <c r="B3232" s="1831">
        <f>'Acct Summary 7-8'!C77</f>
        <v>53264</v>
      </c>
      <c r="C3232" s="2" t="s">
        <v>568</v>
      </c>
      <c r="D3232" s="2" t="str">
        <f t="shared" si="49"/>
        <v>Error?</v>
      </c>
    </row>
    <row r="3233" spans="1:4" x14ac:dyDescent="0.2">
      <c r="A3233" s="5">
        <v>3172</v>
      </c>
      <c r="B3233" s="1831">
        <f>'Acct Summary 7-8'!C78</f>
        <v>-1707818</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275000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525000</v>
      </c>
      <c r="C3237" s="2" t="s">
        <v>568</v>
      </c>
      <c r="D3237" s="2" t="str">
        <f t="shared" si="49"/>
        <v>Error?</v>
      </c>
    </row>
    <row r="3238" spans="1:4" x14ac:dyDescent="0.2">
      <c r="A3238" s="5">
        <v>3177</v>
      </c>
      <c r="B3238" s="1831">
        <f>'Acct Summary 7-8'!D77</f>
        <v>-250000</v>
      </c>
      <c r="C3238" s="2" t="s">
        <v>568</v>
      </c>
      <c r="D3238" s="2" t="str">
        <f t="shared" si="49"/>
        <v>Error?</v>
      </c>
    </row>
    <row r="3239" spans="1:4" x14ac:dyDescent="0.2">
      <c r="A3239" s="5">
        <v>3178</v>
      </c>
      <c r="B3239" s="1831">
        <f>'Acct Summary 7-8'!D78</f>
        <v>-201842</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92639</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-25519</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378075</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378075</v>
      </c>
      <c r="C3277" s="2" t="s">
        <v>568</v>
      </c>
      <c r="D3277" s="2" t="str">
        <f t="shared" si="50"/>
        <v>Error?</v>
      </c>
    </row>
    <row r="3278" spans="1:4" x14ac:dyDescent="0.2">
      <c r="A3278" s="5">
        <v>3217</v>
      </c>
      <c r="B3278" s="1831">
        <f>'Acct Summary 7-8'!E78</f>
        <v>422207</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525000</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525000</v>
      </c>
      <c r="C3299" s="2" t="s">
        <v>568</v>
      </c>
      <c r="D3299" s="2" t="str">
        <f t="shared" si="50"/>
        <v>Error?</v>
      </c>
    </row>
    <row r="3300" spans="1:4" x14ac:dyDescent="0.2">
      <c r="A3300" s="5">
        <v>3239</v>
      </c>
      <c r="B3300" s="1831">
        <f>'Acct Summary 7-8'!H78</f>
        <v>-19479259</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275000</v>
      </c>
      <c r="C3318" s="2" t="s">
        <v>568</v>
      </c>
      <c r="D3318" s="2" t="str">
        <f t="shared" si="50"/>
        <v>Error?</v>
      </c>
    </row>
    <row r="3319" spans="1:4" x14ac:dyDescent="0.2">
      <c r="A3319" s="5">
        <v>3258</v>
      </c>
      <c r="B3319" s="1831">
        <f>'Acct Summary 7-8'!I77</f>
        <v>-275000</v>
      </c>
      <c r="C3319" s="2" t="s">
        <v>568</v>
      </c>
      <c r="D3319" s="2" t="str">
        <f t="shared" si="50"/>
        <v>Error?</v>
      </c>
    </row>
    <row r="3320" spans="1:4" x14ac:dyDescent="0.2">
      <c r="A3320" s="5">
        <v>3259</v>
      </c>
      <c r="B3320" s="1831">
        <f>'Acct Summary 7-8'!I78</f>
        <v>-164865</v>
      </c>
      <c r="C3320" s="2" t="s">
        <v>568</v>
      </c>
      <c r="D3320" s="2" t="str">
        <f t="shared" si="50"/>
        <v>Error?</v>
      </c>
    </row>
    <row r="3321" spans="1:4" x14ac:dyDescent="0.2">
      <c r="A3321" s="5">
        <v>3260</v>
      </c>
      <c r="B3321" s="1831">
        <f>'Acct Summary 7-8'!I79</f>
        <v>2411914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2247049</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1307046</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176195</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760</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24256</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1508257</v>
      </c>
      <c r="C3380" s="2" t="s">
        <v>568</v>
      </c>
      <c r="D3380" s="2" t="str">
        <f t="shared" si="51"/>
        <v>Error?</v>
      </c>
    </row>
    <row r="3381" spans="1:4" x14ac:dyDescent="0.2">
      <c r="A3381" s="5">
        <v>3320</v>
      </c>
      <c r="B3381" s="1831">
        <f>'Expenditures 15-22'!K19</f>
        <v>0</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5190</v>
      </c>
      <c r="D3387" s="2" t="str">
        <f t="shared" si="51"/>
        <v>Error?</v>
      </c>
    </row>
    <row r="3388" spans="1:4" x14ac:dyDescent="0.2">
      <c r="A3388" s="5">
        <v>3327</v>
      </c>
      <c r="B3388" s="1831">
        <f>'Expenditures 15-22'!D217</f>
        <v>72599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5190</v>
      </c>
      <c r="C3390" s="2" t="s">
        <v>568</v>
      </c>
      <c r="D3390" s="2" t="str">
        <f t="shared" si="51"/>
        <v>Error?</v>
      </c>
    </row>
    <row r="3391" spans="1:4" x14ac:dyDescent="0.2">
      <c r="A3391" s="5">
        <v>3330</v>
      </c>
      <c r="B3391" s="1831">
        <f>'Expenditures 15-22'!K217</f>
        <v>72599</v>
      </c>
      <c r="C3391" s="2" t="s">
        <v>568</v>
      </c>
      <c r="D3391" s="2" t="str">
        <f t="shared" ref="D3391:D3454" si="52">IF(ISBLANK(B3391),"OK",IF(A3391-B3391=0,"OK","Error?"))</f>
        <v>Error?</v>
      </c>
    </row>
    <row r="3392" spans="1:4" x14ac:dyDescent="0.2">
      <c r="A3392" s="5">
        <v>3331</v>
      </c>
      <c r="B3392" s="1831">
        <f>'Expenditures 15-22'!K228</f>
        <v>0</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8049270</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482459</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1144326</v>
      </c>
      <c r="D3417" s="2" t="str">
        <f t="shared" si="52"/>
        <v>Error?</v>
      </c>
    </row>
    <row r="3418" spans="1:4" x14ac:dyDescent="0.2">
      <c r="A3418" s="10">
        <v>3357</v>
      </c>
      <c r="B3418" s="1831"/>
      <c r="D3418" s="2" t="str">
        <f t="shared" si="52"/>
        <v>OK</v>
      </c>
    </row>
    <row r="3419" spans="1:4" x14ac:dyDescent="0.2">
      <c r="A3419" s="5">
        <v>3358</v>
      </c>
      <c r="B3419" s="1831">
        <f>'Assets-Liab 5-6'!F4</f>
        <v>430906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228788</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754654</v>
      </c>
      <c r="D3425" s="2" t="str">
        <f t="shared" si="52"/>
        <v>Error?</v>
      </c>
    </row>
    <row r="3426" spans="1:4" x14ac:dyDescent="0.2">
      <c r="A3426" s="10">
        <v>3365</v>
      </c>
      <c r="B3426" s="1831"/>
      <c r="D3426" s="2" t="str">
        <f t="shared" si="52"/>
        <v>OK</v>
      </c>
    </row>
    <row r="3427" spans="1:4" x14ac:dyDescent="0.2">
      <c r="A3427" s="5">
        <v>3366</v>
      </c>
      <c r="B3427" s="1831">
        <f>'Assets-Liab 5-6'!I4</f>
        <v>2247049</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14432</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127066</v>
      </c>
      <c r="C3446" s="2" t="s">
        <v>568</v>
      </c>
      <c r="D3446" s="2" t="str">
        <f t="shared" si="52"/>
        <v>Error?</v>
      </c>
    </row>
    <row r="3447" spans="1:4" x14ac:dyDescent="0.2">
      <c r="A3447" s="5">
        <v>3386</v>
      </c>
      <c r="B3447" s="1831">
        <f>'Tax Sched 23'!D16</f>
        <v>60194</v>
      </c>
      <c r="C3447" s="2" t="s">
        <v>568</v>
      </c>
      <c r="D3447" s="2" t="str">
        <f t="shared" si="52"/>
        <v>Error?</v>
      </c>
    </row>
    <row r="3448" spans="1:4" x14ac:dyDescent="0.2">
      <c r="A3448" s="5">
        <v>3387</v>
      </c>
      <c r="B3448" s="1831">
        <f>'Tax Sched 23'!C16</f>
        <v>66872</v>
      </c>
      <c r="D3448" s="2" t="str">
        <f t="shared" si="52"/>
        <v>Error?</v>
      </c>
    </row>
    <row r="3449" spans="1:4" x14ac:dyDescent="0.2">
      <c r="A3449" s="5">
        <v>3388</v>
      </c>
      <c r="B3449" s="1831">
        <f>'Tax Sched 23'!F16</f>
        <v>64079</v>
      </c>
      <c r="C3449" s="2" t="s">
        <v>568</v>
      </c>
      <c r="D3449" s="2" t="str">
        <f t="shared" si="52"/>
        <v>Error?</v>
      </c>
    </row>
    <row r="3450" spans="1:4" x14ac:dyDescent="0.2">
      <c r="A3450" s="5">
        <v>3389</v>
      </c>
      <c r="B3450" s="1831">
        <f>'Tax Sched 23'!E16</f>
        <v>130951</v>
      </c>
      <c r="D3450" s="2" t="str">
        <f t="shared" si="52"/>
        <v>Error?</v>
      </c>
    </row>
    <row r="3451" spans="1:4" x14ac:dyDescent="0.2">
      <c r="A3451" s="5">
        <v>3390</v>
      </c>
      <c r="B3451" s="1831">
        <f>'Cap Outlay Deprec 26'!C15</f>
        <v>6179045</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6179045</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1996</v>
      </c>
      <c r="E3521" s="4" t="s">
        <v>134</v>
      </c>
    </row>
    <row r="3522" spans="1:5" x14ac:dyDescent="0.2">
      <c r="A3522" s="10">
        <v>3461</v>
      </c>
      <c r="B3522" s="1831"/>
      <c r="D3522" s="4" t="s">
        <v>1996</v>
      </c>
      <c r="E3522" s="4" t="s">
        <v>134</v>
      </c>
    </row>
    <row r="3523" spans="1:5" x14ac:dyDescent="0.2">
      <c r="A3523" s="10">
        <v>3462</v>
      </c>
      <c r="B3523" s="1831"/>
      <c r="D3523" s="4" t="s">
        <v>1996</v>
      </c>
      <c r="E3523" s="4" t="s">
        <v>134</v>
      </c>
    </row>
    <row r="3524" spans="1:5" x14ac:dyDescent="0.2">
      <c r="A3524" s="10">
        <v>3463</v>
      </c>
      <c r="B3524" s="1831"/>
      <c r="D3524" s="4" t="s">
        <v>1996</v>
      </c>
      <c r="E3524" s="4" t="s">
        <v>134</v>
      </c>
    </row>
    <row r="3525" spans="1:5" x14ac:dyDescent="0.2">
      <c r="A3525" s="10">
        <v>3464</v>
      </c>
      <c r="B3525" s="1831"/>
      <c r="D3525" s="4" t="s">
        <v>1996</v>
      </c>
      <c r="E3525" s="4" t="s">
        <v>134</v>
      </c>
    </row>
    <row r="3526" spans="1:5" x14ac:dyDescent="0.2">
      <c r="A3526" s="10">
        <v>3465</v>
      </c>
      <c r="B3526" s="1831"/>
      <c r="D3526" s="4" t="s">
        <v>1996</v>
      </c>
      <c r="E3526" s="4" t="s">
        <v>134</v>
      </c>
    </row>
    <row r="3527" spans="1:5" x14ac:dyDescent="0.2">
      <c r="A3527" s="10">
        <v>3466</v>
      </c>
      <c r="B3527" s="1831"/>
      <c r="D3527" s="4" t="s">
        <v>1996</v>
      </c>
      <c r="E3527" s="4" t="s">
        <v>134</v>
      </c>
    </row>
    <row r="3528" spans="1:5" x14ac:dyDescent="0.2">
      <c r="A3528" s="10">
        <v>3467</v>
      </c>
      <c r="B3528" s="1831"/>
      <c r="D3528" s="4" t="s">
        <v>1996</v>
      </c>
      <c r="E3528" s="4" t="s">
        <v>134</v>
      </c>
    </row>
    <row r="3529" spans="1:5" x14ac:dyDescent="0.2">
      <c r="A3529" s="10">
        <v>3468</v>
      </c>
      <c r="B3529" s="1831"/>
      <c r="D3529" s="4" t="s">
        <v>1996</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139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139</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139</v>
      </c>
      <c r="D3567" s="2" t="str">
        <f t="shared" si="54"/>
        <v>Error?</v>
      </c>
    </row>
    <row r="3568" spans="1:4" x14ac:dyDescent="0.2">
      <c r="A3568" s="5">
        <v>3507</v>
      </c>
      <c r="B3568" s="1831">
        <f>'Assets-Liab 5-6'!K41</f>
        <v>139</v>
      </c>
      <c r="C3568" s="2" t="s">
        <v>568</v>
      </c>
      <c r="D3568" s="2" t="str">
        <f t="shared" si="54"/>
        <v>Error?</v>
      </c>
    </row>
    <row r="3569" spans="1:4" x14ac:dyDescent="0.2">
      <c r="A3569" s="5">
        <v>3508</v>
      </c>
      <c r="B3569" s="1831">
        <f>'Acct Summary 7-8'!K4</f>
        <v>2</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2</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2</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2</v>
      </c>
      <c r="C3588" s="2" t="s">
        <v>568</v>
      </c>
      <c r="D3588" s="2" t="str">
        <f t="shared" si="55"/>
        <v>Error?</v>
      </c>
    </row>
    <row r="3589" spans="1:4" x14ac:dyDescent="0.2">
      <c r="A3589" s="5">
        <v>3528</v>
      </c>
      <c r="B3589" s="1831">
        <f>'Acct Summary 7-8'!K79</f>
        <v>137</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139</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2</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0</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5259422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23381968</v>
      </c>
      <c r="C4122" s="2" t="s">
        <v>568</v>
      </c>
      <c r="D4122" s="2" t="str">
        <f t="shared" si="63"/>
        <v>Error?</v>
      </c>
    </row>
    <row r="4123" spans="1:4" x14ac:dyDescent="0.2">
      <c r="A4123" s="5">
        <v>4062</v>
      </c>
      <c r="B4123" s="1831">
        <f>'Acct Summary 7-8'!D10</f>
        <v>1743726</v>
      </c>
      <c r="C4123" s="2" t="s">
        <v>568</v>
      </c>
      <c r="D4123" s="2" t="str">
        <f t="shared" si="63"/>
        <v>Error?</v>
      </c>
    </row>
    <row r="4124" spans="1:4" x14ac:dyDescent="0.2">
      <c r="A4124" s="5">
        <v>4063</v>
      </c>
      <c r="B4124" s="1831">
        <f>'Acct Summary 7-8'!E10</f>
        <v>2950885</v>
      </c>
      <c r="C4124" s="2" t="s">
        <v>568</v>
      </c>
      <c r="D4124" s="2" t="str">
        <f t="shared" si="63"/>
        <v>Error?</v>
      </c>
    </row>
    <row r="4125" spans="1:4" x14ac:dyDescent="0.2">
      <c r="A4125" s="5">
        <v>4064</v>
      </c>
      <c r="B4125" s="1831">
        <f>'Acct Summary 7-8'!F10</f>
        <v>859064</v>
      </c>
      <c r="C4125" s="2" t="s">
        <v>568</v>
      </c>
      <c r="D4125" s="2" t="str">
        <f t="shared" si="63"/>
        <v>Error?</v>
      </c>
    </row>
    <row r="4126" spans="1:4" x14ac:dyDescent="0.2">
      <c r="A4126" s="5">
        <v>4065</v>
      </c>
      <c r="B4126" s="1831">
        <f>'Acct Summary 7-8'!G10</f>
        <v>332429</v>
      </c>
      <c r="C4126" s="2" t="s">
        <v>568</v>
      </c>
      <c r="D4126" s="2" t="str">
        <f t="shared" si="63"/>
        <v>Error?</v>
      </c>
    </row>
    <row r="4127" spans="1:4" x14ac:dyDescent="0.2">
      <c r="A4127" s="5">
        <v>4066</v>
      </c>
      <c r="B4127" s="1831">
        <f>'Acct Summary 7-8'!H10</f>
        <v>242655</v>
      </c>
      <c r="C4127" s="2" t="s">
        <v>568</v>
      </c>
      <c r="D4127" s="2" t="str">
        <f t="shared" si="63"/>
        <v>Error?</v>
      </c>
    </row>
    <row r="4128" spans="1:4" x14ac:dyDescent="0.2">
      <c r="A4128" s="5">
        <v>4067</v>
      </c>
      <c r="B4128" s="1831">
        <f>'Acct Summary 7-8'!I10</f>
        <v>110135</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2</v>
      </c>
      <c r="C4130" s="2" t="s">
        <v>568</v>
      </c>
      <c r="D4130" s="2" t="str">
        <f t="shared" si="63"/>
        <v>Error?</v>
      </c>
    </row>
    <row r="4131" spans="1:4" x14ac:dyDescent="0.2">
      <c r="A4131" s="5">
        <v>4070</v>
      </c>
      <c r="B4131" s="1831">
        <f>'Acct Summary 7-8'!C18</f>
        <v>5259422</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25143050</v>
      </c>
      <c r="C4136" s="2" t="s">
        <v>568</v>
      </c>
      <c r="D4136" s="2" t="str">
        <f t="shared" si="63"/>
        <v>Error?</v>
      </c>
    </row>
    <row r="4137" spans="1:4" x14ac:dyDescent="0.2">
      <c r="A4137" s="5">
        <v>4076</v>
      </c>
      <c r="B4137" s="1831">
        <f>'Acct Summary 7-8'!D19</f>
        <v>1695568</v>
      </c>
      <c r="C4137" s="2" t="s">
        <v>568</v>
      </c>
      <c r="D4137" s="2" t="str">
        <f t="shared" si="63"/>
        <v>Error?</v>
      </c>
    </row>
    <row r="4138" spans="1:4" x14ac:dyDescent="0.2">
      <c r="A4138" s="5">
        <v>4077</v>
      </c>
      <c r="B4138" s="1831">
        <f>'Acct Summary 7-8'!E19</f>
        <v>2906753</v>
      </c>
      <c r="C4138" s="2" t="s">
        <v>568</v>
      </c>
      <c r="D4138" s="2" t="str">
        <f t="shared" si="63"/>
        <v>Error?</v>
      </c>
    </row>
    <row r="4139" spans="1:4" x14ac:dyDescent="0.2">
      <c r="A4139" s="5">
        <v>4078</v>
      </c>
      <c r="B4139" s="1831">
        <f>'Acct Summary 7-8'!F19</f>
        <v>766425</v>
      </c>
      <c r="C4139" s="2" t="s">
        <v>568</v>
      </c>
      <c r="D4139" s="2" t="str">
        <f t="shared" si="63"/>
        <v>Error?</v>
      </c>
    </row>
    <row r="4140" spans="1:4" x14ac:dyDescent="0.2">
      <c r="A4140" s="5">
        <v>4079</v>
      </c>
      <c r="B4140" s="1831">
        <f>'Acct Summary 7-8'!G19</f>
        <v>357948</v>
      </c>
      <c r="C4140" s="2" t="s">
        <v>568</v>
      </c>
      <c r="D4140" s="2" t="str">
        <f t="shared" si="63"/>
        <v>Error?</v>
      </c>
    </row>
    <row r="4141" spans="1:4" x14ac:dyDescent="0.2">
      <c r="A4141" s="5">
        <v>4080</v>
      </c>
      <c r="B4141" s="1831">
        <f>'Acct Summary 7-8'!H19</f>
        <v>20246914</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38250408</v>
      </c>
      <c r="C4171" s="2" t="s">
        <v>568</v>
      </c>
      <c r="D4171" s="2" t="str">
        <f t="shared" si="64"/>
        <v>Error?</v>
      </c>
    </row>
    <row r="4172" spans="1:4" x14ac:dyDescent="0.2">
      <c r="A4172" s="5">
        <v>4111</v>
      </c>
      <c r="B4172" s="1831">
        <f>'Short-Term Long-Term Debt 24'!J49</f>
        <v>37106082</v>
      </c>
      <c r="C4172" s="2" t="s">
        <v>568</v>
      </c>
      <c r="D4172" s="2" t="str">
        <f t="shared" si="64"/>
        <v>Error?</v>
      </c>
    </row>
    <row r="4173" spans="1:4" x14ac:dyDescent="0.2">
      <c r="A4173" s="5">
        <v>4112</v>
      </c>
      <c r="B4173" s="1831">
        <f>'Short-Term Long-Term Debt 24'!H49</f>
        <v>1583460</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86284</v>
      </c>
      <c r="D4210" s="2" t="str">
        <f t="shared" si="64"/>
        <v>Error?</v>
      </c>
    </row>
    <row r="4211" spans="1:4" x14ac:dyDescent="0.2">
      <c r="A4211" s="5">
        <v>4150</v>
      </c>
      <c r="B4211" s="1831">
        <f>'Expenditures 15-22'!K206</f>
        <v>86284</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1898</v>
      </c>
    </row>
    <row r="4236" spans="1:5" x14ac:dyDescent="0.2">
      <c r="A4236" s="10">
        <v>4175</v>
      </c>
      <c r="B4236" s="1831"/>
      <c r="D4236" s="2" t="str">
        <f t="shared" si="65"/>
        <v>OK</v>
      </c>
      <c r="E4236" s="4" t="s">
        <v>1898</v>
      </c>
    </row>
    <row r="4237" spans="1:5" x14ac:dyDescent="0.2">
      <c r="A4237" s="10">
        <v>4176</v>
      </c>
      <c r="B4237" s="1831"/>
      <c r="D4237" s="2" t="str">
        <f t="shared" si="65"/>
        <v>OK</v>
      </c>
      <c r="E4237" s="4" t="s">
        <v>1898</v>
      </c>
    </row>
    <row r="4238" spans="1:5" x14ac:dyDescent="0.2">
      <c r="A4238" s="10">
        <v>4177</v>
      </c>
      <c r="B4238" s="1831"/>
      <c r="D4238" s="2" t="str">
        <f t="shared" si="65"/>
        <v>OK</v>
      </c>
      <c r="E4238" s="4" t="s">
        <v>1898</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2525.9</v>
      </c>
      <c r="C4265" s="2" t="s">
        <v>568</v>
      </c>
      <c r="D4265" s="2" t="str">
        <f t="shared" si="65"/>
        <v>Error?</v>
      </c>
      <c r="E4265" s="125"/>
    </row>
    <row r="4266" spans="1:5" x14ac:dyDescent="0.2">
      <c r="A4266" s="12">
        <v>4205</v>
      </c>
      <c r="B4266" s="1831">
        <f>('FP Info 3'!F10)*100000</f>
        <v>243.1</v>
      </c>
      <c r="C4266" s="2" t="s">
        <v>568</v>
      </c>
      <c r="D4266" s="2" t="str">
        <f t="shared" si="65"/>
        <v>Error?</v>
      </c>
      <c r="E4266" s="125"/>
    </row>
    <row r="4267" spans="1:5" x14ac:dyDescent="0.2">
      <c r="A4267" s="12">
        <v>4206</v>
      </c>
      <c r="B4267" s="1831">
        <f>('FP Info 3'!H10)*100000</f>
        <v>48.7</v>
      </c>
      <c r="C4267" s="2" t="s">
        <v>568</v>
      </c>
      <c r="D4267" s="2" t="str">
        <f t="shared" si="65"/>
        <v>Error?</v>
      </c>
      <c r="E4267" s="125"/>
    </row>
    <row r="4268" spans="1:5" x14ac:dyDescent="0.2">
      <c r="A4268" s="12">
        <v>4207</v>
      </c>
      <c r="B4268" s="1831">
        <f>('FP Info 3'!J10)*100000</f>
        <v>2818</v>
      </c>
      <c r="C4268" s="2" t="s">
        <v>568</v>
      </c>
      <c r="D4268" s="2" t="str">
        <f t="shared" si="65"/>
        <v>Error?</v>
      </c>
    </row>
    <row r="4269" spans="1:5" x14ac:dyDescent="0.2">
      <c r="A4269" s="12">
        <v>4208</v>
      </c>
      <c r="B4269" s="1831">
        <f>'FP Info 3'!J16</f>
        <v>10296665</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29214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26722</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1898</v>
      </c>
    </row>
    <row r="4400" spans="1:5" x14ac:dyDescent="0.2">
      <c r="A4400" s="10">
        <v>4339</v>
      </c>
      <c r="B4400" s="1831"/>
      <c r="D4400" s="2" t="str">
        <f t="shared" si="67"/>
        <v>OK</v>
      </c>
      <c r="E4400" s="4" t="s">
        <v>1898</v>
      </c>
    </row>
    <row r="4401" spans="1:5" x14ac:dyDescent="0.2">
      <c r="A4401" s="10">
        <v>4340</v>
      </c>
      <c r="B4401" s="1831"/>
      <c r="D4401" s="2" t="str">
        <f t="shared" si="67"/>
        <v>OK</v>
      </c>
      <c r="E4401" s="4" t="s">
        <v>1898</v>
      </c>
    </row>
    <row r="4402" spans="1:5" x14ac:dyDescent="0.2">
      <c r="A4402" s="10">
        <v>4341</v>
      </c>
      <c r="B4402" s="1831"/>
      <c r="D4402" s="2" t="str">
        <f t="shared" si="67"/>
        <v>OK</v>
      </c>
      <c r="E4402" s="4" t="s">
        <v>1898</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10870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19226</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66232</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9.7999999999999989</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50000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671544202</v>
      </c>
      <c r="D4995" s="2" t="str">
        <f t="shared" si="77"/>
        <v>Error?</v>
      </c>
    </row>
    <row r="4996" spans="1:4" x14ac:dyDescent="0.2">
      <c r="A4996" s="12">
        <v>4935</v>
      </c>
      <c r="B4996" s="1831">
        <f>'FP Info 3'!H31</f>
        <v>46336549.938000001</v>
      </c>
      <c r="D4996" s="2" t="str">
        <f t="shared" si="77"/>
        <v>Error?</v>
      </c>
    </row>
    <row r="4997" spans="1:4" x14ac:dyDescent="0.2">
      <c r="A4997" s="12">
        <v>4936</v>
      </c>
      <c r="B4997" s="1831">
        <f>'FP Info 3'!H37</f>
        <v>38250408</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23244</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14904405</v>
      </c>
      <c r="D5061" s="2" t="str">
        <f t="shared" si="78"/>
        <v>Error?</v>
      </c>
    </row>
    <row r="5062" spans="1:4" x14ac:dyDescent="0.2">
      <c r="A5062" s="10">
        <v>5001</v>
      </c>
      <c r="B5062" s="1831"/>
      <c r="D5062" s="2" t="str">
        <f t="shared" si="78"/>
        <v>OK</v>
      </c>
    </row>
    <row r="5063" spans="1:4" x14ac:dyDescent="0.2">
      <c r="A5063" s="5">
        <v>5002</v>
      </c>
      <c r="B5063" s="1831">
        <f>'Revenues 9-14'!C7</f>
        <v>0</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14904405</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74691</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74691</v>
      </c>
      <c r="C5071" s="2" t="s">
        <v>568</v>
      </c>
      <c r="D5071" s="2" t="str">
        <f t="shared" si="78"/>
        <v>Error?</v>
      </c>
    </row>
    <row r="5072" spans="1:4" x14ac:dyDescent="0.2">
      <c r="A5072" s="5">
        <v>5011</v>
      </c>
      <c r="B5072" s="1831">
        <f>'Revenues 9-14'!C20</f>
        <v>67047</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1324</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68371</v>
      </c>
      <c r="C5087" s="2" t="s">
        <v>568</v>
      </c>
      <c r="D5087" s="2" t="str">
        <f t="shared" si="78"/>
        <v>Error?</v>
      </c>
    </row>
    <row r="5088" spans="1:4" x14ac:dyDescent="0.2">
      <c r="A5088" s="5">
        <v>5027</v>
      </c>
      <c r="B5088" s="1831">
        <f>'Revenues 9-14'!C65</f>
        <v>128836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128836</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162507</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49319</v>
      </c>
      <c r="D5099" s="2" t="str">
        <f t="shared" si="78"/>
        <v>Error?</v>
      </c>
    </row>
    <row r="5100" spans="1:4" x14ac:dyDescent="0.2">
      <c r="A5100" s="5">
        <v>5039</v>
      </c>
      <c r="B5100" s="1831">
        <f>'Revenues 9-14'!C80</f>
        <v>4540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53859</v>
      </c>
      <c r="C5102" s="2" t="s">
        <v>568</v>
      </c>
      <c r="D5102" s="2" t="str">
        <f t="shared" si="78"/>
        <v>Error?</v>
      </c>
    </row>
    <row r="5103" spans="1:4" x14ac:dyDescent="0.2">
      <c r="A5103" s="5">
        <v>5042</v>
      </c>
      <c r="B5103" s="1831">
        <f>'Revenues 9-14'!C84</f>
        <v>163639</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163639</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5382</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2124</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40534</v>
      </c>
      <c r="D5119" s="2" t="str">
        <f t="shared" ref="D5119:D5182" si="79">IF(ISBLANK(B5119),"OK",IF(A5119-B5119=0,"OK","Error?"))</f>
        <v>Error?</v>
      </c>
    </row>
    <row r="5120" spans="1:4" x14ac:dyDescent="0.2">
      <c r="A5120" s="5">
        <v>5059</v>
      </c>
      <c r="B5120" s="1831">
        <f>'Revenues 9-14'!C108</f>
        <v>48040</v>
      </c>
      <c r="C5120" s="2" t="s">
        <v>568</v>
      </c>
      <c r="D5120" s="2" t="str">
        <f t="shared" si="79"/>
        <v>Error?</v>
      </c>
    </row>
    <row r="5121" spans="1:4" x14ac:dyDescent="0.2">
      <c r="A5121" s="5">
        <v>5060</v>
      </c>
      <c r="B5121" s="1831">
        <f>'Revenues 9-14'!C109</f>
        <v>15604348</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1396017</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1396017</v>
      </c>
      <c r="C5132" s="2" t="s">
        <v>568</v>
      </c>
      <c r="D5132" s="2" t="str">
        <f t="shared" si="79"/>
        <v>Error?</v>
      </c>
    </row>
    <row r="5133" spans="1:4" x14ac:dyDescent="0.2">
      <c r="A5133" s="5">
        <v>5072</v>
      </c>
      <c r="B5133" s="1831">
        <f>'Revenues 9-14'!C125</f>
        <v>60067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60067</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2246</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1898</v>
      </c>
    </row>
    <row r="5200" spans="1:5" x14ac:dyDescent="0.2">
      <c r="A5200" s="10">
        <v>5139</v>
      </c>
      <c r="B5200" s="1831"/>
      <c r="D5200" s="2" t="str">
        <f t="shared" si="80"/>
        <v>OK</v>
      </c>
      <c r="E5200" s="4" t="s">
        <v>1898</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62313</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1458330</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201829</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23304</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225133</v>
      </c>
      <c r="C5246" s="2" t="s">
        <v>568</v>
      </c>
      <c r="D5246" s="2" t="str">
        <f t="shared" si="80"/>
        <v>Error?</v>
      </c>
    </row>
    <row r="5247" spans="1:4" x14ac:dyDescent="0.2">
      <c r="A5247" s="5">
        <v>5186</v>
      </c>
      <c r="B5247" s="1831">
        <f>'Revenues 9-14'!C200</f>
        <v>140019</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1898</v>
      </c>
    </row>
    <row r="5255" spans="1:5" x14ac:dyDescent="0.2">
      <c r="A5255" s="5">
        <v>5194</v>
      </c>
      <c r="B5255" s="1831">
        <f>'Revenues 9-14'!C202</f>
        <v>0</v>
      </c>
      <c r="D5255" s="2" t="str">
        <f t="shared" si="81"/>
        <v>Error?</v>
      </c>
    </row>
    <row r="5256" spans="1:5" x14ac:dyDescent="0.2">
      <c r="A5256" s="5">
        <v>5195</v>
      </c>
      <c r="B5256" s="1831">
        <f>'Revenues 9-14'!C206</f>
        <v>10870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140019</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13986</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516074</v>
      </c>
      <c r="D5278" s="2" t="str">
        <f t="shared" si="81"/>
        <v>Error?</v>
      </c>
    </row>
    <row r="5279" spans="1:4" x14ac:dyDescent="0.2">
      <c r="A5279" s="5">
        <v>5218</v>
      </c>
      <c r="B5279" s="1831">
        <f>'Revenues 9-14'!C214</f>
        <v>12392</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542452</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1898</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1059868</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1059868</v>
      </c>
      <c r="C5326" s="2" t="s">
        <v>568</v>
      </c>
      <c r="D5326" s="2" t="str">
        <f t="shared" si="82"/>
        <v>Error?</v>
      </c>
    </row>
    <row r="5327" spans="1:5" x14ac:dyDescent="0.2">
      <c r="A5327" s="5">
        <v>5266</v>
      </c>
      <c r="B5327" s="1831">
        <f>'Revenues 9-14'!C268</f>
        <v>18122546</v>
      </c>
      <c r="C5327" s="2" t="s">
        <v>568</v>
      </c>
      <c r="D5327" s="2" t="str">
        <f t="shared" si="82"/>
        <v>Error?</v>
      </c>
    </row>
    <row r="5328" spans="1:5" x14ac:dyDescent="0.2">
      <c r="A5328" s="5">
        <v>5267</v>
      </c>
      <c r="B5328" s="1831">
        <f>'Revenues 9-14'!D5</f>
        <v>1605382</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1605382</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6715</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6715</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29005</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52624</v>
      </c>
      <c r="D5354" s="2" t="str">
        <f t="shared" si="82"/>
        <v>Error?</v>
      </c>
    </row>
    <row r="5355" spans="1:4" x14ac:dyDescent="0.2">
      <c r="A5355" s="5">
        <v>5294</v>
      </c>
      <c r="B5355" s="1831">
        <f>'Revenues 9-14'!D108</f>
        <v>81629</v>
      </c>
      <c r="C5355" s="2" t="s">
        <v>568</v>
      </c>
      <c r="D5355" s="2" t="str">
        <f t="shared" si="82"/>
        <v>Error?</v>
      </c>
    </row>
    <row r="5356" spans="1:4" x14ac:dyDescent="0.2">
      <c r="A5356" s="5">
        <v>5295</v>
      </c>
      <c r="B5356" s="1831">
        <f>'Revenues 9-14'!D109</f>
        <v>1693726</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50000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50000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1898</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1743726</v>
      </c>
      <c r="C5508" s="2" t="s">
        <v>568</v>
      </c>
      <c r="D5508" s="2" t="str">
        <f t="shared" si="85"/>
        <v>Error?</v>
      </c>
    </row>
    <row r="5509" spans="1:4" x14ac:dyDescent="0.2">
      <c r="A5509" s="5">
        <v>5448</v>
      </c>
      <c r="B5509" s="1831">
        <f>'Revenues 9-14'!E5</f>
        <v>2920283</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2920283</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30602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30602</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2950885</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2950885</v>
      </c>
      <c r="C5552" s="2" t="s">
        <v>568</v>
      </c>
      <c r="D5552" s="2" t="str">
        <f t="shared" si="85"/>
        <v>Error?</v>
      </c>
    </row>
    <row r="5553" spans="1:4" x14ac:dyDescent="0.2">
      <c r="A5553" s="5">
        <v>5492</v>
      </c>
      <c r="B5553" s="1831">
        <f>'Revenues 9-14'!F5</f>
        <v>313634</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313634</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143648</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143648</v>
      </c>
      <c r="C5579" s="2" t="s">
        <v>568</v>
      </c>
      <c r="D5579" s="2" t="str">
        <f t="shared" si="86"/>
        <v>Error?</v>
      </c>
    </row>
    <row r="5580" spans="1:4" x14ac:dyDescent="0.2">
      <c r="A5580" s="5">
        <v>5519</v>
      </c>
      <c r="B5580" s="1831">
        <f>'Revenues 9-14'!F65</f>
        <v>11776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11776</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23244</v>
      </c>
      <c r="C5587" s="2" t="s">
        <v>568</v>
      </c>
      <c r="D5587" s="2" t="str">
        <f t="shared" si="86"/>
        <v>Error?</v>
      </c>
    </row>
    <row r="5588" spans="1:4" x14ac:dyDescent="0.2">
      <c r="A5588" s="5">
        <v>5527</v>
      </c>
      <c r="B5588" s="1831">
        <f>'Revenues 9-14'!F109</f>
        <v>492302</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8111</v>
      </c>
      <c r="D5615" s="2" t="str">
        <f t="shared" si="86"/>
        <v>Error?</v>
      </c>
    </row>
    <row r="5616" spans="1:4" x14ac:dyDescent="0.2">
      <c r="A5616" s="10">
        <v>5555</v>
      </c>
      <c r="B5616" s="1831"/>
      <c r="D5616" s="2" t="str">
        <f t="shared" si="86"/>
        <v>OK</v>
      </c>
    </row>
    <row r="5617" spans="1:5" x14ac:dyDescent="0.2">
      <c r="A5617" s="5">
        <v>5556</v>
      </c>
      <c r="B5617" s="1831">
        <f>'Revenues 9-14'!F153</f>
        <v>358651</v>
      </c>
      <c r="D5617" s="2" t="str">
        <f t="shared" si="86"/>
        <v>Error?</v>
      </c>
    </row>
    <row r="5618" spans="1:5" x14ac:dyDescent="0.2">
      <c r="A5618" s="5">
        <v>5557</v>
      </c>
      <c r="B5618" s="1831">
        <f>'Revenues 9-14'!F155</f>
        <v>366762</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1898</v>
      </c>
    </row>
    <row r="5631" spans="1:5" x14ac:dyDescent="0.2">
      <c r="A5631" s="10">
        <v>5570</v>
      </c>
      <c r="B5631" s="1831"/>
      <c r="D5631" s="2" t="str">
        <f t="shared" ref="D5631:D5694" si="87">IF(ISBLANK(B5631),"OK",IF(A5631-B5631=0,"OK","Error?"))</f>
        <v>OK</v>
      </c>
      <c r="E5631" s="4" t="s">
        <v>1898</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366762</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366762</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1898</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1898</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859064</v>
      </c>
      <c r="C5720" s="2" t="s">
        <v>568</v>
      </c>
      <c r="D5720" s="2" t="str">
        <f t="shared" si="88"/>
        <v>Error?</v>
      </c>
    </row>
    <row r="5721" spans="1:4" x14ac:dyDescent="0.2">
      <c r="A5721" s="5">
        <v>5660</v>
      </c>
      <c r="B5721" s="1831">
        <f>'Revenues 9-14'!G5</f>
        <v>192467</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127066</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319533</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11000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11000</v>
      </c>
      <c r="C5730" s="2" t="s">
        <v>568</v>
      </c>
      <c r="D5730" s="2" t="str">
        <f t="shared" si="88"/>
        <v>Error?</v>
      </c>
    </row>
    <row r="5731" spans="1:4" x14ac:dyDescent="0.2">
      <c r="A5731" s="5">
        <v>5670</v>
      </c>
      <c r="B5731" s="1831">
        <f>'Revenues 9-14'!G65</f>
        <v>1896</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1896</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1898</v>
      </c>
    </row>
    <row r="5768" spans="1:5" x14ac:dyDescent="0.2">
      <c r="A5768" s="10">
        <v>5707</v>
      </c>
      <c r="B5768" s="1831"/>
      <c r="D5768" s="2" t="str">
        <f t="shared" si="89"/>
        <v>OK</v>
      </c>
      <c r="E5768" s="4" t="s">
        <v>1898</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1898</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1898</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332429</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242655</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242655</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242655</v>
      </c>
      <c r="C5915" s="2" t="s">
        <v>568</v>
      </c>
      <c r="D5915" s="2" t="str">
        <f t="shared" si="91"/>
        <v>Error?</v>
      </c>
    </row>
    <row r="5916" spans="1:4" x14ac:dyDescent="0.2">
      <c r="A5916" s="5">
        <v>5855</v>
      </c>
      <c r="B5916" s="1831">
        <f>'Revenues 9-14'!I5</f>
        <v>64474</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64474</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45661</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45661</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110135</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2</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2</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2</v>
      </c>
      <c r="C6023" s="2" t="s">
        <v>568</v>
      </c>
      <c r="D6023" s="2" t="str">
        <f t="shared" si="93"/>
        <v>Error?</v>
      </c>
    </row>
    <row r="6024" spans="1:5" x14ac:dyDescent="0.2">
      <c r="A6024" s="5">
        <v>5963</v>
      </c>
      <c r="B6024" s="1831">
        <f>'Revenues 9-14'!G109</f>
        <v>332429</v>
      </c>
      <c r="C6024" s="2" t="s">
        <v>568</v>
      </c>
      <c r="D6024" s="2" t="str">
        <f t="shared" si="93"/>
        <v>Error?</v>
      </c>
    </row>
    <row r="6025" spans="1:5" x14ac:dyDescent="0.2">
      <c r="A6025" s="5">
        <v>5964</v>
      </c>
      <c r="B6025" s="1831">
        <f>'Revenues 9-14'!H109</f>
        <v>242655</v>
      </c>
      <c r="C6025" s="2" t="s">
        <v>568</v>
      </c>
      <c r="D6025" s="2" t="str">
        <f t="shared" si="93"/>
        <v>Error?</v>
      </c>
    </row>
    <row r="6026" spans="1:5" x14ac:dyDescent="0.2">
      <c r="A6026" s="5">
        <v>5965</v>
      </c>
      <c r="B6026" s="1831">
        <f>'Revenues 9-14'!I109</f>
        <v>110135</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2</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162507</v>
      </c>
      <c r="D6031" s="2" t="str">
        <f t="shared" si="93"/>
        <v>Error?</v>
      </c>
    </row>
    <row r="6032" spans="1:5" x14ac:dyDescent="0.2">
      <c r="A6032" s="5">
        <v>5971</v>
      </c>
      <c r="B6032" s="1831">
        <f>'Acct Summary 7-8'!G15</f>
        <v>0</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37025</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1389.5</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189443</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90700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10</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146926</v>
      </c>
      <c r="D6142" s="2" t="str">
        <f t="shared" si="94"/>
        <v>Error?</v>
      </c>
      <c r="E6142" s="2" t="s">
        <v>189</v>
      </c>
    </row>
    <row r="6143" spans="1:5" x14ac:dyDescent="0.2">
      <c r="A6143">
        <v>6082</v>
      </c>
      <c r="B6143" s="1831">
        <f>'Assets-Liab 5-6'!D27</f>
        <v>30059</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5061</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751215</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10</v>
      </c>
      <c r="D6215" s="2" t="str">
        <f t="shared" si="96"/>
        <v>Error?</v>
      </c>
      <c r="E6215" s="2" t="s">
        <v>189</v>
      </c>
    </row>
    <row r="6216" spans="1:5" x14ac:dyDescent="0.2">
      <c r="A6216">
        <v>6155</v>
      </c>
      <c r="B6216" s="1831">
        <f>'Assets-Liab 5-6'!J41</f>
        <v>10</v>
      </c>
      <c r="D6216" s="2" t="str">
        <f t="shared" si="96"/>
        <v>Error?</v>
      </c>
      <c r="E6216" s="2" t="s">
        <v>189</v>
      </c>
    </row>
    <row r="6217" spans="1:5" x14ac:dyDescent="0.2">
      <c r="A6217">
        <v>6156</v>
      </c>
      <c r="B6217" s="1831">
        <f>'Assets-Liab 5-6'!J4</f>
        <v>10</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0</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0</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0</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0</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0</v>
      </c>
      <c r="D6229" s="2" t="str">
        <f t="shared" si="96"/>
        <v>Error?</v>
      </c>
      <c r="E6229" s="2" t="s">
        <v>189</v>
      </c>
    </row>
    <row r="6230" spans="1:5" x14ac:dyDescent="0.2">
      <c r="A6230">
        <v>6169</v>
      </c>
      <c r="B6230" s="1831">
        <f>'Acct Summary 7-8'!J20</f>
        <v>0</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372176</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5899</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525000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0</v>
      </c>
      <c r="D6263" s="2" t="str">
        <f t="shared" si="96"/>
        <v>Error?</v>
      </c>
      <c r="E6263" s="2" t="s">
        <v>189</v>
      </c>
    </row>
    <row r="6264" spans="1:5" x14ac:dyDescent="0.2">
      <c r="A6264">
        <v>6203</v>
      </c>
      <c r="B6264" s="1831">
        <f>'Acct Summary 7-8'!J79</f>
        <v>10</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10</v>
      </c>
      <c r="D6266" s="2" t="str">
        <f t="shared" si="96"/>
        <v>Error?</v>
      </c>
      <c r="E6266" s="2" t="s">
        <v>189</v>
      </c>
    </row>
    <row r="6267" spans="1:5" x14ac:dyDescent="0.2">
      <c r="A6267">
        <v>6206</v>
      </c>
      <c r="B6267" s="1831">
        <f>'Acct Summary 7-8'!C82</f>
        <v>-1707818</v>
      </c>
      <c r="D6267" s="2" t="str">
        <f t="shared" si="96"/>
        <v>Error?</v>
      </c>
      <c r="E6267" s="2" t="s">
        <v>189</v>
      </c>
    </row>
    <row r="6268" spans="1:5" x14ac:dyDescent="0.2">
      <c r="A6268">
        <v>6207</v>
      </c>
      <c r="B6268" s="1831">
        <f>'Acct Summary 7-8'!D82</f>
        <v>-201842</v>
      </c>
      <c r="D6268" s="2" t="str">
        <f t="shared" si="96"/>
        <v>Error?</v>
      </c>
      <c r="E6268" s="2" t="s">
        <v>189</v>
      </c>
    </row>
    <row r="6269" spans="1:5" x14ac:dyDescent="0.2">
      <c r="A6269">
        <v>6208</v>
      </c>
      <c r="B6269" s="1831">
        <f>'Acct Summary 7-8'!E82</f>
        <v>422207</v>
      </c>
      <c r="D6269" s="2" t="str">
        <f t="shared" si="96"/>
        <v>Error?</v>
      </c>
      <c r="E6269" s="2" t="s">
        <v>189</v>
      </c>
    </row>
    <row r="6270" spans="1:5" x14ac:dyDescent="0.2">
      <c r="A6270">
        <v>6209</v>
      </c>
      <c r="B6270" s="1831">
        <f>'Acct Summary 7-8'!F82</f>
        <v>92639</v>
      </c>
      <c r="D6270" s="2" t="str">
        <f t="shared" si="96"/>
        <v>Error?</v>
      </c>
      <c r="E6270" s="2" t="s">
        <v>189</v>
      </c>
    </row>
    <row r="6271" spans="1:5" x14ac:dyDescent="0.2">
      <c r="A6271">
        <v>6210</v>
      </c>
      <c r="B6271" s="1831">
        <f>'Acct Summary 7-8'!G82</f>
        <v>-25519</v>
      </c>
      <c r="D6271" s="2" t="str">
        <f t="shared" ref="D6271:D6334" si="97">IF(ISBLANK(B6271),"OK",IF(A6271-B6271=0,"OK","Error?"))</f>
        <v>Error?</v>
      </c>
      <c r="E6271" s="2" t="s">
        <v>189</v>
      </c>
    </row>
    <row r="6272" spans="1:5" x14ac:dyDescent="0.2">
      <c r="A6272">
        <v>6211</v>
      </c>
      <c r="B6272" s="1831">
        <f>'Acct Summary 7-8'!H82</f>
        <v>-19479259</v>
      </c>
      <c r="D6272" s="2" t="str">
        <f t="shared" si="97"/>
        <v>Error?</v>
      </c>
      <c r="E6272" s="2" t="s">
        <v>189</v>
      </c>
    </row>
    <row r="6273" spans="1:5" x14ac:dyDescent="0.2">
      <c r="A6273">
        <v>6212</v>
      </c>
      <c r="B6273" s="1831">
        <f>'Acct Summary 7-8'!I82</f>
        <v>-164865</v>
      </c>
      <c r="D6273" s="2" t="str">
        <f t="shared" si="97"/>
        <v>Error?</v>
      </c>
      <c r="E6273" s="2" t="s">
        <v>189</v>
      </c>
    </row>
    <row r="6274" spans="1:5" x14ac:dyDescent="0.2">
      <c r="A6274">
        <v>6213</v>
      </c>
      <c r="B6274" s="1831">
        <f>'Acct Summary 7-8'!J82</f>
        <v>0</v>
      </c>
      <c r="D6274" s="2" t="str">
        <f t="shared" si="97"/>
        <v>Error?</v>
      </c>
      <c r="E6274" s="2" t="s">
        <v>189</v>
      </c>
    </row>
    <row r="6275" spans="1:5" x14ac:dyDescent="0.2">
      <c r="A6275">
        <v>6214</v>
      </c>
      <c r="B6275" s="1831">
        <f>'Acct Summary 7-8'!K82</f>
        <v>2</v>
      </c>
      <c r="D6275" s="2" t="str">
        <f t="shared" si="97"/>
        <v>Error?</v>
      </c>
      <c r="E6275" s="2" t="s">
        <v>189</v>
      </c>
    </row>
    <row r="6276" spans="1:5" x14ac:dyDescent="0.2">
      <c r="A6276">
        <v>6215</v>
      </c>
      <c r="B6276" s="1831">
        <f>'Acct Summary 7-8'!C83</f>
        <v>-0.2383053290080307</v>
      </c>
      <c r="D6276" s="2" t="str">
        <f t="shared" si="97"/>
        <v>Error?</v>
      </c>
      <c r="E6276" s="2" t="s">
        <v>189</v>
      </c>
    </row>
    <row r="6277" spans="1:5" x14ac:dyDescent="0.2">
      <c r="A6277">
        <v>6216</v>
      </c>
      <c r="B6277" s="1831">
        <f>'Acct Summary 7-8'!D83</f>
        <v>-0.44856269792766262</v>
      </c>
      <c r="D6277" s="2" t="str">
        <f t="shared" si="97"/>
        <v>Error?</v>
      </c>
      <c r="E6277" s="2" t="s">
        <v>189</v>
      </c>
    </row>
    <row r="6278" spans="1:5" x14ac:dyDescent="0.2">
      <c r="A6278">
        <v>6217</v>
      </c>
      <c r="B6278" s="1831">
        <f>'Acct Summary 7-8'!E83</f>
        <v>0.36895692311456701</v>
      </c>
      <c r="D6278" s="2" t="str">
        <f t="shared" si="97"/>
        <v>Error?</v>
      </c>
      <c r="E6278" s="2" t="s">
        <v>189</v>
      </c>
    </row>
    <row r="6279" spans="1:5" x14ac:dyDescent="0.2">
      <c r="A6279">
        <v>6218</v>
      </c>
      <c r="B6279" s="1831">
        <f>'Acct Summary 7-8'!F83</f>
        <v>0.21388316182938572</v>
      </c>
      <c r="D6279" s="2" t="str">
        <f t="shared" si="97"/>
        <v>Error?</v>
      </c>
      <c r="E6279" s="2" t="s">
        <v>189</v>
      </c>
    </row>
    <row r="6280" spans="1:5" x14ac:dyDescent="0.2">
      <c r="A6280">
        <v>6219</v>
      </c>
      <c r="B6280" s="1831">
        <f>'Acct Summary 7-8'!G83</f>
        <v>-0.12366612714073873</v>
      </c>
      <c r="D6280" s="2" t="str">
        <f t="shared" si="97"/>
        <v>Error?</v>
      </c>
      <c r="E6280" s="2" t="s">
        <v>189</v>
      </c>
    </row>
    <row r="6281" spans="1:5" x14ac:dyDescent="0.2">
      <c r="A6281">
        <v>6220</v>
      </c>
      <c r="B6281" s="1831">
        <f>'Acct Summary 7-8'!H83</f>
        <v>-5664.2218668217502</v>
      </c>
      <c r="D6281" s="2" t="str">
        <f t="shared" si="97"/>
        <v>Error?</v>
      </c>
      <c r="E6281" s="2" t="s">
        <v>189</v>
      </c>
    </row>
    <row r="6282" spans="1:5" x14ac:dyDescent="0.2">
      <c r="A6282">
        <v>6221</v>
      </c>
      <c r="B6282" s="1831">
        <f>'Acct Summary 7-8'!I83</f>
        <v>-7.3369561589444646E-2</v>
      </c>
      <c r="D6282" s="2" t="str">
        <f t="shared" si="97"/>
        <v>Error?</v>
      </c>
      <c r="E6282" s="2" t="s">
        <v>189</v>
      </c>
    </row>
    <row r="6283" spans="1:5" x14ac:dyDescent="0.2">
      <c r="A6283">
        <v>6222</v>
      </c>
      <c r="B6283" s="1831">
        <f>'Acct Summary 7-8'!J83</f>
        <v>0</v>
      </c>
      <c r="D6283" s="2" t="str">
        <f t="shared" si="97"/>
        <v>Error?</v>
      </c>
      <c r="E6283" s="2" t="s">
        <v>189</v>
      </c>
    </row>
    <row r="6284" spans="1:5" x14ac:dyDescent="0.2">
      <c r="A6284">
        <v>6223</v>
      </c>
      <c r="B6284" s="1831">
        <f>'Acct Summary 7-8'!K83</f>
        <v>1.4388489208633094E-2</v>
      </c>
      <c r="D6284" s="2" t="str">
        <f t="shared" si="97"/>
        <v>Error?</v>
      </c>
      <c r="E6284" s="2" t="s">
        <v>189</v>
      </c>
    </row>
    <row r="6285" spans="1:5" x14ac:dyDescent="0.2">
      <c r="A6285">
        <v>6224</v>
      </c>
      <c r="B6285" s="1831">
        <f>'Acct Summary 7-8'!E37</f>
        <v>372176</v>
      </c>
      <c r="D6285" s="2" t="str">
        <f t="shared" si="97"/>
        <v>Error?</v>
      </c>
      <c r="E6285" s="2" t="s">
        <v>189</v>
      </c>
    </row>
    <row r="6286" spans="1:5" x14ac:dyDescent="0.2">
      <c r="A6286">
        <v>6225</v>
      </c>
      <c r="B6286" s="1831">
        <f>'Acct Summary 7-8'!E38</f>
        <v>5899</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525000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0</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0</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0</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1897</v>
      </c>
    </row>
    <row r="6383" spans="1:6" x14ac:dyDescent="0.2">
      <c r="A6383" s="126">
        <v>6322</v>
      </c>
      <c r="B6383" s="1831"/>
      <c r="D6383" s="2" t="str">
        <f t="shared" si="98"/>
        <v>OK</v>
      </c>
      <c r="E6383" s="2" t="s">
        <v>189</v>
      </c>
      <c r="F6383" s="1" t="s">
        <v>1897</v>
      </c>
    </row>
    <row r="6384" spans="1:6" x14ac:dyDescent="0.2">
      <c r="A6384" s="126">
        <v>6323</v>
      </c>
      <c r="B6384" s="1831"/>
      <c r="D6384" s="2" t="str">
        <f t="shared" si="98"/>
        <v>OK</v>
      </c>
      <c r="E6384" s="2" t="s">
        <v>189</v>
      </c>
      <c r="F6384" s="1" t="s">
        <v>1897</v>
      </c>
    </row>
    <row r="6385" spans="1:6" x14ac:dyDescent="0.2">
      <c r="A6385" s="126">
        <v>6324</v>
      </c>
      <c r="B6385" s="1831"/>
      <c r="D6385" s="2" t="str">
        <f t="shared" si="98"/>
        <v>OK</v>
      </c>
      <c r="E6385" s="2" t="s">
        <v>189</v>
      </c>
      <c r="F6385" s="1" t="s">
        <v>1897</v>
      </c>
    </row>
    <row r="6386" spans="1:6" x14ac:dyDescent="0.2">
      <c r="A6386" s="126">
        <v>6325</v>
      </c>
      <c r="B6386" s="1831"/>
      <c r="D6386" s="2" t="str">
        <f t="shared" si="98"/>
        <v>OK</v>
      </c>
      <c r="E6386" s="2" t="s">
        <v>189</v>
      </c>
      <c r="F6386" s="1" t="s">
        <v>1897</v>
      </c>
    </row>
    <row r="6387" spans="1:6" x14ac:dyDescent="0.2">
      <c r="A6387" s="126">
        <v>6326</v>
      </c>
      <c r="B6387" s="1831"/>
      <c r="D6387" s="2" t="str">
        <f t="shared" si="98"/>
        <v>OK</v>
      </c>
      <c r="E6387" s="2" t="s">
        <v>189</v>
      </c>
      <c r="F6387" s="1" t="s">
        <v>1897</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1897</v>
      </c>
    </row>
    <row r="6411" spans="1:6" x14ac:dyDescent="0.2">
      <c r="A6411" s="126">
        <v>6350</v>
      </c>
      <c r="B6411" s="1831"/>
      <c r="D6411" s="2" t="str">
        <f t="shared" si="99"/>
        <v>OK</v>
      </c>
      <c r="E6411" s="2" t="s">
        <v>189</v>
      </c>
      <c r="F6411" s="1" t="s">
        <v>1897</v>
      </c>
    </row>
    <row r="6412" spans="1:6" x14ac:dyDescent="0.2">
      <c r="A6412" s="126">
        <v>6351</v>
      </c>
      <c r="B6412" s="1831"/>
      <c r="D6412" s="2" t="str">
        <f t="shared" si="99"/>
        <v>OK</v>
      </c>
      <c r="E6412" s="2" t="s">
        <v>189</v>
      </c>
      <c r="F6412" s="1" t="s">
        <v>1897</v>
      </c>
    </row>
    <row r="6413" spans="1:6" x14ac:dyDescent="0.2">
      <c r="A6413" s="126">
        <v>6352</v>
      </c>
      <c r="B6413" s="1831"/>
      <c r="D6413" s="2" t="str">
        <f t="shared" si="99"/>
        <v>OK</v>
      </c>
      <c r="E6413" s="2" t="s">
        <v>189</v>
      </c>
      <c r="F6413" s="1" t="s">
        <v>1897</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1993</v>
      </c>
    </row>
    <row r="6417" spans="1:5" x14ac:dyDescent="0.2">
      <c r="A6417" s="126">
        <v>6356</v>
      </c>
      <c r="B6417" s="1831"/>
      <c r="D6417" s="2" t="str">
        <f t="shared" si="99"/>
        <v>OK</v>
      </c>
      <c r="E6417" s="4" t="s">
        <v>1993</v>
      </c>
    </row>
    <row r="6418" spans="1:5" x14ac:dyDescent="0.2">
      <c r="A6418" s="126">
        <v>6357</v>
      </c>
      <c r="B6418" s="1831"/>
      <c r="D6418" s="2" t="str">
        <f t="shared" si="99"/>
        <v>OK</v>
      </c>
      <c r="E6418" s="4" t="s">
        <v>1993</v>
      </c>
    </row>
    <row r="6419" spans="1:5" x14ac:dyDescent="0.2">
      <c r="A6419" s="126">
        <v>6358</v>
      </c>
      <c r="B6419" s="1831"/>
      <c r="D6419" s="2" t="str">
        <f t="shared" si="99"/>
        <v>OK</v>
      </c>
      <c r="E6419" s="4" t="s">
        <v>1993</v>
      </c>
    </row>
    <row r="6420" spans="1:5" x14ac:dyDescent="0.2">
      <c r="A6420" s="126">
        <v>6359</v>
      </c>
      <c r="B6420" s="1831"/>
      <c r="D6420" s="2" t="str">
        <f t="shared" si="99"/>
        <v>OK</v>
      </c>
      <c r="E6420" s="4" t="s">
        <v>1993</v>
      </c>
    </row>
    <row r="6421" spans="1:5" x14ac:dyDescent="0.2">
      <c r="A6421" s="126">
        <v>6360</v>
      </c>
      <c r="B6421" s="1831"/>
      <c r="D6421" s="2" t="str">
        <f t="shared" si="99"/>
        <v>OK</v>
      </c>
      <c r="E6421" s="4" t="s">
        <v>1993</v>
      </c>
    </row>
    <row r="6422" spans="1:5" x14ac:dyDescent="0.2">
      <c r="A6422" s="126">
        <v>6361</v>
      </c>
      <c r="B6422" s="1831"/>
      <c r="D6422" s="2" t="str">
        <f t="shared" si="99"/>
        <v>OK</v>
      </c>
      <c r="E6422" s="4" t="s">
        <v>1993</v>
      </c>
    </row>
    <row r="6423" spans="1:5" x14ac:dyDescent="0.2">
      <c r="A6423" s="126">
        <v>6362</v>
      </c>
      <c r="B6423" s="1831"/>
      <c r="D6423" s="2" t="str">
        <f t="shared" si="99"/>
        <v>OK</v>
      </c>
      <c r="E6423" s="4" t="s">
        <v>1993</v>
      </c>
    </row>
    <row r="6424" spans="1:5" x14ac:dyDescent="0.2">
      <c r="A6424" s="126">
        <v>6363</v>
      </c>
      <c r="B6424" s="1831"/>
      <c r="D6424" s="2" t="str">
        <f t="shared" si="99"/>
        <v>OK</v>
      </c>
      <c r="E6424" s="4" t="s">
        <v>1993</v>
      </c>
    </row>
    <row r="6425" spans="1:5" x14ac:dyDescent="0.2">
      <c r="A6425" s="126">
        <v>6364</v>
      </c>
      <c r="B6425" s="1831"/>
      <c r="D6425" s="2" t="str">
        <f t="shared" si="99"/>
        <v>OK</v>
      </c>
      <c r="E6425" s="4" t="s">
        <v>1993</v>
      </c>
    </row>
    <row r="6426" spans="1:5" x14ac:dyDescent="0.2">
      <c r="A6426" s="126">
        <v>6365</v>
      </c>
      <c r="B6426" s="1831"/>
      <c r="D6426" s="2" t="str">
        <f t="shared" si="99"/>
        <v>OK</v>
      </c>
      <c r="E6426" s="4" t="s">
        <v>1993</v>
      </c>
    </row>
    <row r="6427" spans="1:5" x14ac:dyDescent="0.2">
      <c r="A6427" s="126">
        <v>6366</v>
      </c>
      <c r="B6427" s="1831"/>
      <c r="D6427" s="2" t="str">
        <f t="shared" si="99"/>
        <v>OK</v>
      </c>
      <c r="E6427" s="4" t="s">
        <v>1993</v>
      </c>
    </row>
    <row r="6428" spans="1:5" x14ac:dyDescent="0.2">
      <c r="A6428" s="126">
        <v>6367</v>
      </c>
      <c r="B6428" s="1831"/>
      <c r="D6428" s="2" t="str">
        <f t="shared" si="99"/>
        <v>OK</v>
      </c>
      <c r="E6428" s="4" t="s">
        <v>1993</v>
      </c>
    </row>
    <row r="6429" spans="1:5" x14ac:dyDescent="0.2">
      <c r="A6429" s="126">
        <v>6368</v>
      </c>
      <c r="B6429" s="1831"/>
      <c r="D6429" s="2" t="str">
        <f t="shared" si="99"/>
        <v>OK</v>
      </c>
      <c r="E6429" s="4" t="s">
        <v>1993</v>
      </c>
    </row>
    <row r="6430" spans="1:5" x14ac:dyDescent="0.2">
      <c r="A6430" s="126">
        <v>6369</v>
      </c>
      <c r="B6430" s="1831"/>
      <c r="D6430" s="2" t="str">
        <f t="shared" si="99"/>
        <v>OK</v>
      </c>
      <c r="E6430" s="4" t="s">
        <v>1993</v>
      </c>
    </row>
    <row r="6431" spans="1:5" x14ac:dyDescent="0.2">
      <c r="A6431" s="126">
        <v>6370</v>
      </c>
      <c r="B6431" s="1831"/>
      <c r="D6431" s="2" t="str">
        <f t="shared" si="99"/>
        <v>OK</v>
      </c>
      <c r="E6431" s="4" t="s">
        <v>1993</v>
      </c>
    </row>
    <row r="6432" spans="1:5" x14ac:dyDescent="0.2">
      <c r="A6432" s="126">
        <v>6371</v>
      </c>
      <c r="B6432" s="1831"/>
      <c r="D6432" s="2" t="str">
        <f t="shared" si="99"/>
        <v>OK</v>
      </c>
      <c r="E6432" s="4" t="s">
        <v>1993</v>
      </c>
    </row>
    <row r="6433" spans="1:5" x14ac:dyDescent="0.2">
      <c r="A6433" s="126">
        <v>6372</v>
      </c>
      <c r="B6433" s="1831"/>
      <c r="D6433" s="2" t="str">
        <f t="shared" si="99"/>
        <v>OK</v>
      </c>
      <c r="E6433" s="4" t="s">
        <v>1993</v>
      </c>
    </row>
    <row r="6434" spans="1:5" x14ac:dyDescent="0.2">
      <c r="A6434" s="126">
        <v>6373</v>
      </c>
      <c r="B6434" s="1831"/>
      <c r="D6434" s="2" t="str">
        <f t="shared" si="99"/>
        <v>OK</v>
      </c>
      <c r="E6434" s="4" t="s">
        <v>1993</v>
      </c>
    </row>
    <row r="6435" spans="1:5" x14ac:dyDescent="0.2">
      <c r="A6435" s="126">
        <v>6374</v>
      </c>
      <c r="B6435" s="1831"/>
      <c r="D6435" s="2" t="str">
        <f t="shared" si="99"/>
        <v>OK</v>
      </c>
      <c r="E6435" s="4" t="s">
        <v>1993</v>
      </c>
    </row>
    <row r="6436" spans="1:5" x14ac:dyDescent="0.2">
      <c r="A6436" s="126">
        <v>6375</v>
      </c>
      <c r="B6436" s="1831"/>
      <c r="D6436" s="2" t="str">
        <f t="shared" si="99"/>
        <v>OK</v>
      </c>
      <c r="E6436" s="4" t="s">
        <v>1993</v>
      </c>
    </row>
    <row r="6437" spans="1:5" x14ac:dyDescent="0.2">
      <c r="A6437" s="126">
        <v>6376</v>
      </c>
      <c r="B6437" s="1831"/>
      <c r="D6437" s="2" t="str">
        <f t="shared" si="99"/>
        <v>OK</v>
      </c>
      <c r="E6437" s="4" t="s">
        <v>1993</v>
      </c>
    </row>
    <row r="6438" spans="1:5" x14ac:dyDescent="0.2">
      <c r="A6438" s="126">
        <v>6377</v>
      </c>
      <c r="B6438" s="1831"/>
      <c r="D6438" s="2" t="str">
        <f t="shared" si="99"/>
        <v>OK</v>
      </c>
      <c r="E6438" s="4" t="s">
        <v>1993</v>
      </c>
    </row>
    <row r="6439" spans="1:5" x14ac:dyDescent="0.2">
      <c r="A6439" s="126">
        <v>6378</v>
      </c>
      <c r="B6439" s="1831"/>
      <c r="D6439" s="2" t="str">
        <f t="shared" si="99"/>
        <v>OK</v>
      </c>
      <c r="E6439" s="4" t="s">
        <v>1993</v>
      </c>
    </row>
    <row r="6440" spans="1:5" x14ac:dyDescent="0.2">
      <c r="A6440" s="126">
        <v>6379</v>
      </c>
      <c r="B6440" s="1831"/>
      <c r="D6440" s="2" t="str">
        <f t="shared" si="99"/>
        <v>OK</v>
      </c>
      <c r="E6440" s="4" t="s">
        <v>1993</v>
      </c>
    </row>
    <row r="6441" spans="1:5" x14ac:dyDescent="0.2">
      <c r="A6441" s="126">
        <v>6380</v>
      </c>
      <c r="B6441" s="1831"/>
      <c r="D6441" s="2" t="str">
        <f t="shared" si="99"/>
        <v>OK</v>
      </c>
      <c r="E6441" s="4" t="s">
        <v>1993</v>
      </c>
    </row>
    <row r="6442" spans="1:5" x14ac:dyDescent="0.2">
      <c r="A6442" s="126">
        <v>6381</v>
      </c>
      <c r="B6442" s="1831"/>
      <c r="D6442" s="2" t="str">
        <f t="shared" si="99"/>
        <v>OK</v>
      </c>
      <c r="E6442" s="4" t="s">
        <v>1993</v>
      </c>
    </row>
    <row r="6443" spans="1:5" x14ac:dyDescent="0.2">
      <c r="A6443" s="126">
        <v>6382</v>
      </c>
      <c r="B6443" s="1831"/>
      <c r="D6443" s="2" t="str">
        <f t="shared" si="99"/>
        <v>OK</v>
      </c>
      <c r="E6443" s="4" t="s">
        <v>1993</v>
      </c>
    </row>
    <row r="6444" spans="1:5" x14ac:dyDescent="0.2">
      <c r="A6444" s="126">
        <v>6383</v>
      </c>
      <c r="B6444" s="1831"/>
      <c r="D6444" s="2" t="str">
        <f t="shared" si="99"/>
        <v>OK</v>
      </c>
      <c r="E6444" s="4" t="s">
        <v>1993</v>
      </c>
    </row>
    <row r="6445" spans="1:5" x14ac:dyDescent="0.2">
      <c r="A6445" s="126">
        <v>6384</v>
      </c>
      <c r="B6445" s="1831"/>
      <c r="D6445" s="2" t="str">
        <f t="shared" si="99"/>
        <v>OK</v>
      </c>
      <c r="E6445" s="4" t="s">
        <v>1993</v>
      </c>
    </row>
    <row r="6446" spans="1:5" x14ac:dyDescent="0.2">
      <c r="A6446" s="126">
        <v>6385</v>
      </c>
      <c r="B6446" s="1831"/>
      <c r="D6446" s="2" t="str">
        <f t="shared" si="99"/>
        <v>OK</v>
      </c>
      <c r="E6446" s="4" t="s">
        <v>1993</v>
      </c>
    </row>
    <row r="6447" spans="1:5" x14ac:dyDescent="0.2">
      <c r="A6447" s="126">
        <v>6386</v>
      </c>
      <c r="B6447" s="1831"/>
      <c r="D6447" s="2" t="str">
        <f t="shared" si="99"/>
        <v>OK</v>
      </c>
      <c r="E6447" s="4" t="s">
        <v>1993</v>
      </c>
    </row>
    <row r="6448" spans="1:5" x14ac:dyDescent="0.2">
      <c r="A6448" s="126">
        <v>6387</v>
      </c>
      <c r="B6448" s="1831"/>
      <c r="D6448" s="2" t="str">
        <f t="shared" si="99"/>
        <v>OK</v>
      </c>
      <c r="E6448" s="4" t="s">
        <v>1993</v>
      </c>
    </row>
    <row r="6449" spans="1:5" x14ac:dyDescent="0.2">
      <c r="A6449" s="126">
        <v>6388</v>
      </c>
      <c r="B6449" s="1831"/>
      <c r="D6449" s="2" t="str">
        <f t="shared" si="99"/>
        <v>OK</v>
      </c>
      <c r="E6449" s="4" t="s">
        <v>1993</v>
      </c>
    </row>
    <row r="6450" spans="1:5" x14ac:dyDescent="0.2">
      <c r="A6450" s="126">
        <v>6389</v>
      </c>
      <c r="B6450" s="1831"/>
      <c r="D6450" s="2" t="str">
        <f t="shared" si="99"/>
        <v>OK</v>
      </c>
      <c r="E6450" s="4" t="s">
        <v>1993</v>
      </c>
    </row>
    <row r="6451" spans="1:5" x14ac:dyDescent="0.2">
      <c r="A6451" s="126">
        <v>6390</v>
      </c>
      <c r="B6451" s="1831"/>
      <c r="D6451" s="2" t="str">
        <f t="shared" si="99"/>
        <v>OK</v>
      </c>
      <c r="E6451" s="4" t="s">
        <v>1993</v>
      </c>
    </row>
    <row r="6452" spans="1:5" x14ac:dyDescent="0.2">
      <c r="A6452" s="126">
        <v>6391</v>
      </c>
      <c r="B6452" s="1831"/>
      <c r="D6452" s="2" t="str">
        <f t="shared" si="99"/>
        <v>OK</v>
      </c>
      <c r="E6452" s="4" t="s">
        <v>1993</v>
      </c>
    </row>
    <row r="6453" spans="1:5" x14ac:dyDescent="0.2">
      <c r="A6453" s="126">
        <v>6392</v>
      </c>
      <c r="B6453" s="1831"/>
      <c r="D6453" s="2" t="str">
        <f t="shared" si="99"/>
        <v>OK</v>
      </c>
      <c r="E6453" s="4" t="s">
        <v>1993</v>
      </c>
    </row>
    <row r="6454" spans="1:5" x14ac:dyDescent="0.2">
      <c r="A6454" s="126">
        <v>6393</v>
      </c>
      <c r="B6454" s="1831"/>
      <c r="D6454" s="2" t="str">
        <f t="shared" si="99"/>
        <v>OK</v>
      </c>
      <c r="E6454" s="4" t="s">
        <v>1993</v>
      </c>
    </row>
    <row r="6455" spans="1:5" x14ac:dyDescent="0.2">
      <c r="A6455" s="126">
        <v>6394</v>
      </c>
      <c r="B6455" s="1831"/>
      <c r="D6455" s="2" t="str">
        <f t="shared" si="99"/>
        <v>OK</v>
      </c>
      <c r="E6455" s="4" t="s">
        <v>1993</v>
      </c>
    </row>
    <row r="6456" spans="1:5" x14ac:dyDescent="0.2">
      <c r="A6456" s="126">
        <v>6395</v>
      </c>
      <c r="B6456" s="1831"/>
      <c r="D6456" s="2" t="str">
        <f t="shared" si="99"/>
        <v>OK</v>
      </c>
      <c r="E6456" s="4" t="s">
        <v>1993</v>
      </c>
    </row>
    <row r="6457" spans="1:5" x14ac:dyDescent="0.2">
      <c r="A6457" s="126">
        <v>6396</v>
      </c>
      <c r="B6457" s="1831"/>
      <c r="D6457" s="2" t="str">
        <f t="shared" si="99"/>
        <v>OK</v>
      </c>
      <c r="E6457" s="4" t="s">
        <v>1993</v>
      </c>
    </row>
    <row r="6458" spans="1:5" x14ac:dyDescent="0.2">
      <c r="A6458" s="126">
        <v>6397</v>
      </c>
      <c r="B6458" s="1831"/>
      <c r="D6458" s="2" t="str">
        <f t="shared" si="99"/>
        <v>OK</v>
      </c>
      <c r="E6458" s="4" t="s">
        <v>1993</v>
      </c>
    </row>
    <row r="6459" spans="1:5" x14ac:dyDescent="0.2">
      <c r="A6459" s="126">
        <v>6398</v>
      </c>
      <c r="B6459" s="1831"/>
      <c r="D6459" s="2" t="str">
        <f t="shared" si="99"/>
        <v>OK</v>
      </c>
      <c r="E6459" s="4" t="s">
        <v>1993</v>
      </c>
    </row>
    <row r="6460" spans="1:5" x14ac:dyDescent="0.2">
      <c r="A6460" s="126">
        <v>6399</v>
      </c>
      <c r="B6460" s="1831"/>
      <c r="D6460" s="2" t="str">
        <f t="shared" si="99"/>
        <v>OK</v>
      </c>
      <c r="E6460" s="4" t="s">
        <v>1993</v>
      </c>
    </row>
    <row r="6461" spans="1:5" x14ac:dyDescent="0.2">
      <c r="A6461" s="126">
        <v>6400</v>
      </c>
      <c r="B6461" s="1831"/>
      <c r="D6461" s="2" t="str">
        <f t="shared" si="99"/>
        <v>OK</v>
      </c>
      <c r="E6461" s="4" t="s">
        <v>1993</v>
      </c>
    </row>
    <row r="6462" spans="1:5" x14ac:dyDescent="0.2">
      <c r="A6462" s="126">
        <v>6401</v>
      </c>
      <c r="B6462" s="1831"/>
      <c r="D6462" s="2" t="str">
        <f t="shared" si="99"/>
        <v>OK</v>
      </c>
      <c r="E6462" s="4" t="s">
        <v>1993</v>
      </c>
    </row>
    <row r="6463" spans="1:5" x14ac:dyDescent="0.2">
      <c r="A6463" s="126">
        <v>6402</v>
      </c>
      <c r="B6463" s="1831"/>
      <c r="D6463" s="2" t="str">
        <f t="shared" ref="D6463:D6526" si="100">IF(ISBLANK(B6463),"OK",IF(A6463-B6463=0,"OK","Error?"))</f>
        <v>OK</v>
      </c>
      <c r="E6463" s="4" t="s">
        <v>1993</v>
      </c>
    </row>
    <row r="6464" spans="1:5" x14ac:dyDescent="0.2">
      <c r="A6464" s="126">
        <v>6403</v>
      </c>
      <c r="B6464" s="1831"/>
      <c r="D6464" s="2" t="str">
        <f t="shared" si="100"/>
        <v>OK</v>
      </c>
      <c r="E6464" s="4" t="s">
        <v>1993</v>
      </c>
    </row>
    <row r="6465" spans="1:5" x14ac:dyDescent="0.2">
      <c r="A6465" s="126">
        <v>6404</v>
      </c>
      <c r="B6465" s="1831"/>
      <c r="D6465" s="2" t="str">
        <f t="shared" si="100"/>
        <v>OK</v>
      </c>
      <c r="E6465" s="4" t="s">
        <v>1993</v>
      </c>
    </row>
    <row r="6466" spans="1:5" x14ac:dyDescent="0.2">
      <c r="A6466" s="126">
        <v>6405</v>
      </c>
      <c r="B6466" s="1831"/>
      <c r="D6466" s="2" t="str">
        <f t="shared" si="100"/>
        <v>OK</v>
      </c>
      <c r="E6466" s="4" t="s">
        <v>1993</v>
      </c>
    </row>
    <row r="6467" spans="1:5" x14ac:dyDescent="0.2">
      <c r="A6467" s="126">
        <v>6406</v>
      </c>
      <c r="B6467" s="1831"/>
      <c r="D6467" s="2" t="str">
        <f t="shared" si="100"/>
        <v>OK</v>
      </c>
      <c r="E6467" s="4" t="s">
        <v>1993</v>
      </c>
    </row>
    <row r="6468" spans="1:5" x14ac:dyDescent="0.2">
      <c r="A6468" s="126">
        <v>6407</v>
      </c>
      <c r="B6468" s="1831"/>
      <c r="D6468" s="2" t="str">
        <f t="shared" si="100"/>
        <v>OK</v>
      </c>
      <c r="E6468" s="4" t="s">
        <v>1993</v>
      </c>
    </row>
    <row r="6469" spans="1:5" x14ac:dyDescent="0.2">
      <c r="A6469" s="126">
        <v>6408</v>
      </c>
      <c r="B6469" s="1831"/>
      <c r="D6469" s="2" t="str">
        <f t="shared" si="100"/>
        <v>OK</v>
      </c>
      <c r="E6469" s="4" t="s">
        <v>1993</v>
      </c>
    </row>
    <row r="6470" spans="1:5" x14ac:dyDescent="0.2">
      <c r="A6470" s="126">
        <v>6409</v>
      </c>
      <c r="B6470" s="1831"/>
      <c r="D6470" s="2" t="str">
        <f t="shared" si="100"/>
        <v>OK</v>
      </c>
      <c r="E6470" s="4" t="s">
        <v>1993</v>
      </c>
    </row>
    <row r="6471" spans="1:5" x14ac:dyDescent="0.2">
      <c r="A6471" s="126">
        <v>6410</v>
      </c>
      <c r="B6471" s="1831"/>
      <c r="D6471" s="2" t="str">
        <f t="shared" si="100"/>
        <v>OK</v>
      </c>
      <c r="E6471" s="4" t="s">
        <v>1993</v>
      </c>
    </row>
    <row r="6472" spans="1:5" x14ac:dyDescent="0.2">
      <c r="A6472" s="126">
        <v>6411</v>
      </c>
      <c r="B6472" s="1831"/>
      <c r="D6472" s="2" t="str">
        <f t="shared" si="100"/>
        <v>OK</v>
      </c>
      <c r="E6472" s="4" t="s">
        <v>1993</v>
      </c>
    </row>
    <row r="6473" spans="1:5" x14ac:dyDescent="0.2">
      <c r="A6473" s="126">
        <v>6412</v>
      </c>
      <c r="B6473" s="1831"/>
      <c r="D6473" s="2" t="str">
        <f t="shared" si="100"/>
        <v>OK</v>
      </c>
      <c r="E6473" s="4" t="s">
        <v>1993</v>
      </c>
    </row>
    <row r="6474" spans="1:5" x14ac:dyDescent="0.2">
      <c r="A6474" s="126">
        <v>6413</v>
      </c>
      <c r="B6474" s="1831"/>
      <c r="D6474" s="2" t="str">
        <f t="shared" si="100"/>
        <v>OK</v>
      </c>
      <c r="E6474" s="4" t="s">
        <v>1993</v>
      </c>
    </row>
    <row r="6475" spans="1:5" x14ac:dyDescent="0.2">
      <c r="A6475" s="126">
        <v>6414</v>
      </c>
      <c r="B6475" s="1831"/>
      <c r="D6475" s="2" t="str">
        <f t="shared" si="100"/>
        <v>OK</v>
      </c>
      <c r="E6475" s="4" t="s">
        <v>1993</v>
      </c>
    </row>
    <row r="6476" spans="1:5" x14ac:dyDescent="0.2">
      <c r="A6476" s="126">
        <v>6415</v>
      </c>
      <c r="B6476" s="1831"/>
      <c r="D6476" s="2" t="str">
        <f t="shared" si="100"/>
        <v>OK</v>
      </c>
      <c r="E6476" s="4" t="s">
        <v>1993</v>
      </c>
    </row>
    <row r="6477" spans="1:5" x14ac:dyDescent="0.2">
      <c r="A6477" s="126">
        <v>6416</v>
      </c>
      <c r="B6477" s="1831"/>
      <c r="D6477" s="2" t="str">
        <f t="shared" si="100"/>
        <v>OK</v>
      </c>
      <c r="E6477" s="4" t="s">
        <v>1993</v>
      </c>
    </row>
    <row r="6478" spans="1:5" x14ac:dyDescent="0.2">
      <c r="A6478" s="126">
        <v>6417</v>
      </c>
      <c r="B6478" s="1831"/>
      <c r="D6478" s="2" t="str">
        <f t="shared" si="100"/>
        <v>OK</v>
      </c>
      <c r="E6478" s="4" t="s">
        <v>1993</v>
      </c>
    </row>
    <row r="6479" spans="1:5" x14ac:dyDescent="0.2">
      <c r="A6479" s="126">
        <v>6418</v>
      </c>
      <c r="B6479" s="1831"/>
      <c r="D6479" s="2" t="str">
        <f t="shared" si="100"/>
        <v>OK</v>
      </c>
      <c r="E6479" s="4" t="s">
        <v>1993</v>
      </c>
    </row>
    <row r="6480" spans="1:5" x14ac:dyDescent="0.2">
      <c r="A6480" s="126">
        <v>6419</v>
      </c>
      <c r="B6480" s="1831"/>
      <c r="D6480" s="2" t="str">
        <f t="shared" si="100"/>
        <v>OK</v>
      </c>
      <c r="E6480" s="4" t="s">
        <v>1993</v>
      </c>
    </row>
    <row r="6481" spans="1:5" x14ac:dyDescent="0.2">
      <c r="A6481" s="126">
        <v>6420</v>
      </c>
      <c r="B6481" s="1831"/>
      <c r="D6481" s="2" t="str">
        <f t="shared" si="100"/>
        <v>OK</v>
      </c>
      <c r="E6481" s="4" t="s">
        <v>1993</v>
      </c>
    </row>
    <row r="6482" spans="1:5" x14ac:dyDescent="0.2">
      <c r="A6482" s="126">
        <v>6421</v>
      </c>
      <c r="B6482" s="1831"/>
      <c r="D6482" s="2" t="str">
        <f t="shared" si="100"/>
        <v>OK</v>
      </c>
      <c r="E6482" s="4" t="s">
        <v>1993</v>
      </c>
    </row>
    <row r="6483" spans="1:5" x14ac:dyDescent="0.2">
      <c r="A6483" s="126">
        <v>6422</v>
      </c>
      <c r="B6483" s="1831"/>
      <c r="D6483" s="2" t="str">
        <f t="shared" si="100"/>
        <v>OK</v>
      </c>
      <c r="E6483" s="4" t="s">
        <v>1993</v>
      </c>
    </row>
    <row r="6484" spans="1:5" x14ac:dyDescent="0.2">
      <c r="A6484" s="126">
        <v>6423</v>
      </c>
      <c r="B6484" s="1831"/>
      <c r="D6484" s="2" t="str">
        <f t="shared" si="100"/>
        <v>OK</v>
      </c>
      <c r="E6484" s="4" t="s">
        <v>1993</v>
      </c>
    </row>
    <row r="6485" spans="1:5" x14ac:dyDescent="0.2">
      <c r="A6485" s="126">
        <v>6424</v>
      </c>
      <c r="B6485" s="1831"/>
      <c r="D6485" s="2" t="str">
        <f t="shared" si="100"/>
        <v>OK</v>
      </c>
      <c r="E6485" s="4" t="s">
        <v>1993</v>
      </c>
    </row>
    <row r="6486" spans="1:5" x14ac:dyDescent="0.2">
      <c r="A6486" s="126">
        <v>6425</v>
      </c>
      <c r="B6486" s="1831"/>
      <c r="D6486" s="2" t="str">
        <f t="shared" si="100"/>
        <v>OK</v>
      </c>
      <c r="E6486" s="4" t="s">
        <v>1993</v>
      </c>
    </row>
    <row r="6487" spans="1:5" x14ac:dyDescent="0.2">
      <c r="A6487" s="126">
        <v>6426</v>
      </c>
      <c r="B6487" s="1831"/>
      <c r="D6487" s="2" t="str">
        <f t="shared" si="100"/>
        <v>OK</v>
      </c>
      <c r="E6487" s="4" t="s">
        <v>1993</v>
      </c>
    </row>
    <row r="6488" spans="1:5" x14ac:dyDescent="0.2">
      <c r="A6488" s="126">
        <v>6427</v>
      </c>
      <c r="B6488" s="1831"/>
      <c r="D6488" s="2" t="str">
        <f t="shared" si="100"/>
        <v>OK</v>
      </c>
      <c r="E6488" s="4" t="s">
        <v>1993</v>
      </c>
    </row>
    <row r="6489" spans="1:5" x14ac:dyDescent="0.2">
      <c r="A6489" s="126">
        <v>6428</v>
      </c>
      <c r="B6489" s="1831"/>
      <c r="D6489" s="2" t="str">
        <f t="shared" si="100"/>
        <v>OK</v>
      </c>
      <c r="E6489" s="4" t="s">
        <v>1993</v>
      </c>
    </row>
    <row r="6490" spans="1:5" x14ac:dyDescent="0.2">
      <c r="A6490" s="126">
        <v>6429</v>
      </c>
      <c r="B6490" s="1831"/>
      <c r="D6490" s="2" t="str">
        <f t="shared" si="100"/>
        <v>OK</v>
      </c>
      <c r="E6490" s="4" t="s">
        <v>1993</v>
      </c>
    </row>
    <row r="6491" spans="1:5" x14ac:dyDescent="0.2">
      <c r="A6491" s="126">
        <v>6430</v>
      </c>
      <c r="B6491" s="1831"/>
      <c r="D6491" s="2" t="str">
        <f t="shared" si="100"/>
        <v>OK</v>
      </c>
      <c r="E6491" s="4" t="s">
        <v>1993</v>
      </c>
    </row>
    <row r="6492" spans="1:5" x14ac:dyDescent="0.2">
      <c r="A6492" s="126">
        <v>6431</v>
      </c>
      <c r="B6492" s="1831"/>
      <c r="D6492" s="2" t="str">
        <f t="shared" si="100"/>
        <v>OK</v>
      </c>
      <c r="E6492" s="4" t="s">
        <v>1993</v>
      </c>
    </row>
    <row r="6493" spans="1:5" x14ac:dyDescent="0.2">
      <c r="A6493" s="126">
        <v>6432</v>
      </c>
      <c r="B6493" s="1831"/>
      <c r="D6493" s="2" t="str">
        <f t="shared" si="100"/>
        <v>OK</v>
      </c>
      <c r="E6493" s="4" t="s">
        <v>1993</v>
      </c>
    </row>
    <row r="6494" spans="1:5" x14ac:dyDescent="0.2">
      <c r="A6494" s="126">
        <v>6433</v>
      </c>
      <c r="B6494" s="1831"/>
      <c r="D6494" s="2" t="str">
        <f t="shared" si="100"/>
        <v>OK</v>
      </c>
      <c r="E6494" s="4" t="s">
        <v>1993</v>
      </c>
    </row>
    <row r="6495" spans="1:5" x14ac:dyDescent="0.2">
      <c r="A6495" s="126">
        <v>6434</v>
      </c>
      <c r="B6495" s="1831"/>
      <c r="D6495" s="2" t="str">
        <f t="shared" si="100"/>
        <v>OK</v>
      </c>
      <c r="E6495" s="4" t="s">
        <v>1993</v>
      </c>
    </row>
    <row r="6496" spans="1:5" x14ac:dyDescent="0.2">
      <c r="A6496" s="126">
        <v>6435</v>
      </c>
      <c r="B6496" s="1831"/>
      <c r="D6496" s="2" t="str">
        <f t="shared" si="100"/>
        <v>OK</v>
      </c>
      <c r="E6496" s="4" t="s">
        <v>1993</v>
      </c>
    </row>
    <row r="6497" spans="1:5" x14ac:dyDescent="0.2">
      <c r="A6497" s="126">
        <v>6436</v>
      </c>
      <c r="B6497" s="1831"/>
      <c r="D6497" s="2" t="str">
        <f t="shared" si="100"/>
        <v>OK</v>
      </c>
      <c r="E6497" s="4" t="s">
        <v>1993</v>
      </c>
    </row>
    <row r="6498" spans="1:5" x14ac:dyDescent="0.2">
      <c r="A6498" s="126">
        <v>6437</v>
      </c>
      <c r="B6498" s="1831"/>
      <c r="D6498" s="2" t="str">
        <f t="shared" si="100"/>
        <v>OK</v>
      </c>
      <c r="E6498" s="4" t="s">
        <v>1993</v>
      </c>
    </row>
    <row r="6499" spans="1:5" x14ac:dyDescent="0.2">
      <c r="A6499" s="126">
        <v>6438</v>
      </c>
      <c r="B6499" s="1831"/>
      <c r="D6499" s="2" t="str">
        <f t="shared" si="100"/>
        <v>OK</v>
      </c>
      <c r="E6499" s="4" t="s">
        <v>1993</v>
      </c>
    </row>
    <row r="6500" spans="1:5" x14ac:dyDescent="0.2">
      <c r="A6500" s="126">
        <v>6439</v>
      </c>
      <c r="B6500" s="1831"/>
      <c r="D6500" s="2" t="str">
        <f t="shared" si="100"/>
        <v>OK</v>
      </c>
      <c r="E6500" s="4" t="s">
        <v>1993</v>
      </c>
    </row>
    <row r="6501" spans="1:5" x14ac:dyDescent="0.2">
      <c r="A6501" s="126">
        <v>6440</v>
      </c>
      <c r="B6501" s="1831"/>
      <c r="D6501" s="2" t="str">
        <f t="shared" si="100"/>
        <v>OK</v>
      </c>
      <c r="E6501" s="4" t="s">
        <v>1993</v>
      </c>
    </row>
    <row r="6502" spans="1:5" x14ac:dyDescent="0.2">
      <c r="A6502" s="126">
        <v>6441</v>
      </c>
      <c r="B6502" s="1831"/>
      <c r="D6502" s="2" t="str">
        <f t="shared" si="100"/>
        <v>OK</v>
      </c>
      <c r="E6502" s="4" t="s">
        <v>1993</v>
      </c>
    </row>
    <row r="6503" spans="1:5" x14ac:dyDescent="0.2">
      <c r="A6503" s="126">
        <v>6442</v>
      </c>
      <c r="B6503" s="1831"/>
      <c r="D6503" s="2" t="str">
        <f t="shared" si="100"/>
        <v>OK</v>
      </c>
      <c r="E6503" s="4" t="s">
        <v>1993</v>
      </c>
    </row>
    <row r="6504" spans="1:5" x14ac:dyDescent="0.2">
      <c r="A6504" s="126">
        <v>6443</v>
      </c>
      <c r="B6504" s="1831"/>
      <c r="D6504" s="2" t="str">
        <f t="shared" si="100"/>
        <v>OK</v>
      </c>
      <c r="E6504" s="4" t="s">
        <v>1993</v>
      </c>
    </row>
    <row r="6505" spans="1:5" x14ac:dyDescent="0.2">
      <c r="A6505" s="126">
        <v>6444</v>
      </c>
      <c r="B6505" s="1831"/>
      <c r="D6505" s="2" t="str">
        <f t="shared" si="100"/>
        <v>OK</v>
      </c>
      <c r="E6505" s="4" t="s">
        <v>1993</v>
      </c>
    </row>
    <row r="6506" spans="1:5" x14ac:dyDescent="0.2">
      <c r="A6506" s="126">
        <v>6445</v>
      </c>
      <c r="B6506" s="1831"/>
      <c r="D6506" s="2" t="str">
        <f t="shared" si="100"/>
        <v>OK</v>
      </c>
      <c r="E6506" s="4" t="s">
        <v>1993</v>
      </c>
    </row>
    <row r="6507" spans="1:5" x14ac:dyDescent="0.2">
      <c r="A6507" s="126">
        <v>6446</v>
      </c>
      <c r="B6507" s="1831"/>
      <c r="D6507" s="2" t="str">
        <f t="shared" si="100"/>
        <v>OK</v>
      </c>
      <c r="E6507" s="4" t="s">
        <v>1993</v>
      </c>
    </row>
    <row r="6508" spans="1:5" x14ac:dyDescent="0.2">
      <c r="A6508" s="126">
        <v>6447</v>
      </c>
      <c r="B6508" s="1831"/>
      <c r="D6508" s="2" t="str">
        <f t="shared" si="100"/>
        <v>OK</v>
      </c>
      <c r="E6508" s="4" t="s">
        <v>1993</v>
      </c>
    </row>
    <row r="6509" spans="1:5" x14ac:dyDescent="0.2">
      <c r="A6509" s="126">
        <v>6448</v>
      </c>
      <c r="B6509" s="1831"/>
      <c r="D6509" s="2" t="str">
        <f t="shared" si="100"/>
        <v>OK</v>
      </c>
      <c r="E6509" s="4" t="s">
        <v>1993</v>
      </c>
    </row>
    <row r="6510" spans="1:5" x14ac:dyDescent="0.2">
      <c r="A6510" s="126">
        <v>6449</v>
      </c>
      <c r="B6510" s="1831"/>
      <c r="D6510" s="2" t="str">
        <f t="shared" si="100"/>
        <v>OK</v>
      </c>
      <c r="E6510" s="4" t="s">
        <v>1993</v>
      </c>
    </row>
    <row r="6511" spans="1:5" x14ac:dyDescent="0.2">
      <c r="A6511" s="126">
        <v>6450</v>
      </c>
      <c r="B6511" s="1831"/>
      <c r="D6511" s="2" t="str">
        <f t="shared" si="100"/>
        <v>OK</v>
      </c>
      <c r="E6511" s="4" t="s">
        <v>1993</v>
      </c>
    </row>
    <row r="6512" spans="1:5" x14ac:dyDescent="0.2">
      <c r="A6512" s="126">
        <v>6451</v>
      </c>
      <c r="B6512" s="1831"/>
      <c r="D6512" s="2" t="str">
        <f t="shared" si="100"/>
        <v>OK</v>
      </c>
      <c r="E6512" s="4" t="s">
        <v>1993</v>
      </c>
    </row>
    <row r="6513" spans="1:5" x14ac:dyDescent="0.2">
      <c r="A6513" s="126">
        <v>6452</v>
      </c>
      <c r="B6513" s="1831"/>
      <c r="D6513" s="2" t="str">
        <f t="shared" si="100"/>
        <v>OK</v>
      </c>
      <c r="E6513" s="4" t="s">
        <v>1993</v>
      </c>
    </row>
    <row r="6514" spans="1:5" x14ac:dyDescent="0.2">
      <c r="A6514" s="126">
        <v>6453</v>
      </c>
      <c r="B6514" s="1831"/>
      <c r="D6514" s="2" t="str">
        <f t="shared" si="100"/>
        <v>OK</v>
      </c>
      <c r="E6514" s="4" t="s">
        <v>1993</v>
      </c>
    </row>
    <row r="6515" spans="1:5" x14ac:dyDescent="0.2">
      <c r="A6515" s="126">
        <v>6454</v>
      </c>
      <c r="B6515" s="1831"/>
      <c r="D6515" s="2" t="str">
        <f t="shared" si="100"/>
        <v>OK</v>
      </c>
      <c r="E6515" s="4" t="s">
        <v>1993</v>
      </c>
    </row>
    <row r="6516" spans="1:5" x14ac:dyDescent="0.2">
      <c r="A6516" s="126">
        <v>6455</v>
      </c>
      <c r="B6516" s="1831"/>
      <c r="D6516" s="2" t="str">
        <f t="shared" si="100"/>
        <v>OK</v>
      </c>
      <c r="E6516" s="4" t="s">
        <v>1993</v>
      </c>
    </row>
    <row r="6517" spans="1:5" x14ac:dyDescent="0.2">
      <c r="A6517" s="126">
        <v>6456</v>
      </c>
      <c r="B6517" s="1831"/>
      <c r="D6517" s="2" t="str">
        <f t="shared" si="100"/>
        <v>OK</v>
      </c>
      <c r="E6517" s="4" t="s">
        <v>1993</v>
      </c>
    </row>
    <row r="6518" spans="1:5" x14ac:dyDescent="0.2">
      <c r="A6518" s="126">
        <v>6457</v>
      </c>
      <c r="B6518" s="1831"/>
      <c r="D6518" s="2" t="str">
        <f t="shared" si="100"/>
        <v>OK</v>
      </c>
      <c r="E6518" s="4" t="s">
        <v>1993</v>
      </c>
    </row>
    <row r="6519" spans="1:5" x14ac:dyDescent="0.2">
      <c r="A6519" s="126">
        <v>6458</v>
      </c>
      <c r="B6519" s="1831"/>
      <c r="D6519" s="2" t="str">
        <f t="shared" si="100"/>
        <v>OK</v>
      </c>
      <c r="E6519" s="4" t="s">
        <v>1993</v>
      </c>
    </row>
    <row r="6520" spans="1:5" x14ac:dyDescent="0.2">
      <c r="A6520" s="126">
        <v>6459</v>
      </c>
      <c r="B6520" s="1831"/>
      <c r="D6520" s="2" t="str">
        <f t="shared" si="100"/>
        <v>OK</v>
      </c>
      <c r="E6520" s="4" t="s">
        <v>1993</v>
      </c>
    </row>
    <row r="6521" spans="1:5" x14ac:dyDescent="0.2">
      <c r="A6521" s="126">
        <v>6460</v>
      </c>
      <c r="B6521" s="1831"/>
      <c r="D6521" s="2" t="str">
        <f t="shared" si="100"/>
        <v>OK</v>
      </c>
      <c r="E6521" s="4" t="s">
        <v>1993</v>
      </c>
    </row>
    <row r="6522" spans="1:5" x14ac:dyDescent="0.2">
      <c r="A6522" s="126">
        <v>6461</v>
      </c>
      <c r="B6522" s="1831"/>
      <c r="D6522" s="2" t="str">
        <f t="shared" si="100"/>
        <v>OK</v>
      </c>
      <c r="E6522" s="4" t="s">
        <v>1993</v>
      </c>
    </row>
    <row r="6523" spans="1:5" x14ac:dyDescent="0.2">
      <c r="A6523" s="126">
        <v>6462</v>
      </c>
      <c r="B6523" s="1831"/>
      <c r="D6523" s="2" t="str">
        <f t="shared" si="100"/>
        <v>OK</v>
      </c>
      <c r="E6523" s="4" t="s">
        <v>1993</v>
      </c>
    </row>
    <row r="6524" spans="1:5" x14ac:dyDescent="0.2">
      <c r="A6524" s="126">
        <v>6463</v>
      </c>
      <c r="B6524" s="1831"/>
      <c r="D6524" s="2" t="str">
        <f t="shared" si="100"/>
        <v>OK</v>
      </c>
      <c r="E6524" s="4" t="s">
        <v>1993</v>
      </c>
    </row>
    <row r="6525" spans="1:5" x14ac:dyDescent="0.2">
      <c r="A6525" s="126">
        <v>6464</v>
      </c>
      <c r="B6525" s="1831"/>
      <c r="D6525" s="2" t="str">
        <f t="shared" si="100"/>
        <v>OK</v>
      </c>
      <c r="E6525" s="4" t="s">
        <v>1993</v>
      </c>
    </row>
    <row r="6526" spans="1:5" x14ac:dyDescent="0.2">
      <c r="A6526" s="126">
        <v>6465</v>
      </c>
      <c r="B6526" s="1831"/>
      <c r="D6526" s="2" t="str">
        <f t="shared" si="100"/>
        <v>OK</v>
      </c>
      <c r="E6526" s="4" t="s">
        <v>1993</v>
      </c>
    </row>
    <row r="6527" spans="1:5" x14ac:dyDescent="0.2">
      <c r="A6527" s="126">
        <v>6466</v>
      </c>
      <c r="B6527" s="1831"/>
      <c r="D6527" s="2" t="str">
        <f t="shared" ref="D6527:D6590" si="101">IF(ISBLANK(B6527),"OK",IF(A6527-B6527=0,"OK","Error?"))</f>
        <v>OK</v>
      </c>
      <c r="E6527" s="4" t="s">
        <v>1993</v>
      </c>
    </row>
    <row r="6528" spans="1:5" x14ac:dyDescent="0.2">
      <c r="A6528" s="126">
        <v>6467</v>
      </c>
      <c r="B6528" s="1831"/>
      <c r="D6528" s="2" t="str">
        <f t="shared" si="101"/>
        <v>OK</v>
      </c>
      <c r="E6528" s="4" t="s">
        <v>1993</v>
      </c>
    </row>
    <row r="6529" spans="1:5" x14ac:dyDescent="0.2">
      <c r="A6529" s="126">
        <v>6468</v>
      </c>
      <c r="B6529" s="1831"/>
      <c r="D6529" s="2" t="str">
        <f t="shared" si="101"/>
        <v>OK</v>
      </c>
      <c r="E6529" s="4" t="s">
        <v>1993</v>
      </c>
    </row>
    <row r="6530" spans="1:5" x14ac:dyDescent="0.2">
      <c r="A6530" s="126">
        <v>6469</v>
      </c>
      <c r="B6530" s="1831"/>
      <c r="D6530" s="2" t="str">
        <f t="shared" si="101"/>
        <v>OK</v>
      </c>
      <c r="E6530" s="4" t="s">
        <v>1993</v>
      </c>
    </row>
    <row r="6531" spans="1:5" x14ac:dyDescent="0.2">
      <c r="A6531" s="126">
        <v>6470</v>
      </c>
      <c r="B6531" s="1831"/>
      <c r="D6531" s="2" t="str">
        <f t="shared" si="101"/>
        <v>OK</v>
      </c>
      <c r="E6531" s="4" t="s">
        <v>1993</v>
      </c>
    </row>
    <row r="6532" spans="1:5" x14ac:dyDescent="0.2">
      <c r="A6532" s="126">
        <v>6471</v>
      </c>
      <c r="B6532" s="1831"/>
      <c r="D6532" s="2" t="str">
        <f t="shared" si="101"/>
        <v>OK</v>
      </c>
      <c r="E6532" s="4" t="s">
        <v>1993</v>
      </c>
    </row>
    <row r="6533" spans="1:5" x14ac:dyDescent="0.2">
      <c r="A6533" s="126">
        <v>6472</v>
      </c>
      <c r="B6533" s="1831"/>
      <c r="D6533" s="2" t="str">
        <f t="shared" si="101"/>
        <v>OK</v>
      </c>
      <c r="E6533" s="4" t="s">
        <v>1993</v>
      </c>
    </row>
    <row r="6534" spans="1:5" x14ac:dyDescent="0.2">
      <c r="A6534" s="126">
        <v>6473</v>
      </c>
      <c r="B6534" s="1831"/>
      <c r="D6534" s="2" t="str">
        <f t="shared" si="101"/>
        <v>OK</v>
      </c>
      <c r="E6534" s="4" t="s">
        <v>1993</v>
      </c>
    </row>
    <row r="6535" spans="1:5" x14ac:dyDescent="0.2">
      <c r="A6535" s="126">
        <v>6474</v>
      </c>
      <c r="B6535" s="1831"/>
      <c r="D6535" s="2" t="str">
        <f t="shared" si="101"/>
        <v>OK</v>
      </c>
      <c r="E6535" s="4" t="s">
        <v>1993</v>
      </c>
    </row>
    <row r="6536" spans="1:5" x14ac:dyDescent="0.2">
      <c r="A6536" s="126">
        <v>6475</v>
      </c>
      <c r="B6536" s="1831"/>
      <c r="D6536" s="2" t="str">
        <f t="shared" si="101"/>
        <v>OK</v>
      </c>
      <c r="E6536" s="4" t="s">
        <v>1993</v>
      </c>
    </row>
    <row r="6537" spans="1:5" x14ac:dyDescent="0.2">
      <c r="A6537" s="126">
        <v>6476</v>
      </c>
      <c r="B6537" s="1831"/>
      <c r="D6537" s="2" t="str">
        <f t="shared" si="101"/>
        <v>OK</v>
      </c>
      <c r="E6537" s="4" t="s">
        <v>1993</v>
      </c>
    </row>
    <row r="6538" spans="1:5" x14ac:dyDescent="0.2">
      <c r="A6538" s="126">
        <v>6477</v>
      </c>
      <c r="B6538" s="1831"/>
      <c r="D6538" s="2" t="str">
        <f t="shared" si="101"/>
        <v>OK</v>
      </c>
      <c r="E6538" s="4" t="s">
        <v>1993</v>
      </c>
    </row>
    <row r="6539" spans="1:5" x14ac:dyDescent="0.2">
      <c r="A6539" s="126">
        <v>6478</v>
      </c>
      <c r="B6539" s="1831"/>
      <c r="D6539" s="2" t="str">
        <f t="shared" si="101"/>
        <v>OK</v>
      </c>
      <c r="E6539" s="4" t="s">
        <v>1993</v>
      </c>
    </row>
    <row r="6540" spans="1:5" x14ac:dyDescent="0.2">
      <c r="A6540" s="126">
        <v>6479</v>
      </c>
      <c r="B6540" s="1831"/>
      <c r="D6540" s="2" t="str">
        <f t="shared" si="101"/>
        <v>OK</v>
      </c>
      <c r="E6540" s="4" t="s">
        <v>1993</v>
      </c>
    </row>
    <row r="6541" spans="1:5" x14ac:dyDescent="0.2">
      <c r="A6541" s="126">
        <v>6480</v>
      </c>
      <c r="B6541" s="1831"/>
      <c r="D6541" s="2" t="str">
        <f t="shared" si="101"/>
        <v>OK</v>
      </c>
      <c r="E6541" s="4" t="s">
        <v>1993</v>
      </c>
    </row>
    <row r="6542" spans="1:5" x14ac:dyDescent="0.2">
      <c r="A6542" s="126">
        <v>6481</v>
      </c>
      <c r="B6542" s="1831"/>
      <c r="D6542" s="2" t="str">
        <f t="shared" si="101"/>
        <v>OK</v>
      </c>
      <c r="E6542" s="4" t="s">
        <v>1993</v>
      </c>
    </row>
    <row r="6543" spans="1:5" x14ac:dyDescent="0.2">
      <c r="A6543" s="126">
        <v>6482</v>
      </c>
      <c r="B6543" s="1831"/>
      <c r="D6543" s="2" t="str">
        <f t="shared" si="101"/>
        <v>OK</v>
      </c>
      <c r="E6543" s="4" t="s">
        <v>1993</v>
      </c>
    </row>
    <row r="6544" spans="1:5" x14ac:dyDescent="0.2">
      <c r="A6544" s="126">
        <v>6483</v>
      </c>
      <c r="B6544" s="1831"/>
      <c r="D6544" s="2" t="str">
        <f t="shared" si="101"/>
        <v>OK</v>
      </c>
      <c r="E6544" s="4" t="s">
        <v>1993</v>
      </c>
    </row>
    <row r="6545" spans="1:5" x14ac:dyDescent="0.2">
      <c r="A6545" s="126">
        <v>6484</v>
      </c>
      <c r="B6545" s="1831"/>
      <c r="D6545" s="2" t="str">
        <f t="shared" si="101"/>
        <v>OK</v>
      </c>
      <c r="E6545" s="4" t="s">
        <v>1993</v>
      </c>
    </row>
    <row r="6546" spans="1:5" x14ac:dyDescent="0.2">
      <c r="A6546" s="126">
        <v>6485</v>
      </c>
      <c r="B6546" s="1831"/>
      <c r="D6546" s="2" t="str">
        <f t="shared" si="101"/>
        <v>OK</v>
      </c>
      <c r="E6546" s="4" t="s">
        <v>1993</v>
      </c>
    </row>
    <row r="6547" spans="1:5" x14ac:dyDescent="0.2">
      <c r="A6547" s="126">
        <v>6486</v>
      </c>
      <c r="B6547" s="1831"/>
      <c r="D6547" s="2" t="str">
        <f t="shared" si="101"/>
        <v>OK</v>
      </c>
      <c r="E6547" s="4" t="s">
        <v>1993</v>
      </c>
    </row>
    <row r="6548" spans="1:5" x14ac:dyDescent="0.2">
      <c r="A6548" s="126">
        <v>6487</v>
      </c>
      <c r="B6548" s="1831"/>
      <c r="D6548" s="2" t="str">
        <f t="shared" si="101"/>
        <v>OK</v>
      </c>
      <c r="E6548" s="4" t="s">
        <v>1993</v>
      </c>
    </row>
    <row r="6549" spans="1:5" x14ac:dyDescent="0.2">
      <c r="A6549" s="126">
        <v>6488</v>
      </c>
      <c r="B6549" s="1831"/>
      <c r="D6549" s="2" t="str">
        <f t="shared" si="101"/>
        <v>OK</v>
      </c>
      <c r="E6549" s="4" t="s">
        <v>1993</v>
      </c>
    </row>
    <row r="6550" spans="1:5" x14ac:dyDescent="0.2">
      <c r="A6550" s="126">
        <v>6489</v>
      </c>
      <c r="B6550" s="1831"/>
      <c r="D6550" s="2" t="str">
        <f t="shared" si="101"/>
        <v>OK</v>
      </c>
      <c r="E6550" s="4" t="s">
        <v>1993</v>
      </c>
    </row>
    <row r="6551" spans="1:5" x14ac:dyDescent="0.2">
      <c r="A6551" s="126">
        <v>6490</v>
      </c>
      <c r="B6551" s="1831"/>
      <c r="D6551" s="2" t="str">
        <f t="shared" si="101"/>
        <v>OK</v>
      </c>
      <c r="E6551" s="4" t="s">
        <v>1993</v>
      </c>
    </row>
    <row r="6552" spans="1:5" x14ac:dyDescent="0.2">
      <c r="A6552" s="126">
        <v>6491</v>
      </c>
      <c r="B6552" s="1831"/>
      <c r="D6552" s="2" t="str">
        <f t="shared" si="101"/>
        <v>OK</v>
      </c>
      <c r="E6552" s="4" t="s">
        <v>1993</v>
      </c>
    </row>
    <row r="6553" spans="1:5" x14ac:dyDescent="0.2">
      <c r="A6553" s="126">
        <v>6492</v>
      </c>
      <c r="B6553" s="1831"/>
      <c r="D6553" s="2" t="str">
        <f t="shared" si="101"/>
        <v>OK</v>
      </c>
      <c r="E6553" s="4" t="s">
        <v>1993</v>
      </c>
    </row>
    <row r="6554" spans="1:5" x14ac:dyDescent="0.2">
      <c r="A6554" s="126">
        <v>6493</v>
      </c>
      <c r="B6554" s="1831"/>
      <c r="D6554" s="2" t="str">
        <f t="shared" si="101"/>
        <v>OK</v>
      </c>
      <c r="E6554" s="4" t="s">
        <v>1993</v>
      </c>
    </row>
    <row r="6555" spans="1:5" x14ac:dyDescent="0.2">
      <c r="A6555" s="126">
        <v>6494</v>
      </c>
      <c r="B6555" s="1831"/>
      <c r="D6555" s="2" t="str">
        <f t="shared" si="101"/>
        <v>OK</v>
      </c>
      <c r="E6555" s="4" t="s">
        <v>1993</v>
      </c>
    </row>
    <row r="6556" spans="1:5" x14ac:dyDescent="0.2">
      <c r="A6556" s="126">
        <v>6495</v>
      </c>
      <c r="B6556" s="1831"/>
      <c r="D6556" s="2" t="str">
        <f t="shared" si="101"/>
        <v>OK</v>
      </c>
      <c r="E6556" s="4" t="s">
        <v>1993</v>
      </c>
    </row>
    <row r="6557" spans="1:5" x14ac:dyDescent="0.2">
      <c r="A6557" s="126">
        <v>6496</v>
      </c>
      <c r="B6557" s="1831"/>
      <c r="D6557" s="2" t="str">
        <f t="shared" si="101"/>
        <v>OK</v>
      </c>
      <c r="E6557" s="4" t="s">
        <v>1993</v>
      </c>
    </row>
    <row r="6558" spans="1:5" x14ac:dyDescent="0.2">
      <c r="A6558" s="126">
        <v>6497</v>
      </c>
      <c r="B6558" s="1831"/>
      <c r="D6558" s="2" t="str">
        <f t="shared" si="101"/>
        <v>OK</v>
      </c>
      <c r="E6558" s="4" t="s">
        <v>1993</v>
      </c>
    </row>
    <row r="6559" spans="1:5" x14ac:dyDescent="0.2">
      <c r="A6559" s="126">
        <v>6498</v>
      </c>
      <c r="B6559" s="1831"/>
      <c r="D6559" s="2" t="str">
        <f t="shared" si="101"/>
        <v>OK</v>
      </c>
      <c r="E6559" s="4" t="s">
        <v>1993</v>
      </c>
    </row>
    <row r="6560" spans="1:5" x14ac:dyDescent="0.2">
      <c r="A6560" s="126">
        <v>6499</v>
      </c>
      <c r="B6560" s="1831"/>
      <c r="D6560" s="2" t="str">
        <f t="shared" si="101"/>
        <v>OK</v>
      </c>
      <c r="E6560" s="4" t="s">
        <v>1993</v>
      </c>
    </row>
    <row r="6561" spans="1:5" x14ac:dyDescent="0.2">
      <c r="A6561" s="126">
        <v>6500</v>
      </c>
      <c r="B6561" s="1831"/>
      <c r="D6561" s="2" t="str">
        <f t="shared" si="101"/>
        <v>OK</v>
      </c>
      <c r="E6561" s="4" t="s">
        <v>1993</v>
      </c>
    </row>
    <row r="6562" spans="1:5" x14ac:dyDescent="0.2">
      <c r="A6562" s="126">
        <v>6501</v>
      </c>
      <c r="B6562" s="1831"/>
      <c r="D6562" s="2" t="str">
        <f t="shared" si="101"/>
        <v>OK</v>
      </c>
      <c r="E6562" s="4" t="s">
        <v>1993</v>
      </c>
    </row>
    <row r="6563" spans="1:5" x14ac:dyDescent="0.2">
      <c r="A6563" s="126">
        <v>6502</v>
      </c>
      <c r="B6563" s="1831"/>
      <c r="D6563" s="2" t="str">
        <f t="shared" si="101"/>
        <v>OK</v>
      </c>
      <c r="E6563" s="4" t="s">
        <v>1993</v>
      </c>
    </row>
    <row r="6564" spans="1:5" x14ac:dyDescent="0.2">
      <c r="A6564" s="126">
        <v>6503</v>
      </c>
      <c r="B6564" s="1831"/>
      <c r="D6564" s="2" t="str">
        <f t="shared" si="101"/>
        <v>OK</v>
      </c>
      <c r="E6564" s="4" t="s">
        <v>1993</v>
      </c>
    </row>
    <row r="6565" spans="1:5" x14ac:dyDescent="0.2">
      <c r="A6565" s="126">
        <v>6504</v>
      </c>
      <c r="B6565" s="1831"/>
      <c r="D6565" s="2" t="str">
        <f t="shared" si="101"/>
        <v>OK</v>
      </c>
      <c r="E6565" s="4" t="s">
        <v>1993</v>
      </c>
    </row>
    <row r="6566" spans="1:5" x14ac:dyDescent="0.2">
      <c r="A6566" s="126">
        <v>6505</v>
      </c>
      <c r="B6566" s="1831"/>
      <c r="D6566" s="2" t="str">
        <f t="shared" si="101"/>
        <v>OK</v>
      </c>
      <c r="E6566" s="4" t="s">
        <v>1993</v>
      </c>
    </row>
    <row r="6567" spans="1:5" x14ac:dyDescent="0.2">
      <c r="A6567" s="126">
        <v>6506</v>
      </c>
      <c r="B6567" s="1831"/>
      <c r="D6567" s="2" t="str">
        <f t="shared" si="101"/>
        <v>OK</v>
      </c>
      <c r="E6567" s="4" t="s">
        <v>1993</v>
      </c>
    </row>
    <row r="6568" spans="1:5" x14ac:dyDescent="0.2">
      <c r="A6568" s="126">
        <v>6507</v>
      </c>
      <c r="B6568" s="1831"/>
      <c r="D6568" s="2" t="str">
        <f t="shared" si="101"/>
        <v>OK</v>
      </c>
      <c r="E6568" s="4" t="s">
        <v>1993</v>
      </c>
    </row>
    <row r="6569" spans="1:5" x14ac:dyDescent="0.2">
      <c r="A6569" s="126">
        <v>6508</v>
      </c>
      <c r="B6569" s="1831"/>
      <c r="D6569" s="2" t="str">
        <f t="shared" si="101"/>
        <v>OK</v>
      </c>
      <c r="E6569" s="4" t="s">
        <v>1993</v>
      </c>
    </row>
    <row r="6570" spans="1:5" x14ac:dyDescent="0.2">
      <c r="A6570" s="126">
        <v>6509</v>
      </c>
      <c r="B6570" s="1831"/>
      <c r="D6570" s="2" t="str">
        <f t="shared" si="101"/>
        <v>OK</v>
      </c>
      <c r="E6570" s="4" t="s">
        <v>1993</v>
      </c>
    </row>
    <row r="6571" spans="1:5" x14ac:dyDescent="0.2">
      <c r="A6571" s="126">
        <v>6510</v>
      </c>
      <c r="B6571" s="1831"/>
      <c r="D6571" s="2" t="str">
        <f t="shared" si="101"/>
        <v>OK</v>
      </c>
      <c r="E6571" s="4" t="s">
        <v>1993</v>
      </c>
    </row>
    <row r="6572" spans="1:5" x14ac:dyDescent="0.2">
      <c r="A6572" s="126">
        <v>6511</v>
      </c>
      <c r="B6572" s="1831"/>
      <c r="D6572" s="2" t="str">
        <f t="shared" si="101"/>
        <v>OK</v>
      </c>
      <c r="E6572" s="4" t="s">
        <v>1993</v>
      </c>
    </row>
    <row r="6573" spans="1:5" x14ac:dyDescent="0.2">
      <c r="A6573" s="126">
        <v>6512</v>
      </c>
      <c r="B6573" s="1831"/>
      <c r="D6573" s="2" t="str">
        <f t="shared" si="101"/>
        <v>OK</v>
      </c>
      <c r="E6573" s="4" t="s">
        <v>1993</v>
      </c>
    </row>
    <row r="6574" spans="1:5" x14ac:dyDescent="0.2">
      <c r="A6574" s="126">
        <v>6513</v>
      </c>
      <c r="B6574" s="1831"/>
      <c r="D6574" s="2" t="str">
        <f t="shared" si="101"/>
        <v>OK</v>
      </c>
      <c r="E6574" s="4" t="s">
        <v>1993</v>
      </c>
    </row>
    <row r="6575" spans="1:5" x14ac:dyDescent="0.2">
      <c r="A6575" s="126">
        <v>6514</v>
      </c>
      <c r="B6575" s="1831"/>
      <c r="D6575" s="2" t="str">
        <f t="shared" si="101"/>
        <v>OK</v>
      </c>
      <c r="E6575" s="4" t="s">
        <v>1993</v>
      </c>
    </row>
    <row r="6576" spans="1:5" x14ac:dyDescent="0.2">
      <c r="A6576" s="126">
        <v>6515</v>
      </c>
      <c r="B6576" s="1831"/>
      <c r="D6576" s="2" t="str">
        <f t="shared" si="101"/>
        <v>OK</v>
      </c>
      <c r="E6576" s="4" t="s">
        <v>1993</v>
      </c>
    </row>
    <row r="6577" spans="1:5" x14ac:dyDescent="0.2">
      <c r="A6577" s="126">
        <v>6516</v>
      </c>
      <c r="B6577" s="1831"/>
      <c r="D6577" s="2" t="str">
        <f t="shared" si="101"/>
        <v>OK</v>
      </c>
      <c r="E6577" s="4" t="s">
        <v>1993</v>
      </c>
    </row>
    <row r="6578" spans="1:5" x14ac:dyDescent="0.2">
      <c r="A6578" s="126">
        <v>6517</v>
      </c>
      <c r="B6578" s="1831"/>
      <c r="D6578" s="2" t="str">
        <f t="shared" si="101"/>
        <v>OK</v>
      </c>
      <c r="E6578" s="4" t="s">
        <v>1993</v>
      </c>
    </row>
    <row r="6579" spans="1:5" x14ac:dyDescent="0.2">
      <c r="A6579" s="126">
        <v>6518</v>
      </c>
      <c r="B6579" s="1831"/>
      <c r="D6579" s="2" t="str">
        <f t="shared" si="101"/>
        <v>OK</v>
      </c>
      <c r="E6579" s="4" t="s">
        <v>1993</v>
      </c>
    </row>
    <row r="6580" spans="1:5" x14ac:dyDescent="0.2">
      <c r="A6580" s="126">
        <v>6519</v>
      </c>
      <c r="B6580" s="1831"/>
      <c r="D6580" s="2" t="str">
        <f t="shared" si="101"/>
        <v>OK</v>
      </c>
      <c r="E6580" s="4" t="s">
        <v>1993</v>
      </c>
    </row>
    <row r="6581" spans="1:5" x14ac:dyDescent="0.2">
      <c r="A6581" s="126">
        <v>6520</v>
      </c>
      <c r="B6581" s="1831"/>
      <c r="D6581" s="2" t="str">
        <f t="shared" si="101"/>
        <v>OK</v>
      </c>
      <c r="E6581" s="4" t="s">
        <v>1993</v>
      </c>
    </row>
    <row r="6582" spans="1:5" x14ac:dyDescent="0.2">
      <c r="A6582" s="126">
        <v>6521</v>
      </c>
      <c r="B6582" s="1831"/>
      <c r="D6582" s="2" t="str">
        <f t="shared" si="101"/>
        <v>OK</v>
      </c>
      <c r="E6582" s="4" t="s">
        <v>1993</v>
      </c>
    </row>
    <row r="6583" spans="1:5" x14ac:dyDescent="0.2">
      <c r="A6583" s="126">
        <v>6522</v>
      </c>
      <c r="B6583" s="1831"/>
      <c r="D6583" s="2" t="str">
        <f t="shared" si="101"/>
        <v>OK</v>
      </c>
      <c r="E6583" s="4" t="s">
        <v>1993</v>
      </c>
    </row>
    <row r="6584" spans="1:5" x14ac:dyDescent="0.2">
      <c r="A6584" s="126">
        <v>6523</v>
      </c>
      <c r="B6584" s="1831"/>
      <c r="D6584" s="2" t="str">
        <f t="shared" si="101"/>
        <v>OK</v>
      </c>
      <c r="E6584" s="4" t="s">
        <v>1993</v>
      </c>
    </row>
    <row r="6585" spans="1:5" x14ac:dyDescent="0.2">
      <c r="A6585" s="126">
        <v>6524</v>
      </c>
      <c r="B6585" s="1831"/>
      <c r="D6585" s="2" t="str">
        <f t="shared" si="101"/>
        <v>OK</v>
      </c>
      <c r="E6585" s="4" t="s">
        <v>1993</v>
      </c>
    </row>
    <row r="6586" spans="1:5" x14ac:dyDescent="0.2">
      <c r="A6586" s="126">
        <v>6525</v>
      </c>
      <c r="B6586" s="1831"/>
      <c r="D6586" s="2" t="str">
        <f t="shared" si="101"/>
        <v>OK</v>
      </c>
      <c r="E6586" s="4" t="s">
        <v>1993</v>
      </c>
    </row>
    <row r="6587" spans="1:5" x14ac:dyDescent="0.2">
      <c r="A6587" s="126">
        <v>6526</v>
      </c>
      <c r="B6587" s="1831"/>
      <c r="D6587" s="2" t="str">
        <f t="shared" si="101"/>
        <v>OK</v>
      </c>
      <c r="E6587" s="4" t="s">
        <v>1993</v>
      </c>
    </row>
    <row r="6588" spans="1:5" x14ac:dyDescent="0.2">
      <c r="A6588" s="126">
        <v>6527</v>
      </c>
      <c r="B6588" s="1831"/>
      <c r="D6588" s="2" t="str">
        <f t="shared" si="101"/>
        <v>OK</v>
      </c>
      <c r="E6588" s="4" t="s">
        <v>1993</v>
      </c>
    </row>
    <row r="6589" spans="1:5" x14ac:dyDescent="0.2">
      <c r="A6589" s="126">
        <v>6528</v>
      </c>
      <c r="B6589" s="1831"/>
      <c r="D6589" s="2" t="str">
        <f t="shared" si="101"/>
        <v>OK</v>
      </c>
      <c r="E6589" s="4" t="s">
        <v>1993</v>
      </c>
    </row>
    <row r="6590" spans="1:5" x14ac:dyDescent="0.2">
      <c r="A6590" s="126">
        <v>6529</v>
      </c>
      <c r="B6590" s="1831"/>
      <c r="D6590" s="2" t="str">
        <f t="shared" si="101"/>
        <v>OK</v>
      </c>
      <c r="E6590" s="4" t="s">
        <v>1993</v>
      </c>
    </row>
    <row r="6591" spans="1:5" x14ac:dyDescent="0.2">
      <c r="A6591" s="126">
        <v>6530</v>
      </c>
      <c r="B6591" s="1831"/>
      <c r="D6591" s="2" t="str">
        <f t="shared" ref="D6591:D6654" si="102">IF(ISBLANK(B6591),"OK",IF(A6591-B6591=0,"OK","Error?"))</f>
        <v>OK</v>
      </c>
      <c r="E6591" s="4" t="s">
        <v>1993</v>
      </c>
    </row>
    <row r="6592" spans="1:5" x14ac:dyDescent="0.2">
      <c r="A6592" s="126">
        <v>6531</v>
      </c>
      <c r="B6592" s="1831"/>
      <c r="D6592" s="2" t="str">
        <f t="shared" si="102"/>
        <v>OK</v>
      </c>
      <c r="E6592" s="4" t="s">
        <v>1993</v>
      </c>
    </row>
    <row r="6593" spans="1:5" x14ac:dyDescent="0.2">
      <c r="A6593" s="126">
        <v>6532</v>
      </c>
      <c r="B6593" s="1831"/>
      <c r="D6593" s="2" t="str">
        <f t="shared" si="102"/>
        <v>OK</v>
      </c>
      <c r="E6593" s="4" t="s">
        <v>1993</v>
      </c>
    </row>
    <row r="6594" spans="1:5" x14ac:dyDescent="0.2">
      <c r="A6594" s="126">
        <v>6533</v>
      </c>
      <c r="B6594" s="1831"/>
      <c r="D6594" s="2" t="str">
        <f t="shared" si="102"/>
        <v>OK</v>
      </c>
      <c r="E6594" s="4" t="s">
        <v>1993</v>
      </c>
    </row>
    <row r="6595" spans="1:5" x14ac:dyDescent="0.2">
      <c r="A6595" s="126">
        <v>6534</v>
      </c>
      <c r="B6595" s="1831"/>
      <c r="D6595" s="2" t="str">
        <f t="shared" si="102"/>
        <v>OK</v>
      </c>
      <c r="E6595" s="4" t="s">
        <v>1993</v>
      </c>
    </row>
    <row r="6596" spans="1:5" x14ac:dyDescent="0.2">
      <c r="A6596" s="126">
        <v>6535</v>
      </c>
      <c r="B6596" s="1831"/>
      <c r="D6596" s="2" t="str">
        <f t="shared" si="102"/>
        <v>OK</v>
      </c>
      <c r="E6596" s="4" t="s">
        <v>1993</v>
      </c>
    </row>
    <row r="6597" spans="1:5" x14ac:dyDescent="0.2">
      <c r="A6597" s="126">
        <v>6536</v>
      </c>
      <c r="B6597" s="1831"/>
      <c r="D6597" s="2" t="str">
        <f t="shared" si="102"/>
        <v>OK</v>
      </c>
      <c r="E6597" s="4" t="s">
        <v>1993</v>
      </c>
    </row>
    <row r="6598" spans="1:5" x14ac:dyDescent="0.2">
      <c r="A6598" s="126">
        <v>6537</v>
      </c>
      <c r="B6598" s="1831"/>
      <c r="D6598" s="2" t="str">
        <f t="shared" si="102"/>
        <v>OK</v>
      </c>
      <c r="E6598" s="4" t="s">
        <v>1993</v>
      </c>
    </row>
    <row r="6599" spans="1:5" x14ac:dyDescent="0.2">
      <c r="A6599" s="126">
        <v>6538</v>
      </c>
      <c r="B6599" s="1831"/>
      <c r="D6599" s="2" t="str">
        <f t="shared" si="102"/>
        <v>OK</v>
      </c>
      <c r="E6599" s="4" t="s">
        <v>1993</v>
      </c>
    </row>
    <row r="6600" spans="1:5" x14ac:dyDescent="0.2">
      <c r="A6600" s="126">
        <v>6539</v>
      </c>
      <c r="B6600" s="1831"/>
      <c r="D6600" s="2" t="str">
        <f t="shared" si="102"/>
        <v>OK</v>
      </c>
      <c r="E6600" s="4" t="s">
        <v>1993</v>
      </c>
    </row>
    <row r="6601" spans="1:5" x14ac:dyDescent="0.2">
      <c r="A6601" s="126">
        <v>6540</v>
      </c>
      <c r="B6601" s="1831"/>
      <c r="D6601" s="2" t="str">
        <f t="shared" si="102"/>
        <v>OK</v>
      </c>
      <c r="E6601" s="4" t="s">
        <v>1993</v>
      </c>
    </row>
    <row r="6602" spans="1:5" x14ac:dyDescent="0.2">
      <c r="A6602" s="126">
        <v>6541</v>
      </c>
      <c r="B6602" s="1831"/>
      <c r="D6602" s="2" t="str">
        <f t="shared" si="102"/>
        <v>OK</v>
      </c>
      <c r="E6602" s="4" t="s">
        <v>1993</v>
      </c>
    </row>
    <row r="6603" spans="1:5" x14ac:dyDescent="0.2">
      <c r="A6603" s="126">
        <v>6542</v>
      </c>
      <c r="B6603" s="1831"/>
      <c r="D6603" s="2" t="str">
        <f t="shared" si="102"/>
        <v>OK</v>
      </c>
      <c r="E6603" s="4" t="s">
        <v>1993</v>
      </c>
    </row>
    <row r="6604" spans="1:5" x14ac:dyDescent="0.2">
      <c r="A6604" s="126">
        <v>6543</v>
      </c>
      <c r="B6604" s="1831"/>
      <c r="D6604" s="2" t="str">
        <f t="shared" si="102"/>
        <v>OK</v>
      </c>
      <c r="E6604" s="4" t="s">
        <v>1993</v>
      </c>
    </row>
    <row r="6605" spans="1:5" x14ac:dyDescent="0.2">
      <c r="A6605" s="126">
        <v>6544</v>
      </c>
      <c r="B6605" s="1831"/>
      <c r="D6605" s="2" t="str">
        <f t="shared" si="102"/>
        <v>OK</v>
      </c>
      <c r="E6605" s="4" t="s">
        <v>1993</v>
      </c>
    </row>
    <row r="6606" spans="1:5" x14ac:dyDescent="0.2">
      <c r="A6606" s="126">
        <v>6545</v>
      </c>
      <c r="B6606" s="1831"/>
      <c r="D6606" s="2" t="str">
        <f t="shared" si="102"/>
        <v>OK</v>
      </c>
      <c r="E6606" s="4" t="s">
        <v>1993</v>
      </c>
    </row>
    <row r="6607" spans="1:5" x14ac:dyDescent="0.2">
      <c r="A6607" s="126">
        <v>6546</v>
      </c>
      <c r="B6607" s="1831"/>
      <c r="D6607" s="2" t="str">
        <f t="shared" si="102"/>
        <v>OK</v>
      </c>
      <c r="E6607" s="4" t="s">
        <v>1993</v>
      </c>
    </row>
    <row r="6608" spans="1:5" x14ac:dyDescent="0.2">
      <c r="A6608" s="126">
        <v>6547</v>
      </c>
      <c r="B6608" s="1831"/>
      <c r="D6608" s="2" t="str">
        <f t="shared" si="102"/>
        <v>OK</v>
      </c>
      <c r="E6608" s="4" t="s">
        <v>1993</v>
      </c>
    </row>
    <row r="6609" spans="1:5" x14ac:dyDescent="0.2">
      <c r="A6609" s="126">
        <v>6548</v>
      </c>
      <c r="B6609" s="1831"/>
      <c r="D6609" s="2" t="str">
        <f t="shared" si="102"/>
        <v>OK</v>
      </c>
      <c r="E6609" s="4" t="s">
        <v>1993</v>
      </c>
    </row>
    <row r="6610" spans="1:5" x14ac:dyDescent="0.2">
      <c r="A6610" s="126">
        <v>6549</v>
      </c>
      <c r="B6610" s="1831"/>
      <c r="D6610" s="2" t="str">
        <f t="shared" si="102"/>
        <v>OK</v>
      </c>
      <c r="E6610" s="4" t="s">
        <v>1993</v>
      </c>
    </row>
    <row r="6611" spans="1:5" x14ac:dyDescent="0.2">
      <c r="A6611" s="126">
        <v>6550</v>
      </c>
      <c r="B6611" s="1831"/>
      <c r="D6611" s="2" t="str">
        <f t="shared" si="102"/>
        <v>OK</v>
      </c>
      <c r="E6611" s="4" t="s">
        <v>1993</v>
      </c>
    </row>
    <row r="6612" spans="1:5" x14ac:dyDescent="0.2">
      <c r="A6612" s="126">
        <v>6551</v>
      </c>
      <c r="B6612" s="1831"/>
      <c r="D6612" s="2" t="str">
        <f t="shared" si="102"/>
        <v>OK</v>
      </c>
      <c r="E6612" s="4" t="s">
        <v>1993</v>
      </c>
    </row>
    <row r="6613" spans="1:5" x14ac:dyDescent="0.2">
      <c r="A6613" s="126">
        <v>6552</v>
      </c>
      <c r="B6613" s="1831"/>
      <c r="D6613" s="2" t="str">
        <f t="shared" si="102"/>
        <v>OK</v>
      </c>
      <c r="E6613" s="4" t="s">
        <v>1993</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1897</v>
      </c>
    </row>
    <row r="6842" spans="1:5" x14ac:dyDescent="0.2">
      <c r="A6842" s="126">
        <v>6781</v>
      </c>
      <c r="B6842" s="1831"/>
      <c r="D6842" s="2" t="str">
        <f t="shared" si="105"/>
        <v>OK</v>
      </c>
      <c r="E6842" s="1" t="s">
        <v>1897</v>
      </c>
    </row>
    <row r="6843" spans="1:5" x14ac:dyDescent="0.2">
      <c r="A6843" s="126">
        <v>6782</v>
      </c>
      <c r="B6843" s="1831"/>
      <c r="D6843" s="2" t="str">
        <f t="shared" si="105"/>
        <v>OK</v>
      </c>
      <c r="E6843" s="1" t="s">
        <v>1897</v>
      </c>
    </row>
    <row r="6844" spans="1:5" x14ac:dyDescent="0.2">
      <c r="A6844">
        <v>6783</v>
      </c>
      <c r="B6844" s="1831">
        <f>'Expenditures 15-22'!I5</f>
        <v>0</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300153</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0</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0</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150595</v>
      </c>
      <c r="D6983" s="2" t="str">
        <f t="shared" si="108"/>
        <v>Error?</v>
      </c>
    </row>
    <row r="6984" spans="1:4" x14ac:dyDescent="0.2">
      <c r="A6984">
        <v>6923</v>
      </c>
      <c r="B6984" s="1831">
        <f>'Expenditures 15-22'!K86</f>
        <v>150595</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150595</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0</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0</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16982</v>
      </c>
      <c r="D7067" s="2" t="str">
        <f t="shared" si="109"/>
        <v>Error?</v>
      </c>
    </row>
    <row r="7068" spans="1:4" x14ac:dyDescent="0.2">
      <c r="A7068">
        <v>7007</v>
      </c>
      <c r="B7068" s="1831">
        <f>'Expenditures 15-22'!K205</f>
        <v>16982</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9788</v>
      </c>
      <c r="D7075" s="2" t="str">
        <f t="shared" si="109"/>
        <v>Error?</v>
      </c>
    </row>
    <row r="7076" spans="1:4" x14ac:dyDescent="0.2">
      <c r="A7076">
        <v>7015</v>
      </c>
      <c r="B7076" s="1831">
        <f>'Expenditures 15-22'!K218</f>
        <v>9788</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0</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0</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0</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0</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0</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0</v>
      </c>
      <c r="D7224" s="2" t="str">
        <f t="shared" si="111"/>
        <v>Error?</v>
      </c>
    </row>
    <row r="7225" spans="1:4" x14ac:dyDescent="0.2">
      <c r="A7225">
        <v>7164</v>
      </c>
      <c r="B7225" s="1831">
        <f>'Expenditures 15-22'!K343</f>
        <v>0</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250520</v>
      </c>
      <c r="D7251" s="2" t="str">
        <f t="shared" si="112"/>
        <v>Error?</v>
      </c>
    </row>
    <row r="7252" spans="1:4" x14ac:dyDescent="0.2">
      <c r="A7252">
        <f t="shared" si="113"/>
        <v>7191</v>
      </c>
      <c r="B7252" s="1831">
        <f>'Expenditures 15-22'!D9</f>
        <v>47355</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2278</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0</v>
      </c>
      <c r="D7624" s="2" t="str">
        <f t="shared" si="124"/>
        <v>Error?</v>
      </c>
      <c r="E7624" s="2" t="s">
        <v>19</v>
      </c>
    </row>
    <row r="7625" spans="1:5" x14ac:dyDescent="0.2">
      <c r="A7625">
        <f t="shared" si="123"/>
        <v>7564</v>
      </c>
      <c r="B7625" s="1831">
        <f>'Cap Outlay Deprec 26'!I17</f>
        <v>0</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1477517</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1994</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1994</v>
      </c>
    </row>
    <row r="7641" spans="1:6" x14ac:dyDescent="0.2">
      <c r="A7641" s="126">
        <f t="shared" si="125"/>
        <v>7580</v>
      </c>
      <c r="B7641" s="1832"/>
      <c r="D7641" s="2" t="str">
        <f t="shared" si="124"/>
        <v>OK</v>
      </c>
      <c r="E7641" s="4" t="s">
        <v>1994</v>
      </c>
    </row>
    <row r="7642" spans="1:6" x14ac:dyDescent="0.2">
      <c r="A7642" s="126">
        <f t="shared" si="125"/>
        <v>7581</v>
      </c>
      <c r="B7642" s="1832"/>
      <c r="D7642" s="2" t="str">
        <f t="shared" si="124"/>
        <v>OK</v>
      </c>
      <c r="E7642" s="4" t="s">
        <v>1994</v>
      </c>
    </row>
    <row r="7643" spans="1:6" x14ac:dyDescent="0.2">
      <c r="A7643" s="126">
        <f t="shared" si="125"/>
        <v>7582</v>
      </c>
      <c r="B7643" s="1832"/>
      <c r="D7643" s="2" t="str">
        <f t="shared" si="124"/>
        <v>OK</v>
      </c>
      <c r="E7643" s="4" t="s">
        <v>1994</v>
      </c>
    </row>
    <row r="7644" spans="1:6" x14ac:dyDescent="0.2">
      <c r="A7644" s="126">
        <f t="shared" si="125"/>
        <v>7583</v>
      </c>
      <c r="B7644" s="1832"/>
      <c r="D7644" s="2" t="str">
        <f t="shared" si="124"/>
        <v>OK</v>
      </c>
      <c r="E7644" s="4" t="s">
        <v>1994</v>
      </c>
    </row>
    <row r="7645" spans="1:6" x14ac:dyDescent="0.2">
      <c r="A7645" s="126">
        <f t="shared" si="125"/>
        <v>7584</v>
      </c>
      <c r="B7645" s="1832"/>
      <c r="D7645" s="2" t="str">
        <f t="shared" si="124"/>
        <v>OK</v>
      </c>
      <c r="E7645" s="4" t="s">
        <v>1994</v>
      </c>
    </row>
    <row r="7646" spans="1:6" x14ac:dyDescent="0.2">
      <c r="A7646" s="126">
        <f t="shared" si="125"/>
        <v>7585</v>
      </c>
      <c r="B7646" s="1832"/>
      <c r="D7646" s="2" t="str">
        <f t="shared" si="124"/>
        <v>OK</v>
      </c>
      <c r="E7646" s="4" t="s">
        <v>1994</v>
      </c>
    </row>
    <row r="7647" spans="1:6" x14ac:dyDescent="0.2">
      <c r="A7647" s="126">
        <f t="shared" si="125"/>
        <v>7586</v>
      </c>
      <c r="B7647" s="1832"/>
      <c r="D7647" s="2" t="str">
        <f t="shared" si="124"/>
        <v>OK</v>
      </c>
      <c r="E7647" s="4" t="s">
        <v>1994</v>
      </c>
    </row>
    <row r="7648" spans="1:6" x14ac:dyDescent="0.2">
      <c r="A7648" s="126">
        <f t="shared" si="125"/>
        <v>7587</v>
      </c>
      <c r="B7648" s="1832"/>
      <c r="D7648" s="2" t="str">
        <f t="shared" si="124"/>
        <v>OK</v>
      </c>
      <c r="E7648" s="4" t="s">
        <v>1994</v>
      </c>
    </row>
    <row r="7649" spans="1:5" x14ac:dyDescent="0.2">
      <c r="A7649" s="126">
        <f t="shared" si="125"/>
        <v>7588</v>
      </c>
      <c r="B7649" s="1832"/>
      <c r="D7649" s="2" t="str">
        <f t="shared" si="124"/>
        <v>OK</v>
      </c>
      <c r="E7649" s="4" t="s">
        <v>1994</v>
      </c>
    </row>
    <row r="7650" spans="1:5" x14ac:dyDescent="0.2">
      <c r="A7650" s="126">
        <f t="shared" si="125"/>
        <v>7589</v>
      </c>
      <c r="B7650" s="1832"/>
      <c r="D7650" s="2" t="str">
        <f t="shared" si="124"/>
        <v>OK</v>
      </c>
      <c r="E7650" s="4" t="s">
        <v>1994</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0</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0</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105664</v>
      </c>
      <c r="D7759" s="2" t="str">
        <f t="shared" si="127"/>
        <v>Error?</v>
      </c>
      <c r="E7759" s="4" t="s">
        <v>1323</v>
      </c>
    </row>
    <row r="7760" spans="1:6" x14ac:dyDescent="0.2">
      <c r="A7760">
        <v>7699</v>
      </c>
      <c r="B7760" s="1831">
        <f>'Aud Quest 2'!J90</f>
        <v>105664</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1996</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1825</v>
      </c>
    </row>
    <row r="7775" spans="1:5" x14ac:dyDescent="0.2">
      <c r="A7775">
        <v>7714</v>
      </c>
      <c r="B7775" s="1831">
        <f>'Expenditures 15-22'!H133</f>
        <v>0</v>
      </c>
      <c r="D7775" s="2" t="str">
        <f t="shared" si="127"/>
        <v>Error?</v>
      </c>
      <c r="E7775" s="4" t="s">
        <v>1825</v>
      </c>
    </row>
    <row r="7776" spans="1:5" x14ac:dyDescent="0.2">
      <c r="A7776">
        <v>7715</v>
      </c>
      <c r="B7776" s="1831">
        <f>'Expenditures 15-22'!K133</f>
        <v>0</v>
      </c>
      <c r="D7776" s="2" t="str">
        <f t="shared" si="127"/>
        <v>Error?</v>
      </c>
      <c r="E7776" s="4" t="s">
        <v>1825</v>
      </c>
    </row>
    <row r="7777" spans="1:5" x14ac:dyDescent="0.2">
      <c r="A7777">
        <v>7716</v>
      </c>
      <c r="B7777" s="1831">
        <f>'Expenditures 15-22'!H157</f>
        <v>0</v>
      </c>
      <c r="D7777" s="2" t="str">
        <f t="shared" si="127"/>
        <v>Error?</v>
      </c>
      <c r="E7777" s="4" t="s">
        <v>1825</v>
      </c>
    </row>
    <row r="7778" spans="1:5" x14ac:dyDescent="0.2">
      <c r="A7778">
        <v>7717</v>
      </c>
      <c r="B7778" s="1831">
        <f>'Expenditures 15-22'!K157</f>
        <v>0</v>
      </c>
      <c r="D7778" s="2" t="str">
        <f t="shared" si="127"/>
        <v>Error?</v>
      </c>
      <c r="E7778" s="4" t="s">
        <v>1825</v>
      </c>
    </row>
    <row r="7779" spans="1:5" x14ac:dyDescent="0.2">
      <c r="A7779">
        <v>7718</v>
      </c>
      <c r="B7779" s="1831">
        <f>'Expenditures 15-22'!H158</f>
        <v>0</v>
      </c>
      <c r="D7779" s="2" t="str">
        <f t="shared" si="127"/>
        <v>Error?</v>
      </c>
      <c r="E7779" s="4" t="s">
        <v>1825</v>
      </c>
    </row>
    <row r="7780" spans="1:5" x14ac:dyDescent="0.2">
      <c r="A7780">
        <v>7719</v>
      </c>
      <c r="B7780" s="1831">
        <f>'Expenditures 15-22'!K158</f>
        <v>0</v>
      </c>
      <c r="D7780" s="2" t="str">
        <f t="shared" si="127"/>
        <v>Error?</v>
      </c>
      <c r="E7780" s="4" t="s">
        <v>1825</v>
      </c>
    </row>
    <row r="7781" spans="1:5" x14ac:dyDescent="0.2">
      <c r="A7781">
        <v>7720</v>
      </c>
      <c r="B7781" s="1831">
        <f>'Expenditures 15-22'!H159</f>
        <v>0</v>
      </c>
      <c r="D7781" s="2" t="str">
        <f t="shared" si="127"/>
        <v>Error?</v>
      </c>
      <c r="E7781" s="4" t="s">
        <v>1825</v>
      </c>
    </row>
    <row r="7782" spans="1:5" x14ac:dyDescent="0.2">
      <c r="A7782">
        <v>7721</v>
      </c>
      <c r="B7782" s="1831">
        <f>'Expenditures 15-22'!K159</f>
        <v>0</v>
      </c>
      <c r="D7782" s="2" t="str">
        <f t="shared" si="127"/>
        <v>Error?</v>
      </c>
      <c r="E7782" s="4" t="s">
        <v>1825</v>
      </c>
    </row>
    <row r="7783" spans="1:5" x14ac:dyDescent="0.2">
      <c r="A7783">
        <v>7722</v>
      </c>
      <c r="B7783" s="1831">
        <f>'Expenditures 15-22'!D282</f>
        <v>0</v>
      </c>
      <c r="D7783" s="2" t="str">
        <f t="shared" si="127"/>
        <v>Error?</v>
      </c>
      <c r="E7783" s="4" t="s">
        <v>1825</v>
      </c>
    </row>
    <row r="7784" spans="1:5" x14ac:dyDescent="0.2">
      <c r="A7784">
        <v>7723</v>
      </c>
      <c r="B7784" s="1831">
        <f>'Expenditures 15-22'!K282</f>
        <v>0</v>
      </c>
      <c r="D7784" s="2" t="str">
        <f t="shared" si="127"/>
        <v>Error?</v>
      </c>
      <c r="E7784" s="4" t="s">
        <v>1825</v>
      </c>
    </row>
    <row r="7785" spans="1:5" x14ac:dyDescent="0.2">
      <c r="A7785">
        <v>7724</v>
      </c>
      <c r="B7785" s="1831">
        <f>'Expenditures 15-22'!H332</f>
        <v>0</v>
      </c>
      <c r="D7785" s="2" t="str">
        <f t="shared" si="127"/>
        <v>Error?</v>
      </c>
      <c r="E7785" s="4" t="s">
        <v>1825</v>
      </c>
    </row>
    <row r="7786" spans="1:5" x14ac:dyDescent="0.2">
      <c r="A7786">
        <v>7725</v>
      </c>
      <c r="B7786" s="1831">
        <f>'Expenditures 15-22'!K332</f>
        <v>0</v>
      </c>
      <c r="D7786" s="2" t="str">
        <f t="shared" si="127"/>
        <v>Error?</v>
      </c>
      <c r="E7786" s="4" t="s">
        <v>1825</v>
      </c>
    </row>
    <row r="7787" spans="1:5" x14ac:dyDescent="0.2">
      <c r="A7787">
        <v>7726</v>
      </c>
      <c r="B7787" s="1831">
        <f>'Expenditures 15-22'!H333</f>
        <v>0</v>
      </c>
      <c r="D7787" s="2" t="str">
        <f t="shared" si="127"/>
        <v>Error?</v>
      </c>
      <c r="E7787" s="4" t="s">
        <v>1825</v>
      </c>
    </row>
    <row r="7788" spans="1:5" x14ac:dyDescent="0.2">
      <c r="A7788">
        <v>7727</v>
      </c>
      <c r="B7788" s="1831">
        <f>'Expenditures 15-22'!K333</f>
        <v>0</v>
      </c>
      <c r="D7788" s="2" t="str">
        <f t="shared" si="127"/>
        <v>Error?</v>
      </c>
      <c r="E7788" s="4" t="s">
        <v>1825</v>
      </c>
    </row>
    <row r="7789" spans="1:5" x14ac:dyDescent="0.2">
      <c r="A7789">
        <v>7728</v>
      </c>
      <c r="B7789" s="1831">
        <f>'Expenditures 15-22'!H334</f>
        <v>0</v>
      </c>
      <c r="D7789" s="2" t="str">
        <f t="shared" si="127"/>
        <v>Error?</v>
      </c>
      <c r="E7789" s="4" t="s">
        <v>1825</v>
      </c>
    </row>
    <row r="7790" spans="1:5" x14ac:dyDescent="0.2">
      <c r="A7790">
        <v>7729</v>
      </c>
      <c r="B7790" s="1831">
        <f>'Expenditures 15-22'!K334</f>
        <v>0</v>
      </c>
      <c r="D7790" s="2" t="str">
        <f t="shared" si="127"/>
        <v>Error?</v>
      </c>
      <c r="E7790" s="4" t="s">
        <v>1825</v>
      </c>
    </row>
    <row r="7791" spans="1:5" x14ac:dyDescent="0.2">
      <c r="A7791">
        <v>7730</v>
      </c>
      <c r="B7791" s="1831">
        <f>'Expenditures 15-22'!H354</f>
        <v>0</v>
      </c>
      <c r="D7791" s="2" t="str">
        <f t="shared" si="127"/>
        <v>Error?</v>
      </c>
      <c r="E7791" s="4" t="s">
        <v>1825</v>
      </c>
    </row>
    <row r="7792" spans="1:5" x14ac:dyDescent="0.2">
      <c r="A7792">
        <v>7731</v>
      </c>
      <c r="B7792" s="1831">
        <f>'Expenditures 15-22'!K354</f>
        <v>0</v>
      </c>
      <c r="D7792" s="2" t="str">
        <f t="shared" si="127"/>
        <v>Error?</v>
      </c>
      <c r="E7792" s="4" t="s">
        <v>1825</v>
      </c>
    </row>
    <row r="7793" spans="1:5" x14ac:dyDescent="0.2">
      <c r="A7793">
        <v>7732</v>
      </c>
      <c r="B7793" s="1831">
        <f>'Expenditures 15-22'!H355</f>
        <v>0</v>
      </c>
      <c r="D7793" s="2" t="str">
        <f t="shared" si="127"/>
        <v>Error?</v>
      </c>
      <c r="E7793" s="4" t="s">
        <v>1825</v>
      </c>
    </row>
    <row r="7794" spans="1:5" x14ac:dyDescent="0.2">
      <c r="A7794">
        <v>7733</v>
      </c>
      <c r="B7794" s="1831">
        <f>'Expenditures 15-22'!K355</f>
        <v>0</v>
      </c>
      <c r="D7794" s="2" t="str">
        <f t="shared" si="127"/>
        <v>Error?</v>
      </c>
      <c r="E7794" s="4" t="s">
        <v>1825</v>
      </c>
    </row>
    <row r="7795" spans="1:5" x14ac:dyDescent="0.2">
      <c r="A7795">
        <v>7734</v>
      </c>
      <c r="B7795" s="1831">
        <f>'Expenditures 15-22'!E138</f>
        <v>0</v>
      </c>
      <c r="D7795" s="2" t="str">
        <f t="shared" si="127"/>
        <v>Error?</v>
      </c>
      <c r="E7795" s="4" t="s">
        <v>1825</v>
      </c>
    </row>
    <row r="7796" spans="1:5" x14ac:dyDescent="0.2">
      <c r="A7796">
        <v>7735</v>
      </c>
      <c r="B7796" s="1831">
        <f>'Acct Summary 7-8'!J15</f>
        <v>0</v>
      </c>
      <c r="D7796" s="2" t="str">
        <f t="shared" si="127"/>
        <v>Error?</v>
      </c>
      <c r="E7796" s="4" t="s">
        <v>1825</v>
      </c>
    </row>
    <row r="7797" spans="1:5" x14ac:dyDescent="0.2">
      <c r="A7797" s="126">
        <v>7736</v>
      </c>
      <c r="B7797" s="1831"/>
      <c r="D7797" s="2" t="str">
        <f t="shared" si="127"/>
        <v>OK</v>
      </c>
      <c r="E7797" s="4" t="s">
        <v>1978</v>
      </c>
    </row>
    <row r="7798" spans="1:5" x14ac:dyDescent="0.2">
      <c r="A7798" s="126">
        <v>7737</v>
      </c>
      <c r="B7798" s="1831"/>
      <c r="D7798" s="2" t="str">
        <f t="shared" si="127"/>
        <v>OK</v>
      </c>
      <c r="E7798" s="4" t="s">
        <v>1978</v>
      </c>
    </row>
    <row r="7799" spans="1:5" x14ac:dyDescent="0.2">
      <c r="A7799" s="126">
        <v>7738</v>
      </c>
      <c r="B7799" s="1831"/>
      <c r="D7799" s="2" t="str">
        <f t="shared" si="127"/>
        <v>OK</v>
      </c>
      <c r="E7799" s="4" t="s">
        <v>1978</v>
      </c>
    </row>
    <row r="7800" spans="1:5" x14ac:dyDescent="0.2">
      <c r="A7800">
        <v>7739</v>
      </c>
      <c r="B7800" s="1831">
        <f>'Rest Tax Levies-Tort Im 25'!K23</f>
        <v>0</v>
      </c>
      <c r="D7800" s="2" t="str">
        <f t="shared" si="127"/>
        <v>Error?</v>
      </c>
      <c r="E7800" s="4" t="s">
        <v>1965</v>
      </c>
    </row>
    <row r="7801" spans="1:5" x14ac:dyDescent="0.2">
      <c r="A7801">
        <v>7740</v>
      </c>
      <c r="B7801" s="1831">
        <f>'Revenues 9-14'!C120</f>
        <v>0</v>
      </c>
      <c r="D7801" s="2" t="str">
        <f t="shared" si="127"/>
        <v>Error?</v>
      </c>
      <c r="E7801" s="4" t="s">
        <v>1899</v>
      </c>
    </row>
    <row r="7802" spans="1:5" x14ac:dyDescent="0.2">
      <c r="A7802">
        <v>7741</v>
      </c>
      <c r="B7802" s="1831">
        <f>'Revenues 9-14'!D120</f>
        <v>0</v>
      </c>
      <c r="D7802" s="2" t="str">
        <f t="shared" si="127"/>
        <v>Error?</v>
      </c>
      <c r="E7802" s="4" t="s">
        <v>1899</v>
      </c>
    </row>
    <row r="7803" spans="1:5" x14ac:dyDescent="0.2">
      <c r="A7803">
        <v>7742</v>
      </c>
      <c r="B7803" s="1831">
        <f>'Revenues 9-14'!E120</f>
        <v>0</v>
      </c>
      <c r="D7803" s="2" t="str">
        <f t="shared" si="127"/>
        <v>Error?</v>
      </c>
      <c r="E7803" s="4" t="s">
        <v>1899</v>
      </c>
    </row>
    <row r="7804" spans="1:5" x14ac:dyDescent="0.2">
      <c r="A7804">
        <v>7743</v>
      </c>
      <c r="B7804" s="1831">
        <f>'Revenues 9-14'!F120</f>
        <v>0</v>
      </c>
      <c r="D7804" s="2" t="str">
        <f t="shared" si="127"/>
        <v>Error?</v>
      </c>
      <c r="E7804" s="4" t="s">
        <v>1899</v>
      </c>
    </row>
    <row r="7805" spans="1:5" x14ac:dyDescent="0.2">
      <c r="A7805">
        <v>7744</v>
      </c>
      <c r="B7805" s="1831">
        <f>'Revenues 9-14'!G120</f>
        <v>0</v>
      </c>
      <c r="D7805" s="2" t="str">
        <f t="shared" si="127"/>
        <v>Error?</v>
      </c>
      <c r="E7805" s="4" t="s">
        <v>1899</v>
      </c>
    </row>
    <row r="7806" spans="1:5" x14ac:dyDescent="0.2">
      <c r="A7806">
        <v>7745</v>
      </c>
      <c r="B7806" s="1831">
        <f>'Revenues 9-14'!H120</f>
        <v>0</v>
      </c>
      <c r="D7806" s="2" t="str">
        <f t="shared" si="127"/>
        <v>Error?</v>
      </c>
      <c r="E7806" s="4" t="s">
        <v>1899</v>
      </c>
    </row>
    <row r="7807" spans="1:5" x14ac:dyDescent="0.2">
      <c r="A7807">
        <v>7746</v>
      </c>
      <c r="B7807" s="1831">
        <f>'Revenues 9-14'!J120</f>
        <v>0</v>
      </c>
      <c r="D7807" s="2" t="str">
        <f t="shared" ref="D7807:D7821" si="128">IF(ISBLANK(B7807),"OK",IF(A7807-B7807=0,"OK","Error?"))</f>
        <v>Error?</v>
      </c>
      <c r="E7807" s="4" t="s">
        <v>1899</v>
      </c>
    </row>
    <row r="7808" spans="1:5" x14ac:dyDescent="0.2">
      <c r="A7808">
        <v>7747</v>
      </c>
      <c r="B7808" s="1831">
        <f>'Revenues 9-14'!K120</f>
        <v>0</v>
      </c>
      <c r="D7808" s="2" t="str">
        <f t="shared" si="128"/>
        <v>Error?</v>
      </c>
      <c r="E7808" s="4" t="s">
        <v>1899</v>
      </c>
    </row>
    <row r="7809" spans="1:5" x14ac:dyDescent="0.2">
      <c r="A7809">
        <v>7748</v>
      </c>
      <c r="B7809" s="1831">
        <f>'Revenues 9-14'!C261</f>
        <v>0</v>
      </c>
      <c r="D7809" s="2" t="str">
        <f t="shared" si="128"/>
        <v>Error?</v>
      </c>
      <c r="E7809" s="4" t="s">
        <v>1900</v>
      </c>
    </row>
    <row r="7810" spans="1:5" x14ac:dyDescent="0.2">
      <c r="A7810">
        <v>7749</v>
      </c>
      <c r="B7810" s="1831">
        <f>'Revenues 9-14'!D261</f>
        <v>0</v>
      </c>
      <c r="D7810" s="2" t="str">
        <f t="shared" si="128"/>
        <v>Error?</v>
      </c>
      <c r="E7810" s="4" t="s">
        <v>1900</v>
      </c>
    </row>
    <row r="7811" spans="1:5" x14ac:dyDescent="0.2">
      <c r="A7811">
        <v>7750</v>
      </c>
      <c r="B7811" s="1831">
        <f>'Revenues 9-14'!F261</f>
        <v>0</v>
      </c>
      <c r="D7811" s="2" t="str">
        <f t="shared" si="128"/>
        <v>Error?</v>
      </c>
      <c r="E7811" s="4" t="s">
        <v>1900</v>
      </c>
    </row>
    <row r="7812" spans="1:5" x14ac:dyDescent="0.2">
      <c r="A7812">
        <v>7751</v>
      </c>
      <c r="B7812" s="1831">
        <f>'Revenues 9-14'!G261</f>
        <v>0</v>
      </c>
      <c r="D7812" s="2" t="str">
        <f t="shared" si="128"/>
        <v>Error?</v>
      </c>
      <c r="E7812" s="4" t="s">
        <v>1900</v>
      </c>
    </row>
    <row r="7813" spans="1:5" x14ac:dyDescent="0.2">
      <c r="A7813">
        <v>7752</v>
      </c>
      <c r="B7813" s="1831">
        <f>'Revenues 9-14'!C262</f>
        <v>0</v>
      </c>
      <c r="D7813" s="2" t="str">
        <f t="shared" si="128"/>
        <v>Error?</v>
      </c>
      <c r="E7813" s="4" t="s">
        <v>1901</v>
      </c>
    </row>
    <row r="7814" spans="1:5" x14ac:dyDescent="0.2">
      <c r="A7814">
        <v>7753</v>
      </c>
      <c r="B7814" s="1831">
        <f>'Revenues 9-14'!D262</f>
        <v>0</v>
      </c>
      <c r="D7814" s="2" t="str">
        <f t="shared" si="128"/>
        <v>Error?</v>
      </c>
      <c r="E7814" s="4" t="s">
        <v>1901</v>
      </c>
    </row>
    <row r="7815" spans="1:5" x14ac:dyDescent="0.2">
      <c r="A7815">
        <v>7754</v>
      </c>
      <c r="B7815" s="1831">
        <f>'Revenues 9-14'!F262</f>
        <v>0</v>
      </c>
      <c r="D7815" s="2" t="str">
        <f t="shared" si="128"/>
        <v>Error?</v>
      </c>
      <c r="E7815" s="4" t="s">
        <v>1901</v>
      </c>
    </row>
    <row r="7816" spans="1:5" x14ac:dyDescent="0.2">
      <c r="A7816">
        <v>7755</v>
      </c>
      <c r="B7816" s="1831">
        <f>'Revenues 9-14'!G262</f>
        <v>0</v>
      </c>
      <c r="D7816" s="2" t="str">
        <f t="shared" si="128"/>
        <v>Error?</v>
      </c>
      <c r="E7816" s="4" t="s">
        <v>1901</v>
      </c>
    </row>
    <row r="7817" spans="1:5" x14ac:dyDescent="0.2">
      <c r="A7817">
        <v>7756</v>
      </c>
      <c r="B7817" s="1831">
        <f>'Short-Term Long-Term Debt 24'!C49</f>
        <v>45787432</v>
      </c>
      <c r="D7817" s="2" t="str">
        <f t="shared" si="128"/>
        <v>Error?</v>
      </c>
      <c r="E7817" s="4" t="s">
        <v>1965</v>
      </c>
    </row>
    <row r="7818" spans="1:5" x14ac:dyDescent="0.2">
      <c r="A7818">
        <v>7757</v>
      </c>
      <c r="B7818" s="1831">
        <f>'PCTC-OEPP 27-28'!F172</f>
        <v>1374322</v>
      </c>
      <c r="D7818" s="2" t="str">
        <f t="shared" si="128"/>
        <v>Error?</v>
      </c>
      <c r="E7818" s="4" t="s">
        <v>1979</v>
      </c>
    </row>
    <row r="7819" spans="1:5" x14ac:dyDescent="0.2">
      <c r="A7819">
        <v>7758</v>
      </c>
      <c r="B7819" s="1831">
        <f>'PCTC-OEPP 27-28'!F173</f>
        <v>8985</v>
      </c>
      <c r="D7819" s="2" t="str">
        <f t="shared" si="128"/>
        <v>Error?</v>
      </c>
      <c r="E7819" s="4" t="s">
        <v>1979</v>
      </c>
    </row>
    <row r="7820" spans="1:5" x14ac:dyDescent="0.2">
      <c r="A7820">
        <v>7759</v>
      </c>
      <c r="B7820" s="1831">
        <f>'ICR Computation 30'!E40</f>
        <v>-390940</v>
      </c>
      <c r="D7820" s="2" t="str">
        <f t="shared" si="128"/>
        <v>Error?</v>
      </c>
    </row>
    <row r="7821" spans="1:5" x14ac:dyDescent="0.2">
      <c r="A7821">
        <v>7760</v>
      </c>
      <c r="B7821" s="1831">
        <f>'ICR Computation 30'!G40</f>
        <v>-390940</v>
      </c>
      <c r="D7821" s="2" t="str">
        <f t="shared" si="128"/>
        <v>Error?</v>
      </c>
    </row>
    <row r="7822" spans="1:5" x14ac:dyDescent="0.2">
      <c r="A7822" s="1">
        <v>7761</v>
      </c>
      <c r="B7822" s="1831">
        <f>'PCTC-OEPP 27-28'!F14</f>
        <v>25610322</v>
      </c>
      <c r="D7822" s="4" t="s">
        <v>1996</v>
      </c>
      <c r="E7822" s="4" t="s">
        <v>1997</v>
      </c>
    </row>
    <row r="7823" spans="1:5" x14ac:dyDescent="0.2">
      <c r="A7823" s="1">
        <v>7762</v>
      </c>
      <c r="B7823" s="1831">
        <f>'PCTC-OEPP 27-28'!F30</f>
        <v>0</v>
      </c>
      <c r="D7823" s="4" t="s">
        <v>1996</v>
      </c>
      <c r="E7823" s="4" t="s">
        <v>1997</v>
      </c>
    </row>
    <row r="7824" spans="1:5" x14ac:dyDescent="0.2">
      <c r="A7824" s="1">
        <v>7763</v>
      </c>
      <c r="B7824" s="1831">
        <f>'PCTC-OEPP 27-28'!F31</f>
        <v>0</v>
      </c>
      <c r="D7824" s="4" t="s">
        <v>1996</v>
      </c>
      <c r="E7824" s="4" t="s">
        <v>1997</v>
      </c>
    </row>
    <row r="7825" spans="1:5" x14ac:dyDescent="0.2">
      <c r="A7825" s="1">
        <v>7764</v>
      </c>
      <c r="B7825" s="1831">
        <f>'PCTC-OEPP 27-28'!F32</f>
        <v>0</v>
      </c>
      <c r="D7825" s="2" t="str">
        <f t="shared" ref="D7825:D7887" si="129">IF(ISBLANK(B7825),"OK",IF(A7825-B7825=0,"OK","Error?"))</f>
        <v>Error?</v>
      </c>
      <c r="E7825" s="4" t="s">
        <v>1997</v>
      </c>
    </row>
    <row r="7826" spans="1:5" x14ac:dyDescent="0.2">
      <c r="A7826">
        <v>7765</v>
      </c>
      <c r="B7826" s="1831">
        <f>'PCTC-OEPP 27-28'!F34</f>
        <v>0</v>
      </c>
      <c r="D7826" s="2" t="str">
        <f t="shared" si="129"/>
        <v>Error?</v>
      </c>
      <c r="E7826" s="4" t="s">
        <v>1997</v>
      </c>
    </row>
    <row r="7827" spans="1:5" x14ac:dyDescent="0.2">
      <c r="A7827">
        <v>7766</v>
      </c>
      <c r="B7827" s="1831">
        <f>'PCTC-OEPP 27-28'!F35</f>
        <v>300153</v>
      </c>
      <c r="D7827" s="2" t="str">
        <f t="shared" si="129"/>
        <v>Error?</v>
      </c>
      <c r="E7827" s="4" t="s">
        <v>1997</v>
      </c>
    </row>
    <row r="7828" spans="1:5" x14ac:dyDescent="0.2">
      <c r="A7828">
        <v>7767</v>
      </c>
      <c r="B7828" s="1831">
        <f>'PCTC-OEPP 27-28'!F36</f>
        <v>0</v>
      </c>
      <c r="D7828" s="2" t="str">
        <f t="shared" si="129"/>
        <v>Error?</v>
      </c>
      <c r="E7828" s="4" t="s">
        <v>1997</v>
      </c>
    </row>
    <row r="7829" spans="1:5" x14ac:dyDescent="0.2">
      <c r="A7829">
        <v>7768</v>
      </c>
      <c r="B7829" s="1831">
        <f>'PCTC-OEPP 27-28'!F37</f>
        <v>0</v>
      </c>
      <c r="D7829" s="2" t="str">
        <f t="shared" si="129"/>
        <v>Error?</v>
      </c>
      <c r="E7829" s="4" t="s">
        <v>1997</v>
      </c>
    </row>
    <row r="7830" spans="1:5" x14ac:dyDescent="0.2">
      <c r="A7830">
        <v>7769</v>
      </c>
      <c r="B7830" s="1831">
        <f>'PCTC-OEPP 27-28'!F38</f>
        <v>9564</v>
      </c>
      <c r="D7830" s="2" t="str">
        <f t="shared" si="129"/>
        <v>Error?</v>
      </c>
      <c r="E7830" s="4" t="s">
        <v>1997</v>
      </c>
    </row>
    <row r="7831" spans="1:5" x14ac:dyDescent="0.2">
      <c r="A7831">
        <v>7770</v>
      </c>
      <c r="B7831" s="1831">
        <f>'PCTC-OEPP 27-28'!F52</f>
        <v>14941</v>
      </c>
      <c r="D7831" s="2" t="str">
        <f t="shared" si="129"/>
        <v>Error?</v>
      </c>
      <c r="E7831" s="4" t="s">
        <v>1997</v>
      </c>
    </row>
    <row r="7832" spans="1:5" x14ac:dyDescent="0.2">
      <c r="A7832">
        <v>7771</v>
      </c>
      <c r="B7832" s="1831">
        <f>'PCTC-OEPP 27-28'!F56</f>
        <v>0</v>
      </c>
      <c r="D7832" s="2" t="str">
        <f t="shared" si="129"/>
        <v>Error?</v>
      </c>
      <c r="E7832" s="4" t="s">
        <v>1997</v>
      </c>
    </row>
    <row r="7833" spans="1:5" x14ac:dyDescent="0.2">
      <c r="A7833">
        <v>7772</v>
      </c>
      <c r="B7833" s="1831">
        <f>'PCTC-OEPP 27-28'!F62</f>
        <v>0</v>
      </c>
      <c r="D7833" s="2" t="str">
        <f t="shared" si="129"/>
        <v>Error?</v>
      </c>
      <c r="E7833" s="4" t="s">
        <v>1997</v>
      </c>
    </row>
    <row r="7834" spans="1:5" x14ac:dyDescent="0.2">
      <c r="A7834">
        <v>7773</v>
      </c>
      <c r="B7834" s="1831">
        <f>'PCTC-OEPP 27-28'!F77</f>
        <v>5549280</v>
      </c>
      <c r="D7834" s="2" t="str">
        <f t="shared" si="129"/>
        <v>Error?</v>
      </c>
      <c r="E7834" s="4" t="s">
        <v>1997</v>
      </c>
    </row>
    <row r="7835" spans="1:5" x14ac:dyDescent="0.2">
      <c r="A7835">
        <v>7774</v>
      </c>
      <c r="B7835" s="1831">
        <f>'PCTC-OEPP 27-28'!F78</f>
        <v>20061042</v>
      </c>
      <c r="D7835" s="2" t="str">
        <f t="shared" si="129"/>
        <v>Error?</v>
      </c>
      <c r="E7835" s="4" t="s">
        <v>1997</v>
      </c>
    </row>
    <row r="7836" spans="1:5" x14ac:dyDescent="0.2">
      <c r="A7836" s="126">
        <v>7775</v>
      </c>
      <c r="B7836" s="1831"/>
      <c r="D7836" s="2" t="str">
        <f t="shared" si="129"/>
        <v>OK</v>
      </c>
      <c r="E7836" s="4" t="s">
        <v>1999</v>
      </c>
    </row>
    <row r="7837" spans="1:5" x14ac:dyDescent="0.2">
      <c r="A7837">
        <v>7776</v>
      </c>
      <c r="B7837" s="1831">
        <f>'PCTC-OEPP 27-28'!F80</f>
        <v>14437.597697013314</v>
      </c>
      <c r="D7837" s="2" t="str">
        <f t="shared" si="129"/>
        <v>Error?</v>
      </c>
      <c r="E7837" s="4" t="s">
        <v>1997</v>
      </c>
    </row>
    <row r="7838" spans="1:5" x14ac:dyDescent="0.2">
      <c r="A7838">
        <v>7777</v>
      </c>
      <c r="B7838" s="1831">
        <f>'PCTC-OEPP 27-28'!F96</f>
        <v>53859</v>
      </c>
      <c r="D7838" s="2" t="str">
        <f t="shared" si="129"/>
        <v>Error?</v>
      </c>
      <c r="E7838" s="4" t="s">
        <v>1997</v>
      </c>
    </row>
    <row r="7839" spans="1:5" x14ac:dyDescent="0.2">
      <c r="A7839">
        <v>7778</v>
      </c>
      <c r="B7839" s="1831">
        <f>'PCTC-OEPP 27-28'!F102</f>
        <v>29005</v>
      </c>
      <c r="D7839" s="2" t="str">
        <f t="shared" si="129"/>
        <v>Error?</v>
      </c>
      <c r="E7839" s="4" t="s">
        <v>1997</v>
      </c>
    </row>
    <row r="7840" spans="1:5" x14ac:dyDescent="0.2">
      <c r="A7840">
        <v>7779</v>
      </c>
      <c r="B7840" s="1831">
        <f>'PCTC-OEPP 27-28'!F103</f>
        <v>0</v>
      </c>
      <c r="D7840" s="2" t="str">
        <f t="shared" si="129"/>
        <v>Error?</v>
      </c>
      <c r="E7840" s="4" t="s">
        <v>1997</v>
      </c>
    </row>
    <row r="7841" spans="1:5" x14ac:dyDescent="0.2">
      <c r="A7841">
        <v>7780</v>
      </c>
      <c r="B7841" s="1831">
        <f>'PCTC-OEPP 27-28'!F104</f>
        <v>23244</v>
      </c>
      <c r="D7841" s="2" t="str">
        <f t="shared" si="129"/>
        <v>Error?</v>
      </c>
      <c r="E7841" s="4" t="s">
        <v>1997</v>
      </c>
    </row>
    <row r="7842" spans="1:5" x14ac:dyDescent="0.2">
      <c r="A7842">
        <v>7781</v>
      </c>
      <c r="B7842" s="1831">
        <f>'PCTC-OEPP 27-28'!F106</f>
        <v>60067</v>
      </c>
      <c r="D7842" s="2" t="str">
        <f t="shared" si="129"/>
        <v>Error?</v>
      </c>
      <c r="E7842" s="4" t="s">
        <v>1997</v>
      </c>
    </row>
    <row r="7843" spans="1:5" x14ac:dyDescent="0.2">
      <c r="A7843">
        <v>7782</v>
      </c>
      <c r="B7843" s="1831">
        <f>'PCTC-OEPP 27-28'!F107</f>
        <v>0</v>
      </c>
      <c r="D7843" s="2" t="str">
        <f t="shared" si="129"/>
        <v>Error?</v>
      </c>
      <c r="E7843" s="4" t="s">
        <v>1997</v>
      </c>
    </row>
    <row r="7844" spans="1:5" x14ac:dyDescent="0.2">
      <c r="A7844">
        <v>7783</v>
      </c>
      <c r="B7844" s="1831">
        <f>'PCTC-OEPP 27-28'!F108</f>
        <v>0</v>
      </c>
      <c r="D7844" s="2" t="str">
        <f t="shared" si="129"/>
        <v>Error?</v>
      </c>
      <c r="E7844" s="4" t="s">
        <v>1997</v>
      </c>
    </row>
    <row r="7845" spans="1:5" x14ac:dyDescent="0.2">
      <c r="A7845">
        <v>7784</v>
      </c>
      <c r="B7845" s="1831">
        <f>'PCTC-OEPP 27-28'!F110</f>
        <v>0</v>
      </c>
      <c r="D7845" s="2" t="str">
        <f t="shared" si="129"/>
        <v>Error?</v>
      </c>
      <c r="E7845" s="4" t="s">
        <v>1997</v>
      </c>
    </row>
    <row r="7846" spans="1:5" x14ac:dyDescent="0.2">
      <c r="A7846">
        <v>7785</v>
      </c>
      <c r="B7846" s="1831">
        <f>'PCTC-OEPP 27-28'!F111</f>
        <v>0</v>
      </c>
      <c r="D7846" s="2" t="str">
        <f t="shared" si="129"/>
        <v>Error?</v>
      </c>
      <c r="E7846" s="4" t="s">
        <v>1997</v>
      </c>
    </row>
    <row r="7847" spans="1:5" x14ac:dyDescent="0.2">
      <c r="A7847">
        <v>7786</v>
      </c>
      <c r="B7847" s="1831">
        <f>'PCTC-OEPP 27-28'!F112</f>
        <v>366762</v>
      </c>
      <c r="D7847" s="2" t="str">
        <f t="shared" si="129"/>
        <v>Error?</v>
      </c>
      <c r="E7847" s="4" t="s">
        <v>1997</v>
      </c>
    </row>
    <row r="7848" spans="1:5" x14ac:dyDescent="0.2">
      <c r="A7848">
        <v>7787</v>
      </c>
      <c r="B7848" s="1831">
        <f>'PCTC-OEPP 27-28'!F114</f>
        <v>0</v>
      </c>
      <c r="D7848" s="2" t="str">
        <f t="shared" si="129"/>
        <v>Error?</v>
      </c>
      <c r="E7848" s="4" t="s">
        <v>1997</v>
      </c>
    </row>
    <row r="7849" spans="1:5" x14ac:dyDescent="0.2">
      <c r="A7849">
        <v>7788</v>
      </c>
      <c r="B7849" s="1831">
        <f>'PCTC-OEPP 27-28'!F115</f>
        <v>0</v>
      </c>
      <c r="D7849" s="2" t="str">
        <f t="shared" si="129"/>
        <v>Error?</v>
      </c>
      <c r="E7849" s="4" t="s">
        <v>1997</v>
      </c>
    </row>
    <row r="7850" spans="1:5" x14ac:dyDescent="0.2">
      <c r="A7850">
        <v>7789</v>
      </c>
      <c r="B7850" s="1831">
        <f>'PCTC-OEPP 27-28'!F116</f>
        <v>0</v>
      </c>
      <c r="D7850" s="2" t="str">
        <f t="shared" si="129"/>
        <v>Error?</v>
      </c>
      <c r="E7850" s="4" t="s">
        <v>1997</v>
      </c>
    </row>
    <row r="7851" spans="1:5" x14ac:dyDescent="0.2">
      <c r="A7851">
        <v>7790</v>
      </c>
      <c r="B7851" s="1831">
        <f>'PCTC-OEPP 27-28'!F117</f>
        <v>0</v>
      </c>
      <c r="D7851" s="2" t="str">
        <f t="shared" si="129"/>
        <v>Error?</v>
      </c>
      <c r="E7851" s="4" t="s">
        <v>1997</v>
      </c>
    </row>
    <row r="7852" spans="1:5" x14ac:dyDescent="0.2">
      <c r="A7852">
        <v>7791</v>
      </c>
      <c r="B7852" s="1831">
        <f>'PCTC-OEPP 27-28'!F118</f>
        <v>0</v>
      </c>
      <c r="D7852" s="2" t="str">
        <f t="shared" si="129"/>
        <v>Error?</v>
      </c>
      <c r="E7852" s="4" t="s">
        <v>1997</v>
      </c>
    </row>
    <row r="7853" spans="1:5" x14ac:dyDescent="0.2">
      <c r="A7853">
        <v>7792</v>
      </c>
      <c r="B7853" s="1831">
        <f>'PCTC-OEPP 27-28'!F119</f>
        <v>0</v>
      </c>
      <c r="D7853" s="2" t="str">
        <f t="shared" si="129"/>
        <v>Error?</v>
      </c>
      <c r="E7853" s="4" t="s">
        <v>1997</v>
      </c>
    </row>
    <row r="7854" spans="1:5" x14ac:dyDescent="0.2">
      <c r="A7854">
        <v>7793</v>
      </c>
      <c r="B7854" s="1831">
        <f>'PCTC-OEPP 27-28'!F120</f>
        <v>0</v>
      </c>
      <c r="D7854" s="2" t="str">
        <f t="shared" si="129"/>
        <v>Error?</v>
      </c>
      <c r="E7854" s="4" t="s">
        <v>1997</v>
      </c>
    </row>
    <row r="7855" spans="1:5" x14ac:dyDescent="0.2">
      <c r="A7855">
        <v>7794</v>
      </c>
      <c r="B7855" s="1831">
        <f>'PCTC-OEPP 27-28'!F122</f>
        <v>50000</v>
      </c>
      <c r="D7855" s="2" t="str">
        <f t="shared" si="129"/>
        <v>Error?</v>
      </c>
      <c r="E7855" s="4" t="s">
        <v>1997</v>
      </c>
    </row>
    <row r="7856" spans="1:5" x14ac:dyDescent="0.2">
      <c r="A7856">
        <v>7795</v>
      </c>
      <c r="B7856" s="1831">
        <f>'PCTC-OEPP 27-28'!F124</f>
        <v>0</v>
      </c>
      <c r="D7856" s="2" t="str">
        <f t="shared" si="129"/>
        <v>Error?</v>
      </c>
      <c r="E7856" s="4" t="s">
        <v>1997</v>
      </c>
    </row>
    <row r="7857" spans="1:5" x14ac:dyDescent="0.2">
      <c r="A7857">
        <v>7796</v>
      </c>
      <c r="B7857" s="1831">
        <f>'PCTC-OEPP 27-28'!F125</f>
        <v>0</v>
      </c>
      <c r="D7857" s="2" t="str">
        <f t="shared" si="129"/>
        <v>Error?</v>
      </c>
      <c r="E7857" s="4" t="s">
        <v>1997</v>
      </c>
    </row>
    <row r="7858" spans="1:5" x14ac:dyDescent="0.2">
      <c r="A7858">
        <v>7797</v>
      </c>
      <c r="B7858" s="1831">
        <f>'PCTC-OEPP 27-28'!F126</f>
        <v>225133</v>
      </c>
      <c r="D7858" s="2" t="str">
        <f t="shared" si="129"/>
        <v>Error?</v>
      </c>
      <c r="E7858" s="4" t="s">
        <v>1997</v>
      </c>
    </row>
    <row r="7859" spans="1:5" x14ac:dyDescent="0.2">
      <c r="A7859">
        <v>7798</v>
      </c>
      <c r="B7859" s="1831">
        <f>'PCTC-OEPP 27-28'!F127</f>
        <v>140019</v>
      </c>
      <c r="D7859" s="2" t="str">
        <f t="shared" si="129"/>
        <v>Error?</v>
      </c>
      <c r="E7859" s="4" t="s">
        <v>1997</v>
      </c>
    </row>
    <row r="7860" spans="1:5" x14ac:dyDescent="0.2">
      <c r="A7860">
        <v>7799</v>
      </c>
      <c r="B7860" s="1831">
        <f>'PCTC-OEPP 27-28'!F128</f>
        <v>10870</v>
      </c>
      <c r="D7860" s="2" t="str">
        <f t="shared" si="129"/>
        <v>Error?</v>
      </c>
      <c r="E7860" s="4" t="s">
        <v>1997</v>
      </c>
    </row>
    <row r="7861" spans="1:5" x14ac:dyDescent="0.2">
      <c r="A7861">
        <v>7800</v>
      </c>
      <c r="B7861" s="1831">
        <f>'PCTC-OEPP 27-28'!F129</f>
        <v>516074</v>
      </c>
      <c r="D7861" s="2" t="str">
        <f t="shared" si="129"/>
        <v>Error?</v>
      </c>
      <c r="E7861" s="4" t="s">
        <v>1997</v>
      </c>
    </row>
    <row r="7862" spans="1:5" x14ac:dyDescent="0.2">
      <c r="A7862">
        <v>7801</v>
      </c>
      <c r="B7862" s="1831">
        <f>'PCTC-OEPP 27-28'!F130</f>
        <v>12392</v>
      </c>
      <c r="D7862" s="2" t="str">
        <f t="shared" si="129"/>
        <v>Error?</v>
      </c>
      <c r="E7862" s="4" t="s">
        <v>1997</v>
      </c>
    </row>
    <row r="7863" spans="1:5" x14ac:dyDescent="0.2">
      <c r="A7863">
        <v>7802</v>
      </c>
      <c r="B7863" s="1831">
        <f>'PCTC-OEPP 27-28'!F131</f>
        <v>0</v>
      </c>
      <c r="D7863" s="2" t="str">
        <f t="shared" si="129"/>
        <v>Error?</v>
      </c>
      <c r="E7863" s="4" t="s">
        <v>1997</v>
      </c>
    </row>
    <row r="7864" spans="1:5" x14ac:dyDescent="0.2">
      <c r="A7864">
        <v>7803</v>
      </c>
      <c r="B7864" s="1831">
        <f>'PCTC-OEPP 27-28'!F132</f>
        <v>0</v>
      </c>
      <c r="D7864" s="2" t="str">
        <f t="shared" si="129"/>
        <v>Error?</v>
      </c>
      <c r="E7864" s="4" t="s">
        <v>1997</v>
      </c>
    </row>
    <row r="7865" spans="1:5" x14ac:dyDescent="0.2">
      <c r="A7865">
        <v>7804</v>
      </c>
      <c r="B7865" s="1831">
        <f>'PCTC-OEPP 27-28'!F133</f>
        <v>0</v>
      </c>
      <c r="D7865" s="2" t="str">
        <f t="shared" si="129"/>
        <v>Error?</v>
      </c>
      <c r="E7865" s="4" t="s">
        <v>1997</v>
      </c>
    </row>
    <row r="7866" spans="1:5" x14ac:dyDescent="0.2">
      <c r="A7866">
        <v>7805</v>
      </c>
      <c r="B7866" s="1831">
        <f>'PCTC-OEPP 27-28'!F158</f>
        <v>0</v>
      </c>
      <c r="D7866" s="2" t="str">
        <f t="shared" si="129"/>
        <v>Error?</v>
      </c>
      <c r="E7866" s="4" t="s">
        <v>1997</v>
      </c>
    </row>
    <row r="7867" spans="1:5" x14ac:dyDescent="0.2">
      <c r="A7867">
        <v>7806</v>
      </c>
      <c r="B7867" s="1831">
        <f>'PCTC-OEPP 27-28'!F160</f>
        <v>0</v>
      </c>
      <c r="D7867" s="2" t="str">
        <f t="shared" si="129"/>
        <v>Error?</v>
      </c>
      <c r="E7867" s="4" t="s">
        <v>1997</v>
      </c>
    </row>
    <row r="7868" spans="1:5" x14ac:dyDescent="0.2">
      <c r="A7868">
        <v>7807</v>
      </c>
      <c r="B7868" s="1831">
        <f>'PCTC-OEPP 27-28'!F161</f>
        <v>0</v>
      </c>
      <c r="D7868" s="2" t="str">
        <f t="shared" si="129"/>
        <v>Error?</v>
      </c>
      <c r="E7868" s="4" t="s">
        <v>1997</v>
      </c>
    </row>
    <row r="7869" spans="1:5" x14ac:dyDescent="0.2">
      <c r="A7869">
        <v>7808</v>
      </c>
      <c r="B7869" s="1831">
        <f>'PCTC-OEPP 27-28'!F162</f>
        <v>19226</v>
      </c>
      <c r="D7869" s="2" t="str">
        <f t="shared" si="129"/>
        <v>Error?</v>
      </c>
      <c r="E7869" s="4" t="s">
        <v>1997</v>
      </c>
    </row>
    <row r="7870" spans="1:5" x14ac:dyDescent="0.2">
      <c r="A7870">
        <v>7809</v>
      </c>
      <c r="B7870" s="1831">
        <f>'PCTC-OEPP 27-28'!F163</f>
        <v>0</v>
      </c>
      <c r="D7870" s="2" t="str">
        <f t="shared" si="129"/>
        <v>Error?</v>
      </c>
      <c r="E7870" s="4" t="s">
        <v>1997</v>
      </c>
    </row>
    <row r="7871" spans="1:5" x14ac:dyDescent="0.2">
      <c r="A7871">
        <v>7810</v>
      </c>
      <c r="B7871" s="1831">
        <f>'PCTC-OEPP 27-28'!F164</f>
        <v>0</v>
      </c>
      <c r="D7871" s="2" t="str">
        <f t="shared" si="129"/>
        <v>Error?</v>
      </c>
      <c r="E7871" s="4" t="s">
        <v>1997</v>
      </c>
    </row>
    <row r="7872" spans="1:5" x14ac:dyDescent="0.2">
      <c r="A7872">
        <v>7811</v>
      </c>
      <c r="B7872" s="1831">
        <f>'PCTC-OEPP 27-28'!F165</f>
        <v>66232</v>
      </c>
      <c r="D7872" s="2" t="str">
        <f t="shared" si="129"/>
        <v>Error?</v>
      </c>
      <c r="E7872" s="4" t="s">
        <v>1997</v>
      </c>
    </row>
    <row r="7873" spans="1:5" x14ac:dyDescent="0.2">
      <c r="A7873">
        <v>7812</v>
      </c>
      <c r="B7873" s="1831">
        <f>'PCTC-OEPP 27-28'!F166</f>
        <v>0</v>
      </c>
      <c r="D7873" s="2" t="str">
        <f t="shared" si="129"/>
        <v>Error?</v>
      </c>
      <c r="E7873" s="4" t="s">
        <v>1997</v>
      </c>
    </row>
    <row r="7874" spans="1:5" x14ac:dyDescent="0.2">
      <c r="A7874">
        <v>7813</v>
      </c>
      <c r="B7874" s="1831">
        <f>'PCTC-OEPP 27-28'!F169</f>
        <v>29214</v>
      </c>
      <c r="D7874" s="2" t="str">
        <f t="shared" si="129"/>
        <v>Error?</v>
      </c>
      <c r="E7874" s="4" t="s">
        <v>1997</v>
      </c>
    </row>
    <row r="7875" spans="1:5" x14ac:dyDescent="0.2">
      <c r="A7875">
        <v>7814</v>
      </c>
      <c r="B7875" s="1831">
        <f>'PCTC-OEPP 27-28'!F170</f>
        <v>26722</v>
      </c>
      <c r="D7875" s="2" t="str">
        <f t="shared" si="129"/>
        <v>Error?</v>
      </c>
      <c r="E7875" s="4" t="s">
        <v>1997</v>
      </c>
    </row>
    <row r="7876" spans="1:5" x14ac:dyDescent="0.2">
      <c r="A7876">
        <v>7815</v>
      </c>
      <c r="B7876" s="1831">
        <f>'PCTC-OEPP 27-28'!F171</f>
        <v>0</v>
      </c>
      <c r="D7876" s="2" t="str">
        <f t="shared" si="129"/>
        <v>Error?</v>
      </c>
      <c r="E7876" s="4" t="s">
        <v>1997</v>
      </c>
    </row>
    <row r="7877" spans="1:5" x14ac:dyDescent="0.2">
      <c r="A7877">
        <v>7816</v>
      </c>
      <c r="B7877" s="1831">
        <f>'PCTC-OEPP 27-28'!F175</f>
        <v>3484166</v>
      </c>
      <c r="D7877" s="2" t="str">
        <f t="shared" si="129"/>
        <v>Error?</v>
      </c>
      <c r="E7877" s="4" t="s">
        <v>1997</v>
      </c>
    </row>
    <row r="7878" spans="1:5" x14ac:dyDescent="0.2">
      <c r="A7878">
        <v>7817</v>
      </c>
      <c r="B7878" s="1831">
        <f>'PCTC-OEPP 27-28'!F176</f>
        <v>16576876</v>
      </c>
      <c r="D7878" s="2" t="str">
        <f t="shared" si="129"/>
        <v>Error?</v>
      </c>
      <c r="E7878" s="4" t="s">
        <v>1997</v>
      </c>
    </row>
    <row r="7879" spans="1:5" x14ac:dyDescent="0.2">
      <c r="A7879">
        <v>7818</v>
      </c>
      <c r="B7879" s="1831">
        <f>'PCTC-OEPP 27-28'!F178</f>
        <v>18054393</v>
      </c>
      <c r="D7879" s="2" t="str">
        <f t="shared" si="129"/>
        <v>Error?</v>
      </c>
      <c r="E7879" s="4" t="s">
        <v>1997</v>
      </c>
    </row>
    <row r="7880" spans="1:5" x14ac:dyDescent="0.2">
      <c r="A7880">
        <v>7819</v>
      </c>
      <c r="B7880" s="1831">
        <f>'PCTC-OEPP 27-28'!F180</f>
        <v>12993.445843828715</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Q29" sqref="Q29"/>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69" t="s">
        <v>1182</v>
      </c>
      <c r="B2" s="2569"/>
      <c r="C2" s="2569"/>
      <c r="D2" s="2569"/>
      <c r="E2" s="2569"/>
      <c r="F2" s="2569"/>
      <c r="G2" s="2569"/>
      <c r="H2" s="2569"/>
      <c r="I2" s="2569"/>
      <c r="J2" s="2569"/>
      <c r="K2" s="2569"/>
      <c r="L2" s="2569"/>
    </row>
    <row r="3" spans="1:29" ht="13.5" customHeight="1" x14ac:dyDescent="0.2">
      <c r="A3" s="2555" t="s">
        <v>1181</v>
      </c>
      <c r="B3" s="2555"/>
      <c r="C3" s="2555"/>
      <c r="D3" s="2555"/>
      <c r="E3" s="2555"/>
      <c r="F3" s="2555"/>
      <c r="G3" s="2555"/>
      <c r="H3" s="2555"/>
      <c r="I3" s="2555"/>
      <c r="J3" s="2555"/>
      <c r="K3" s="2555"/>
      <c r="L3" s="2555"/>
    </row>
    <row r="4" spans="1:29" ht="13.5" customHeight="1" x14ac:dyDescent="0.2">
      <c r="A4" s="2586" t="str">
        <f>"Year Ending June 30, "&amp;'AFR20'!E2</f>
        <v>Year Ending June 30, 2020</v>
      </c>
      <c r="B4" s="2587"/>
      <c r="C4" s="2587"/>
      <c r="D4" s="2587"/>
      <c r="E4" s="2587"/>
      <c r="F4" s="2587"/>
      <c r="G4" s="2587"/>
      <c r="H4" s="2587"/>
      <c r="I4" s="2587"/>
      <c r="J4" s="2587"/>
      <c r="K4" s="2587"/>
      <c r="L4" s="258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49" t="str">
        <f>COVER!A17</f>
        <v xml:space="preserve"> Maercker SD 60</v>
      </c>
      <c r="B7" s="2550"/>
      <c r="C7" s="2550"/>
      <c r="D7" s="2588"/>
      <c r="E7" s="2589">
        <f>COVER!A13</f>
        <v>19022060002</v>
      </c>
      <c r="F7" s="2590"/>
      <c r="G7" s="2556" t="str">
        <f>COVER!T23</f>
        <v>066-004023</v>
      </c>
      <c r="H7" s="2557"/>
      <c r="I7" s="2557"/>
      <c r="J7" s="2557"/>
      <c r="K7" s="2557"/>
      <c r="L7" s="2558"/>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59"/>
      <c r="B9" s="2560"/>
      <c r="C9" s="2560"/>
      <c r="D9" s="2560"/>
      <c r="E9" s="2560"/>
      <c r="F9" s="2561"/>
      <c r="G9" s="2562" t="str">
        <f>COVER!T13</f>
        <v>Wipfli LLP</v>
      </c>
      <c r="H9" s="2563"/>
      <c r="I9" s="2563"/>
      <c r="J9" s="2563"/>
      <c r="K9" s="2563"/>
      <c r="L9" s="2564"/>
    </row>
    <row r="10" spans="1:29" ht="13.5" customHeight="1" x14ac:dyDescent="0.2">
      <c r="A10" s="2546">
        <f>COVER!A38</f>
        <v>0</v>
      </c>
      <c r="B10" s="2547"/>
      <c r="C10" s="2547"/>
      <c r="D10" s="2547"/>
      <c r="E10" s="2547"/>
      <c r="F10" s="2548"/>
      <c r="G10" s="2562" t="str">
        <f>COVER!T17</f>
        <v>3957 75th Street</v>
      </c>
      <c r="H10" s="2575"/>
      <c r="I10" s="2575"/>
      <c r="J10" s="2575"/>
      <c r="K10" s="2575"/>
      <c r="L10" s="2576"/>
    </row>
    <row r="11" spans="1:29" ht="13.5" customHeight="1" x14ac:dyDescent="0.2">
      <c r="A11" s="963" t="s">
        <v>1504</v>
      </c>
      <c r="B11" s="964"/>
      <c r="C11" s="965"/>
      <c r="D11" s="970"/>
      <c r="E11" s="965"/>
      <c r="F11" s="969"/>
      <c r="G11" s="2562" t="str">
        <f>COVER!T19</f>
        <v>Aurora</v>
      </c>
      <c r="H11" s="2575"/>
      <c r="I11" s="2575"/>
      <c r="J11" s="2575"/>
      <c r="K11" s="2575"/>
      <c r="L11" s="2576"/>
    </row>
    <row r="12" spans="1:29" ht="13.5" customHeight="1" x14ac:dyDescent="0.2">
      <c r="A12" s="2580" t="s">
        <v>1503</v>
      </c>
      <c r="B12" s="2581"/>
      <c r="C12" s="2581"/>
      <c r="D12" s="2581"/>
      <c r="E12" s="2581"/>
      <c r="F12" s="2582"/>
      <c r="G12" s="2577"/>
      <c r="H12" s="2578"/>
      <c r="I12" s="2578"/>
      <c r="J12" s="2578"/>
      <c r="K12" s="2578"/>
      <c r="L12" s="2579"/>
    </row>
    <row r="13" spans="1:29" ht="13.5" customHeight="1" x14ac:dyDescent="0.2">
      <c r="A13" s="2562"/>
      <c r="B13" s="2575"/>
      <c r="C13" s="2575"/>
      <c r="D13" s="2575"/>
      <c r="E13" s="2575"/>
      <c r="F13" s="2576"/>
      <c r="G13" s="2570" t="s">
        <v>1505</v>
      </c>
      <c r="H13" s="2571"/>
      <c r="I13" s="2583" t="str">
        <f>COVER!T25</f>
        <v>scott.duenser@wipfli.com</v>
      </c>
      <c r="J13" s="2584"/>
      <c r="K13" s="2584"/>
      <c r="L13" s="2585"/>
    </row>
    <row r="14" spans="1:29" ht="13.5" customHeight="1" x14ac:dyDescent="0.2">
      <c r="A14" s="2562" t="str">
        <f>COVER!A19</f>
        <v>1 S. Cass Avenue</v>
      </c>
      <c r="B14" s="2575"/>
      <c r="C14" s="2575"/>
      <c r="D14" s="2575"/>
      <c r="E14" s="2575"/>
      <c r="F14" s="2576"/>
      <c r="G14" s="974" t="s">
        <v>1176</v>
      </c>
      <c r="H14" s="972"/>
      <c r="I14" s="972"/>
      <c r="J14" s="972"/>
      <c r="K14" s="972"/>
      <c r="L14" s="973"/>
    </row>
    <row r="15" spans="1:29" ht="13.5" customHeight="1" x14ac:dyDescent="0.2">
      <c r="A15" s="2562" t="str">
        <f>COVER!A21</f>
        <v>Westmont</v>
      </c>
      <c r="B15" s="2575"/>
      <c r="C15" s="2575"/>
      <c r="D15" s="2575"/>
      <c r="E15" s="2575"/>
      <c r="F15" s="2576"/>
      <c r="G15" s="2572" t="str">
        <f>COVER!T15</f>
        <v>Scott Duenser</v>
      </c>
      <c r="H15" s="2573"/>
      <c r="I15" s="2573"/>
      <c r="J15" s="2573"/>
      <c r="K15" s="2573"/>
      <c r="L15" s="2574"/>
    </row>
    <row r="16" spans="1:29" ht="12.2" customHeight="1" x14ac:dyDescent="0.2">
      <c r="A16" s="2552">
        <f>COVER!A25</f>
        <v>60559</v>
      </c>
      <c r="B16" s="2553"/>
      <c r="C16" s="2553"/>
      <c r="D16" s="2553"/>
      <c r="E16" s="2553"/>
      <c r="F16" s="2554"/>
      <c r="G16" s="2565"/>
      <c r="H16" s="2566"/>
      <c r="I16" s="2566"/>
      <c r="J16" s="2566"/>
      <c r="K16" s="2566"/>
      <c r="L16" s="2567"/>
    </row>
    <row r="17" spans="1:13" ht="12.2" customHeight="1" x14ac:dyDescent="0.2">
      <c r="A17" s="2568"/>
      <c r="B17" s="2553"/>
      <c r="C17" s="2553"/>
      <c r="D17" s="2553"/>
      <c r="E17" s="2553"/>
      <c r="F17" s="2554"/>
      <c r="G17" s="974" t="s">
        <v>1175</v>
      </c>
      <c r="H17" s="972"/>
      <c r="I17" s="972"/>
      <c r="J17" s="972"/>
      <c r="K17" s="976" t="s">
        <v>1174</v>
      </c>
      <c r="L17" s="969"/>
      <c r="M17" s="962"/>
    </row>
    <row r="18" spans="1:13" ht="12.2" customHeight="1" x14ac:dyDescent="0.2">
      <c r="A18" s="2546"/>
      <c r="B18" s="2547"/>
      <c r="C18" s="2547"/>
      <c r="D18" s="2547"/>
      <c r="E18" s="2547"/>
      <c r="F18" s="2548"/>
      <c r="G18" s="2549" t="str">
        <f>COVER!T21</f>
        <v>630-898-5578</v>
      </c>
      <c r="H18" s="2550"/>
      <c r="I18" s="2550"/>
      <c r="J18" s="2550"/>
      <c r="K18" s="2549" t="str">
        <f>COVER!X21</f>
        <v>630-225-5128</v>
      </c>
      <c r="L18" s="255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1808</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0" zoomScale="125" zoomScaleNormal="125" workbookViewId="0">
      <selection activeCell="F37" sqref="F37"/>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91" t="str">
        <f>'Single Audit Cover'!A7</f>
        <v xml:space="preserve"> Maercker SD 60</v>
      </c>
      <c r="B1" s="2592"/>
      <c r="C1" s="2592"/>
      <c r="D1" s="2592"/>
    </row>
    <row r="2" spans="1:11" s="991" customFormat="1" ht="12.75" x14ac:dyDescent="0.2">
      <c r="A2" s="2593">
        <f>'Single Audit Cover'!E7</f>
        <v>19022060002</v>
      </c>
      <c r="B2" s="2594"/>
      <c r="C2" s="2594"/>
      <c r="D2" s="2594"/>
    </row>
    <row r="3" spans="1:11" s="991" customFormat="1" ht="12.75" x14ac:dyDescent="0.2">
      <c r="A3" s="2591" t="s">
        <v>1498</v>
      </c>
      <c r="B3" s="2592"/>
      <c r="C3" s="2592"/>
      <c r="D3" s="2592"/>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1968</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1809</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topLeftCell="A13" zoomScale="110" zoomScaleNormal="110" zoomScaleSheetLayoutView="100" workbookViewId="0">
      <selection activeCell="D25" sqref="D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96" t="str">
        <f>'Single Audit Cover'!A7</f>
        <v xml:space="preserve"> Maercker SD 60</v>
      </c>
      <c r="B1" s="2596"/>
      <c r="C1" s="2596"/>
      <c r="D1" s="2596"/>
      <c r="E1" s="2596"/>
    </row>
    <row r="2" spans="1:5" x14ac:dyDescent="0.2">
      <c r="A2" s="2597">
        <f>'Single Audit Cover'!E7</f>
        <v>19022060002</v>
      </c>
      <c r="B2" s="2597"/>
      <c r="C2" s="2597"/>
      <c r="D2" s="2597"/>
      <c r="E2" s="2597"/>
    </row>
    <row r="3" spans="1:5" ht="4.5" customHeight="1" x14ac:dyDescent="0.2"/>
    <row r="4" spans="1:5" x14ac:dyDescent="0.2">
      <c r="A4" s="2596" t="s">
        <v>1235</v>
      </c>
      <c r="B4" s="2596"/>
      <c r="C4" s="2596"/>
      <c r="D4" s="2596"/>
      <c r="E4" s="2596"/>
    </row>
    <row r="5" spans="1:5" x14ac:dyDescent="0.2">
      <c r="A5" s="2599" t="str">
        <f>'Single Audit Cover'!A4</f>
        <v>Year Ending June 30, 2020</v>
      </c>
      <c r="B5" s="2599"/>
      <c r="C5" s="2599"/>
      <c r="D5" s="2599"/>
      <c r="E5" s="2599"/>
    </row>
    <row r="6" spans="1:5" x14ac:dyDescent="0.2">
      <c r="A6" s="2596" t="s">
        <v>1234</v>
      </c>
      <c r="B6" s="2596"/>
      <c r="C6" s="2596"/>
      <c r="D6" s="2596"/>
      <c r="E6" s="2596"/>
    </row>
    <row r="8" spans="1:5" x14ac:dyDescent="0.2">
      <c r="A8" s="1036" t="s">
        <v>1233</v>
      </c>
    </row>
    <row r="10" spans="1:5" x14ac:dyDescent="0.2">
      <c r="A10" s="1037" t="s">
        <v>1232</v>
      </c>
      <c r="B10" s="1038" t="s">
        <v>1231</v>
      </c>
      <c r="C10" s="1038"/>
      <c r="D10" s="1039">
        <f>SUM('Acct Summary 7-8'!C7:K7)</f>
        <v>1059868</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2003</v>
      </c>
      <c r="B14" s="1038"/>
      <c r="C14" s="1038"/>
      <c r="D14" s="1040">
        <f>'ICR Computation 30'!E11</f>
        <v>37025</v>
      </c>
    </row>
    <row r="15" spans="1:5" x14ac:dyDescent="0.2">
      <c r="A15" s="1037"/>
      <c r="B15" s="1038"/>
      <c r="C15" s="1038"/>
    </row>
    <row r="16" spans="1:5" x14ac:dyDescent="0.2">
      <c r="A16" s="1037" t="s">
        <v>1814</v>
      </c>
      <c r="B16" s="1038"/>
      <c r="C16" s="1038"/>
    </row>
    <row r="17" spans="1:4" x14ac:dyDescent="0.2">
      <c r="A17" s="1037" t="s">
        <v>1963</v>
      </c>
      <c r="B17" s="1038" t="s">
        <v>1226</v>
      </c>
      <c r="C17" s="1038"/>
      <c r="D17" s="1040">
        <f>-SUM('Revenues 9-14'!C264:D264,'Revenues 9-14'!F264:G264)</f>
        <v>-26722</v>
      </c>
    </row>
    <row r="19" spans="1:4" ht="13.5" thickBot="1" x14ac:dyDescent="0.25">
      <c r="A19" s="1041" t="s">
        <v>1225</v>
      </c>
      <c r="D19" s="1042">
        <f>SUM(D10:D17)</f>
        <v>1070171</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98" t="s">
        <v>2056</v>
      </c>
      <c r="B24" s="2598"/>
      <c r="D24" s="1044">
        <v>1217</v>
      </c>
    </row>
    <row r="25" spans="1:4" x14ac:dyDescent="0.2">
      <c r="A25" s="2595"/>
      <c r="B25" s="2595"/>
      <c r="D25" s="1044"/>
    </row>
    <row r="26" spans="1:4" x14ac:dyDescent="0.2">
      <c r="A26" s="2595"/>
      <c r="B26" s="2595"/>
      <c r="D26" s="1044"/>
    </row>
    <row r="27" spans="1:4" x14ac:dyDescent="0.2">
      <c r="A27" s="2595"/>
      <c r="B27" s="2595"/>
      <c r="D27" s="1044"/>
    </row>
    <row r="28" spans="1:4" x14ac:dyDescent="0.2">
      <c r="A28" s="2595"/>
      <c r="B28" s="2595"/>
      <c r="D28" s="1044"/>
    </row>
    <row r="29" spans="1:4" x14ac:dyDescent="0.2">
      <c r="A29" s="2595"/>
      <c r="B29" s="2595"/>
      <c r="D29" s="1044"/>
    </row>
    <row r="30" spans="1:4" x14ac:dyDescent="0.2">
      <c r="A30" s="2595"/>
      <c r="B30" s="2595"/>
      <c r="D30" s="1044"/>
    </row>
    <row r="32" spans="1:4" x14ac:dyDescent="0.2">
      <c r="A32" s="1036" t="s">
        <v>1223</v>
      </c>
      <c r="D32" s="1039">
        <f>SUM(D19:D30)</f>
        <v>1071388</v>
      </c>
    </row>
    <row r="33" spans="1:4" x14ac:dyDescent="0.2">
      <c r="D33" s="1045"/>
    </row>
    <row r="34" spans="1:4" x14ac:dyDescent="0.2">
      <c r="A34" s="295" t="s">
        <v>1222</v>
      </c>
    </row>
    <row r="35" spans="1:4" x14ac:dyDescent="0.2">
      <c r="A35" s="295" t="s">
        <v>1221</v>
      </c>
      <c r="B35" s="1034" t="s">
        <v>1220</v>
      </c>
      <c r="D35" s="1046">
        <v>1071388</v>
      </c>
    </row>
    <row r="37" spans="1:4" x14ac:dyDescent="0.2">
      <c r="A37" s="1036" t="s">
        <v>1219</v>
      </c>
    </row>
    <row r="39" spans="1:4" ht="13.35" customHeight="1" x14ac:dyDescent="0.2">
      <c r="A39" s="1043" t="s">
        <v>1218</v>
      </c>
    </row>
    <row r="40" spans="1:4" x14ac:dyDescent="0.2">
      <c r="A40" s="2595"/>
      <c r="B40" s="2595"/>
      <c r="D40" s="1044"/>
    </row>
    <row r="41" spans="1:4" x14ac:dyDescent="0.2">
      <c r="A41" s="2595"/>
      <c r="B41" s="2595"/>
      <c r="D41" s="1047"/>
    </row>
    <row r="42" spans="1:4" x14ac:dyDescent="0.2">
      <c r="A42" s="2595"/>
      <c r="B42" s="2595"/>
      <c r="D42" s="1047"/>
    </row>
    <row r="43" spans="1:4" x14ac:dyDescent="0.2">
      <c r="A43" s="2595"/>
      <c r="B43" s="2595"/>
      <c r="D43" s="1047"/>
    </row>
    <row r="44" spans="1:4" x14ac:dyDescent="0.2">
      <c r="A44" s="2595"/>
      <c r="B44" s="2595"/>
      <c r="D44" s="1047"/>
    </row>
    <row r="45" spans="1:4" x14ac:dyDescent="0.2">
      <c r="A45" s="2595"/>
      <c r="B45" s="2595"/>
      <c r="D45" s="1047"/>
    </row>
    <row r="47" spans="1:4" x14ac:dyDescent="0.2">
      <c r="B47" s="1048" t="s">
        <v>1217</v>
      </c>
      <c r="C47" s="1048"/>
      <c r="D47" s="1049">
        <f>SUM(D35:D45)</f>
        <v>1071388</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33" sqref="O33"/>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5" t="str">
        <f>'Single Audit Cover'!A7</f>
        <v xml:space="preserve"> Maercker SD 60</v>
      </c>
      <c r="C1" s="2600"/>
      <c r="D1" s="2600"/>
      <c r="E1" s="2600"/>
      <c r="F1" s="2600"/>
      <c r="G1" s="2600"/>
      <c r="H1" s="2600"/>
      <c r="I1" s="2600"/>
      <c r="J1" s="2600"/>
      <c r="K1" s="2600"/>
      <c r="L1" s="2600"/>
      <c r="M1" s="2600"/>
    </row>
    <row r="2" spans="2:14" ht="15" x14ac:dyDescent="0.2">
      <c r="B2" s="2601">
        <f>'Single Audit Cover'!E7</f>
        <v>19022060002</v>
      </c>
      <c r="C2" s="2601"/>
      <c r="D2" s="2601"/>
      <c r="E2" s="2601"/>
      <c r="F2" s="2601"/>
      <c r="G2" s="2601"/>
      <c r="H2" s="2601"/>
      <c r="I2" s="2601"/>
      <c r="J2" s="2601"/>
      <c r="K2" s="2601"/>
      <c r="L2" s="2601"/>
      <c r="M2" s="2601"/>
      <c r="N2" s="1078"/>
    </row>
    <row r="3" spans="2:14" ht="15" x14ac:dyDescent="0.2">
      <c r="B3" s="2602" t="s">
        <v>1209</v>
      </c>
      <c r="C3" s="2602"/>
      <c r="D3" s="2602"/>
      <c r="E3" s="2602"/>
      <c r="F3" s="2602"/>
      <c r="G3" s="2602"/>
      <c r="H3" s="2602"/>
      <c r="I3" s="2602"/>
      <c r="J3" s="2602"/>
      <c r="K3" s="2602"/>
      <c r="L3" s="2602"/>
      <c r="M3" s="2602"/>
      <c r="N3" s="1078"/>
    </row>
    <row r="4" spans="2:14" ht="15" x14ac:dyDescent="0.2">
      <c r="B4" s="2603" t="str">
        <f>'Single Audit Cover'!A4</f>
        <v>Year Ending June 30, 2020</v>
      </c>
      <c r="C4" s="2603"/>
      <c r="D4" s="2603"/>
      <c r="E4" s="2603"/>
      <c r="F4" s="2603"/>
      <c r="G4" s="2603"/>
      <c r="H4" s="2603"/>
      <c r="I4" s="2603"/>
      <c r="J4" s="2603"/>
      <c r="K4" s="2603"/>
      <c r="L4" s="2603"/>
      <c r="M4" s="2603"/>
      <c r="N4" s="1078"/>
    </row>
    <row r="5" spans="2:14" x14ac:dyDescent="0.2">
      <c r="H5" s="1914"/>
      <c r="J5" s="1914"/>
    </row>
    <row r="6" spans="2:14" x14ac:dyDescent="0.2">
      <c r="B6" s="1079"/>
      <c r="C6" s="1080"/>
      <c r="D6" s="1081" t="s">
        <v>1255</v>
      </c>
      <c r="E6" s="1082" t="s">
        <v>523</v>
      </c>
      <c r="F6" s="1083"/>
      <c r="G6" s="1084" t="s">
        <v>1710</v>
      </c>
      <c r="H6" s="1082"/>
      <c r="I6" s="1082"/>
      <c r="J6" s="1915"/>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1711</v>
      </c>
      <c r="D9" s="1090" t="s">
        <v>1712</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1713</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1811</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1714</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1715</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1716</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1717</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81DB6-3FB3-4975-B091-220A3B81701F}">
  <sheetPr>
    <pageSetUpPr fitToPage="1"/>
  </sheetPr>
  <dimension ref="A1:Q78"/>
  <sheetViews>
    <sheetView showGridLines="0" zoomScaleNormal="100" workbookViewId="0">
      <pane ySplit="12" topLeftCell="A67" activePane="bottomLeft" state="frozen"/>
      <selection pane="bottomLeft" activeCell="G8" sqref="G8"/>
    </sheetView>
  </sheetViews>
  <sheetFormatPr defaultColWidth="9.140625" defaultRowHeight="12.75" x14ac:dyDescent="0.2"/>
  <cols>
    <col min="1" max="4" width="1.7109375" style="2037" customWidth="1"/>
    <col min="5" max="5" width="30.28515625" style="2037" customWidth="1"/>
    <col min="6" max="6" width="5.28515625" style="2064" bestFit="1" customWidth="1"/>
    <col min="7" max="7" width="16.85546875" style="2047" customWidth="1"/>
    <col min="8" max="8" width="6.85546875" style="2037" bestFit="1" customWidth="1"/>
    <col min="9" max="9" width="12.140625" style="2037" bestFit="1" customWidth="1"/>
    <col min="10" max="17" width="14" style="2037" customWidth="1"/>
    <col min="18" max="16384" width="9.140625" style="2037"/>
  </cols>
  <sheetData>
    <row r="1" spans="1:17" x14ac:dyDescent="0.2">
      <c r="A1" s="2605" t="str">
        <f>_xll.cw_clp("clp2")</f>
        <v>Maercker School District No. 60</v>
      </c>
      <c r="B1" s="2605"/>
      <c r="C1" s="2605"/>
      <c r="D1" s="2605"/>
      <c r="E1" s="2605"/>
      <c r="F1" s="2605"/>
      <c r="G1" s="2605"/>
      <c r="H1" s="2605"/>
      <c r="I1" s="2605"/>
      <c r="J1" s="2605"/>
      <c r="K1" s="2605"/>
      <c r="L1" s="2605"/>
      <c r="M1" s="2605"/>
      <c r="N1" s="2605"/>
      <c r="O1" s="2605"/>
      <c r="P1" s="2605"/>
      <c r="Q1" s="2605"/>
    </row>
    <row r="2" spans="1:17" x14ac:dyDescent="0.2">
      <c r="A2" s="2610" t="str">
        <f>_xll.cw_clp("clp145")</f>
        <v>498175</v>
      </c>
      <c r="B2" s="2610"/>
      <c r="C2" s="2610"/>
      <c r="D2" s="2610"/>
      <c r="E2" s="2610"/>
      <c r="F2" s="2610"/>
      <c r="G2" s="2610"/>
      <c r="H2" s="2610"/>
      <c r="I2" s="2610"/>
      <c r="J2" s="2610"/>
      <c r="K2" s="2610"/>
      <c r="L2" s="2610"/>
      <c r="M2" s="2610"/>
      <c r="N2" s="2610"/>
      <c r="O2" s="2610"/>
      <c r="P2" s="2610"/>
      <c r="Q2" s="2610"/>
    </row>
    <row r="3" spans="1:17" x14ac:dyDescent="0.2">
      <c r="A3" s="2605" t="s">
        <v>1209</v>
      </c>
      <c r="B3" s="2605"/>
      <c r="C3" s="2605"/>
      <c r="D3" s="2605"/>
      <c r="E3" s="2605"/>
      <c r="F3" s="2605"/>
      <c r="G3" s="2605"/>
      <c r="H3" s="2605"/>
      <c r="I3" s="2605"/>
      <c r="J3" s="2605"/>
      <c r="K3" s="2605"/>
      <c r="L3" s="2605"/>
      <c r="M3" s="2605"/>
      <c r="N3" s="2605"/>
      <c r="O3" s="2605"/>
      <c r="P3" s="2605"/>
      <c r="Q3" s="2605"/>
    </row>
    <row r="4" spans="1:17" x14ac:dyDescent="0.2">
      <c r="A4" s="2610" t="s">
        <v>2066</v>
      </c>
      <c r="B4" s="2610"/>
      <c r="C4" s="2610"/>
      <c r="D4" s="2610"/>
      <c r="E4" s="2610"/>
      <c r="F4" s="2610"/>
      <c r="G4" s="2610"/>
      <c r="H4" s="2610"/>
      <c r="I4" s="2610"/>
      <c r="J4" s="2610"/>
      <c r="K4" s="2610"/>
      <c r="L4" s="2610"/>
      <c r="M4" s="2610"/>
      <c r="N4" s="2610"/>
      <c r="O4" s="2610"/>
      <c r="P4" s="2610"/>
      <c r="Q4" s="2610"/>
    </row>
    <row r="5" spans="1:17" x14ac:dyDescent="0.2">
      <c r="A5" s="2067"/>
      <c r="B5" s="2067"/>
      <c r="C5" s="2067"/>
      <c r="D5" s="2067"/>
      <c r="E5" s="2067"/>
      <c r="F5" s="2067"/>
      <c r="G5" s="2067"/>
      <c r="H5" s="2067"/>
      <c r="I5" s="2067"/>
      <c r="J5" s="2067"/>
      <c r="K5" s="2067"/>
      <c r="L5" s="2067"/>
      <c r="M5" s="2067"/>
      <c r="N5" s="2067"/>
      <c r="O5" s="2067"/>
      <c r="P5" s="2067"/>
      <c r="Q5" s="2067"/>
    </row>
    <row r="6" spans="1:17" x14ac:dyDescent="0.2">
      <c r="A6" s="2067"/>
      <c r="B6" s="2067"/>
      <c r="C6" s="2067"/>
      <c r="D6" s="2067"/>
      <c r="E6" s="2067"/>
      <c r="F6" s="2067"/>
      <c r="G6" s="2067"/>
      <c r="H6" s="2067"/>
      <c r="I6" s="2067"/>
      <c r="J6" s="2067"/>
      <c r="K6" s="2067"/>
      <c r="L6" s="2067"/>
      <c r="M6" s="2067"/>
      <c r="N6" s="2067"/>
      <c r="O6" s="2067"/>
      <c r="P6" s="2067"/>
      <c r="Q6" s="2067"/>
    </row>
    <row r="8" spans="1:17" s="2064" customFormat="1" x14ac:dyDescent="0.2">
      <c r="A8" s="2611"/>
      <c r="B8" s="2612"/>
      <c r="C8" s="2612"/>
      <c r="D8" s="2612"/>
      <c r="E8" s="2613"/>
      <c r="F8" s="2068"/>
      <c r="G8" s="2051"/>
      <c r="H8" s="2052"/>
      <c r="I8" s="2052"/>
      <c r="J8" s="2614" t="s">
        <v>523</v>
      </c>
      <c r="K8" s="2615"/>
      <c r="L8" s="2614" t="s">
        <v>2067</v>
      </c>
      <c r="M8" s="2616"/>
      <c r="N8" s="2615"/>
      <c r="O8" s="2052"/>
      <c r="P8" s="2052"/>
      <c r="Q8" s="2052"/>
    </row>
    <row r="9" spans="1:17" s="2064" customFormat="1" x14ac:dyDescent="0.2">
      <c r="A9" s="2604"/>
      <c r="B9" s="2605"/>
      <c r="C9" s="2605"/>
      <c r="D9" s="2605"/>
      <c r="E9" s="2606"/>
      <c r="F9" s="2065"/>
      <c r="G9" s="2053"/>
      <c r="H9" s="2054"/>
      <c r="I9" s="2054" t="s">
        <v>1255</v>
      </c>
      <c r="J9" s="2054" t="s">
        <v>1252</v>
      </c>
      <c r="K9" s="2054" t="s">
        <v>1252</v>
      </c>
      <c r="L9" s="2054" t="s">
        <v>1252</v>
      </c>
      <c r="M9" s="2054" t="s">
        <v>1252</v>
      </c>
      <c r="N9" s="2054" t="s">
        <v>1252</v>
      </c>
      <c r="O9" s="2054"/>
      <c r="P9" s="2054" t="s">
        <v>2068</v>
      </c>
      <c r="Q9" s="2054"/>
    </row>
    <row r="10" spans="1:17" s="2064" customFormat="1" x14ac:dyDescent="0.2">
      <c r="A10" s="2604" t="s">
        <v>2069</v>
      </c>
      <c r="B10" s="2605"/>
      <c r="C10" s="2605"/>
      <c r="D10" s="2605"/>
      <c r="E10" s="2606"/>
      <c r="F10" s="2065"/>
      <c r="G10" s="2053"/>
      <c r="H10" s="2054" t="s">
        <v>1254</v>
      </c>
      <c r="I10" s="2054" t="s">
        <v>1253</v>
      </c>
      <c r="J10" s="2054" t="s">
        <v>2070</v>
      </c>
      <c r="K10" s="2054" t="s">
        <v>2163</v>
      </c>
      <c r="L10" s="2054" t="str">
        <f>J10</f>
        <v>7/1/18 to</v>
      </c>
      <c r="M10" s="2054" t="str">
        <f>K10</f>
        <v>7/1/19 to</v>
      </c>
      <c r="N10" s="2054" t="s">
        <v>2164</v>
      </c>
      <c r="O10" s="2054" t="s">
        <v>1251</v>
      </c>
      <c r="P10" s="2054" t="s">
        <v>1247</v>
      </c>
      <c r="Q10" s="2054"/>
    </row>
    <row r="11" spans="1:17" s="2064" customFormat="1" x14ac:dyDescent="0.2">
      <c r="A11" s="2604" t="s">
        <v>1256</v>
      </c>
      <c r="B11" s="2605"/>
      <c r="C11" s="2605"/>
      <c r="D11" s="2605"/>
      <c r="E11" s="2606"/>
      <c r="F11" s="2065" t="s">
        <v>2071</v>
      </c>
      <c r="G11" s="2055" t="s">
        <v>2072</v>
      </c>
      <c r="H11" s="2054" t="s">
        <v>2073</v>
      </c>
      <c r="I11" s="2054" t="s">
        <v>2074</v>
      </c>
      <c r="J11" s="2056" t="s">
        <v>2075</v>
      </c>
      <c r="K11" s="2056" t="s">
        <v>2162</v>
      </c>
      <c r="L11" s="2056" t="str">
        <f>J11</f>
        <v>6/30/19</v>
      </c>
      <c r="M11" s="2056" t="str">
        <f>K11</f>
        <v>6/30/20</v>
      </c>
      <c r="N11" s="2054" t="s">
        <v>2076</v>
      </c>
      <c r="O11" s="2054" t="s">
        <v>1248</v>
      </c>
      <c r="P11" s="2054" t="s">
        <v>1568</v>
      </c>
      <c r="Q11" s="2054" t="s">
        <v>30</v>
      </c>
    </row>
    <row r="12" spans="1:17" s="2064" customFormat="1" ht="13.5" thickBot="1" x14ac:dyDescent="0.25">
      <c r="A12" s="2607" t="s">
        <v>2077</v>
      </c>
      <c r="B12" s="2608"/>
      <c r="C12" s="2608"/>
      <c r="D12" s="2608"/>
      <c r="E12" s="2609"/>
      <c r="F12" s="2066" t="s">
        <v>2078</v>
      </c>
      <c r="G12" s="2057" t="s">
        <v>2079</v>
      </c>
      <c r="H12" s="2058" t="s">
        <v>1245</v>
      </c>
      <c r="I12" s="2058" t="s">
        <v>1244</v>
      </c>
      <c r="J12" s="2058" t="s">
        <v>1243</v>
      </c>
      <c r="K12" s="2058" t="s">
        <v>1242</v>
      </c>
      <c r="L12" s="2058" t="s">
        <v>1241</v>
      </c>
      <c r="M12" s="2058" t="s">
        <v>1240</v>
      </c>
      <c r="N12" s="2058" t="s">
        <v>1256</v>
      </c>
      <c r="O12" s="2058" t="s">
        <v>1239</v>
      </c>
      <c r="P12" s="2058" t="s">
        <v>1238</v>
      </c>
      <c r="Q12" s="2058" t="s">
        <v>1237</v>
      </c>
    </row>
    <row r="13" spans="1:17" ht="25.5" customHeight="1" x14ac:dyDescent="0.2">
      <c r="A13" s="2038"/>
      <c r="B13" s="2039" t="s">
        <v>2081</v>
      </c>
      <c r="C13" s="2039"/>
      <c r="D13" s="2039"/>
      <c r="E13" s="2040"/>
      <c r="F13" s="2041"/>
      <c r="G13" s="2042"/>
      <c r="H13" s="2043"/>
      <c r="I13" s="2043"/>
      <c r="J13" s="2045"/>
      <c r="K13" s="2045"/>
      <c r="L13" s="2045"/>
      <c r="M13" s="2045"/>
      <c r="N13" s="2045"/>
      <c r="O13" s="2045"/>
      <c r="P13" s="2045"/>
      <c r="Q13" s="2045"/>
    </row>
    <row r="14" spans="1:17" ht="25.5" customHeight="1" x14ac:dyDescent="0.2">
      <c r="A14" s="2038" t="s">
        <v>2080</v>
      </c>
      <c r="C14" s="2039"/>
      <c r="D14" s="2039"/>
      <c r="E14" s="2040"/>
      <c r="F14" s="2041"/>
      <c r="G14" s="2042"/>
      <c r="H14" s="2043"/>
      <c r="I14" s="2043"/>
      <c r="J14" s="2045"/>
      <c r="K14" s="2045"/>
      <c r="L14" s="2045"/>
      <c r="M14" s="2045"/>
      <c r="N14" s="2045"/>
      <c r="O14" s="2045"/>
      <c r="P14" s="2045"/>
      <c r="Q14" s="2045"/>
    </row>
    <row r="15" spans="1:17" ht="25.5" customHeight="1" x14ac:dyDescent="0.2">
      <c r="A15" s="2038"/>
      <c r="B15" s="2039"/>
      <c r="C15" s="2039" t="s">
        <v>1050</v>
      </c>
      <c r="D15" s="2039"/>
      <c r="E15" s="2040"/>
      <c r="F15" s="2041" t="str">
        <f>IF('[1]Federal Summary'!U9="x","(M)","")</f>
        <v/>
      </c>
      <c r="G15" s="2042" t="s">
        <v>2082</v>
      </c>
      <c r="H15" s="2044" t="s">
        <v>2083</v>
      </c>
      <c r="I15" s="2043" t="s">
        <v>2084</v>
      </c>
      <c r="J15" s="2045">
        <f>'[1]Federal Summary'!G9</f>
        <v>178186</v>
      </c>
      <c r="K15" s="2045">
        <f>+'[1]Federal Summary'!G10+'[1]Federal Summary'!G11</f>
        <v>18854</v>
      </c>
      <c r="L15" s="2045">
        <f>'[1]Federal Summary'!N9</f>
        <v>178186</v>
      </c>
      <c r="M15" s="2045">
        <f>+'[1]Federal Summary'!N10</f>
        <v>18854</v>
      </c>
      <c r="N15" s="2045"/>
      <c r="O15" s="2045"/>
      <c r="P15" s="2045">
        <f>+L15+M15+O15</f>
        <v>197040</v>
      </c>
      <c r="Q15" s="2059" t="s">
        <v>2061</v>
      </c>
    </row>
    <row r="16" spans="1:17" ht="25.5" customHeight="1" x14ac:dyDescent="0.2">
      <c r="A16" s="2038"/>
      <c r="B16" s="2039"/>
      <c r="C16" s="2039" t="s">
        <v>1050</v>
      </c>
      <c r="D16" s="2039"/>
      <c r="E16" s="2040"/>
      <c r="F16" s="2041" t="str">
        <f>F15</f>
        <v/>
      </c>
      <c r="G16" s="2042" t="s">
        <v>2082</v>
      </c>
      <c r="H16" s="2044" t="s">
        <v>2083</v>
      </c>
      <c r="I16" s="2043" t="s">
        <v>2085</v>
      </c>
      <c r="J16" s="2045"/>
      <c r="K16" s="2045">
        <f>+'[1]Federal Summary'!I10+'[1]Federal Summary'!I11</f>
        <v>137157</v>
      </c>
      <c r="L16" s="2045"/>
      <c r="M16" s="2045">
        <f>+'[1]Federal Summary'!P10</f>
        <v>137157</v>
      </c>
      <c r="N16" s="2045"/>
      <c r="O16" s="2045"/>
      <c r="P16" s="2045">
        <f t="shared" ref="P16:P24" si="0">+L16+M16+O16</f>
        <v>137157</v>
      </c>
      <c r="Q16" s="2059" t="s">
        <v>2061</v>
      </c>
    </row>
    <row r="17" spans="1:17" ht="25.5" customHeight="1" x14ac:dyDescent="0.2">
      <c r="A17" s="2038"/>
      <c r="B17" s="2039"/>
      <c r="C17" s="2039" t="s">
        <v>1051</v>
      </c>
      <c r="D17" s="2039"/>
      <c r="E17" s="2040"/>
      <c r="F17" s="2041" t="str">
        <f>IF('[1]Federal Summary'!U13="x","(M)","")</f>
        <v/>
      </c>
      <c r="G17" s="2042" t="s">
        <v>2082</v>
      </c>
      <c r="H17" s="2044" t="s">
        <v>2086</v>
      </c>
      <c r="I17" s="2043" t="s">
        <v>2087</v>
      </c>
      <c r="J17" s="2045">
        <f>'[1]Federal Summary'!G13</f>
        <v>31193</v>
      </c>
      <c r="K17" s="2045">
        <f>+'[1]Federal Summary'!G14+'[1]Federal Summary'!G15</f>
        <v>2388</v>
      </c>
      <c r="L17" s="2045">
        <f>'[1]Federal Summary'!N13</f>
        <v>31193</v>
      </c>
      <c r="M17" s="2045">
        <f>+'[1]Federal Summary'!N14</f>
        <v>2388</v>
      </c>
      <c r="N17" s="2045"/>
      <c r="O17" s="2045"/>
      <c r="P17" s="2045">
        <f t="shared" si="0"/>
        <v>33581</v>
      </c>
      <c r="Q17" s="2059" t="s">
        <v>2061</v>
      </c>
    </row>
    <row r="18" spans="1:17" ht="25.5" customHeight="1" x14ac:dyDescent="0.2">
      <c r="A18" s="2038"/>
      <c r="B18" s="2039"/>
      <c r="C18" s="2039" t="s">
        <v>1051</v>
      </c>
      <c r="D18" s="2039"/>
      <c r="E18" s="2040"/>
      <c r="F18" s="2041" t="str">
        <f>F17</f>
        <v/>
      </c>
      <c r="G18" s="2042" t="s">
        <v>2082</v>
      </c>
      <c r="H18" s="2044" t="s">
        <v>2086</v>
      </c>
      <c r="I18" s="2043" t="s">
        <v>2088</v>
      </c>
      <c r="J18" s="2045"/>
      <c r="K18" s="2045">
        <f>+'[1]Federal Summary'!I14+'[1]Federal Summary'!I15</f>
        <v>20916</v>
      </c>
      <c r="L18" s="2045"/>
      <c r="M18" s="2045">
        <f>+'[1]Federal Summary'!P14</f>
        <v>20916</v>
      </c>
      <c r="N18" s="2045"/>
      <c r="O18" s="2045"/>
      <c r="P18" s="2045">
        <f t="shared" si="0"/>
        <v>20916</v>
      </c>
      <c r="Q18" s="2059" t="s">
        <v>2061</v>
      </c>
    </row>
    <row r="19" spans="1:17" ht="25.5" customHeight="1" x14ac:dyDescent="0.2">
      <c r="A19" s="2038"/>
      <c r="B19" s="2039"/>
      <c r="C19" s="2039" t="s">
        <v>1039</v>
      </c>
      <c r="D19" s="2039"/>
      <c r="E19" s="2040"/>
      <c r="F19" s="2041" t="str">
        <f>IF('[1]Federal Summary'!U17="x","(M)","")</f>
        <v/>
      </c>
      <c r="G19" s="2042" t="s">
        <v>2082</v>
      </c>
      <c r="H19" s="2044" t="s">
        <v>2089</v>
      </c>
      <c r="I19" s="2043" t="s">
        <v>2090</v>
      </c>
      <c r="J19" s="2045"/>
      <c r="K19" s="2045">
        <f>+'[1]Federal Summary'!G18+'[1]Federal Summary'!G19</f>
        <v>0</v>
      </c>
      <c r="L19" s="2045"/>
      <c r="M19" s="2045">
        <f>+'[1]Federal Summary'!N18</f>
        <v>0</v>
      </c>
      <c r="N19" s="2045"/>
      <c r="O19" s="2045"/>
      <c r="P19" s="2045">
        <f t="shared" si="0"/>
        <v>0</v>
      </c>
      <c r="Q19" s="2059" t="s">
        <v>2061</v>
      </c>
    </row>
    <row r="20" spans="1:17" ht="25.5" customHeight="1" x14ac:dyDescent="0.2">
      <c r="A20" s="2038"/>
      <c r="B20" s="2039"/>
      <c r="C20" s="2039" t="s">
        <v>1039</v>
      </c>
      <c r="D20" s="2039"/>
      <c r="E20" s="2040"/>
      <c r="F20" s="2041" t="str">
        <f>F19</f>
        <v/>
      </c>
      <c r="G20" s="2042" t="s">
        <v>2082</v>
      </c>
      <c r="H20" s="2044" t="s">
        <v>2089</v>
      </c>
      <c r="I20" s="2043" t="s">
        <v>2091</v>
      </c>
      <c r="J20" s="2045"/>
      <c r="K20" s="2045">
        <f>+'[1]Federal Summary'!I18+'[1]Federal Summary'!I19</f>
        <v>0</v>
      </c>
      <c r="L20" s="2045"/>
      <c r="M20" s="2045">
        <f>+'[1]Federal Summary'!P18</f>
        <v>0</v>
      </c>
      <c r="N20" s="2045"/>
      <c r="O20" s="2045"/>
      <c r="P20" s="2045">
        <f t="shared" si="0"/>
        <v>0</v>
      </c>
      <c r="Q20" s="2059" t="s">
        <v>2061</v>
      </c>
    </row>
    <row r="21" spans="1:17" ht="25.5" customHeight="1" x14ac:dyDescent="0.2">
      <c r="A21" s="2038"/>
      <c r="B21" s="2039"/>
      <c r="C21" s="2039" t="s">
        <v>2188</v>
      </c>
      <c r="D21" s="2039"/>
      <c r="E21" s="2040"/>
      <c r="F21" s="2041" t="str">
        <f>IF('[1]Federal Summary'!U21="x","(M)","")</f>
        <v/>
      </c>
      <c r="G21" s="2042" t="s">
        <v>2082</v>
      </c>
      <c r="H21" s="2044" t="s">
        <v>2189</v>
      </c>
      <c r="I21" s="2043" t="s">
        <v>2190</v>
      </c>
      <c r="J21" s="2045"/>
      <c r="K21" s="2045">
        <f>+'[1]Federal Summary'!G22+'[1]Federal Summary'!G23</f>
        <v>0</v>
      </c>
      <c r="L21" s="2045"/>
      <c r="M21" s="2045">
        <f>+'[1]Federal Summary'!N22</f>
        <v>0</v>
      </c>
      <c r="N21" s="2045"/>
      <c r="O21" s="2045"/>
      <c r="P21" s="2045">
        <f t="shared" si="0"/>
        <v>0</v>
      </c>
      <c r="Q21" s="2059" t="s">
        <v>2061</v>
      </c>
    </row>
    <row r="22" spans="1:17" ht="25.5" customHeight="1" x14ac:dyDescent="0.2">
      <c r="A22" s="2038"/>
      <c r="B22" s="2039"/>
      <c r="C22" s="2039" t="s">
        <v>2188</v>
      </c>
      <c r="D22" s="2039"/>
      <c r="E22" s="2040"/>
      <c r="F22" s="2041" t="str">
        <f>F21</f>
        <v/>
      </c>
      <c r="G22" s="2042" t="s">
        <v>2082</v>
      </c>
      <c r="H22" s="2044" t="s">
        <v>2189</v>
      </c>
      <c r="I22" s="2043" t="s">
        <v>2191</v>
      </c>
      <c r="J22" s="2045"/>
      <c r="K22" s="2045">
        <f>+'[1]Federal Summary'!I22+'[1]Federal Summary'!I23</f>
        <v>45819</v>
      </c>
      <c r="L22" s="2045"/>
      <c r="M22" s="2045">
        <f>+'[1]Federal Summary'!P22</f>
        <v>45819</v>
      </c>
      <c r="N22" s="2045"/>
      <c r="O22" s="2045"/>
      <c r="P22" s="2045">
        <f t="shared" si="0"/>
        <v>45819</v>
      </c>
      <c r="Q22" s="2059" t="s">
        <v>2061</v>
      </c>
    </row>
    <row r="23" spans="1:17" ht="25.5" customHeight="1" x14ac:dyDescent="0.2">
      <c r="A23" s="2038"/>
      <c r="B23" s="2039"/>
      <c r="C23" s="2039" t="s">
        <v>2092</v>
      </c>
      <c r="D23" s="2039"/>
      <c r="E23" s="2040"/>
      <c r="F23" s="2041" t="str">
        <f>IF('[1]Federal Summary'!U25="x","(M)","")</f>
        <v/>
      </c>
      <c r="G23" s="2042" t="s">
        <v>2082</v>
      </c>
      <c r="H23" s="2044" t="s">
        <v>2083</v>
      </c>
      <c r="I23" s="2043" t="s">
        <v>2093</v>
      </c>
      <c r="J23" s="2045">
        <f>'[1]Federal Summary'!G25</f>
        <v>23430</v>
      </c>
      <c r="K23" s="2045">
        <f>+'[1]Federal Summary'!G26+'[1]Federal Summary'!G27</f>
        <v>0</v>
      </c>
      <c r="L23" s="2045">
        <f>'[1]Federal Summary'!N25</f>
        <v>23430</v>
      </c>
      <c r="M23" s="2045">
        <f>+'[1]Federal Summary'!N26</f>
        <v>0</v>
      </c>
      <c r="N23" s="2045"/>
      <c r="O23" s="2045"/>
      <c r="P23" s="2045">
        <f t="shared" si="0"/>
        <v>23430</v>
      </c>
      <c r="Q23" s="2059" t="s">
        <v>2061</v>
      </c>
    </row>
    <row r="24" spans="1:17" ht="25.5" customHeight="1" x14ac:dyDescent="0.2">
      <c r="A24" s="2038"/>
      <c r="B24" s="2039"/>
      <c r="C24" s="2039" t="s">
        <v>2092</v>
      </c>
      <c r="D24" s="2039"/>
      <c r="E24" s="2040"/>
      <c r="F24" s="2041" t="str">
        <f>F23</f>
        <v/>
      </c>
      <c r="G24" s="2042" t="s">
        <v>2082</v>
      </c>
      <c r="H24" s="2044" t="s">
        <v>2083</v>
      </c>
      <c r="I24" s="2043" t="s">
        <v>2094</v>
      </c>
      <c r="J24" s="2045"/>
      <c r="K24" s="2045">
        <f>+'[1]Federal Summary'!I26+'[1]Federal Summary'!I27</f>
        <v>25034</v>
      </c>
      <c r="L24" s="2045"/>
      <c r="M24" s="2045">
        <f>+'[1]Federal Summary'!P26</f>
        <v>25034</v>
      </c>
      <c r="N24" s="2045"/>
      <c r="O24" s="2045"/>
      <c r="P24" s="2045">
        <f t="shared" si="0"/>
        <v>25034</v>
      </c>
      <c r="Q24" s="2059" t="s">
        <v>2061</v>
      </c>
    </row>
    <row r="25" spans="1:17" ht="25.5" customHeight="1" x14ac:dyDescent="0.2">
      <c r="A25" s="2038" t="s">
        <v>2100</v>
      </c>
      <c r="B25" s="2039"/>
      <c r="C25" s="2039"/>
      <c r="D25" s="2039"/>
      <c r="E25" s="2040"/>
      <c r="F25" s="2041"/>
      <c r="G25" s="2042"/>
      <c r="H25" s="2044"/>
      <c r="I25" s="2043"/>
      <c r="J25" s="2045">
        <f t="shared" ref="J25:P25" si="1">SUM(J15:J24)</f>
        <v>232809</v>
      </c>
      <c r="K25" s="2045">
        <f t="shared" si="1"/>
        <v>250168</v>
      </c>
      <c r="L25" s="2045">
        <f t="shared" si="1"/>
        <v>232809</v>
      </c>
      <c r="M25" s="2045">
        <f t="shared" si="1"/>
        <v>250168</v>
      </c>
      <c r="N25" s="2045">
        <f t="shared" si="1"/>
        <v>0</v>
      </c>
      <c r="O25" s="2045">
        <f t="shared" si="1"/>
        <v>0</v>
      </c>
      <c r="P25" s="2045">
        <f t="shared" si="1"/>
        <v>482977</v>
      </c>
      <c r="Q25" s="2059"/>
    </row>
    <row r="26" spans="1:17" ht="25.5" customHeight="1" x14ac:dyDescent="0.2">
      <c r="A26" s="2038"/>
      <c r="B26" s="2039"/>
      <c r="C26" s="2039" t="s">
        <v>2095</v>
      </c>
      <c r="D26" s="2039"/>
      <c r="E26" s="2040"/>
      <c r="F26" s="2041" t="str">
        <f>IF('[1]Federal Summary'!U29="x","(M)","")</f>
        <v/>
      </c>
      <c r="G26" s="2042" t="s">
        <v>2082</v>
      </c>
      <c r="H26" s="2044" t="s">
        <v>2096</v>
      </c>
      <c r="I26" s="2043" t="s">
        <v>2097</v>
      </c>
      <c r="J26" s="2045">
        <f>'[1]Federal Summary'!G29</f>
        <v>13087</v>
      </c>
      <c r="K26" s="2045">
        <f>+'[1]Federal Summary'!G30+'[1]Federal Summary'!G31</f>
        <v>0</v>
      </c>
      <c r="L26" s="2045">
        <f>'[1]Federal Summary'!N29</f>
        <v>13087</v>
      </c>
      <c r="M26" s="2045">
        <f>+'[1]Federal Summary'!N30</f>
        <v>0</v>
      </c>
      <c r="N26" s="2045"/>
      <c r="O26" s="2045"/>
      <c r="P26" s="2045">
        <f t="shared" ref="P26:P27" si="2">+L26+M26+O26</f>
        <v>13087</v>
      </c>
      <c r="Q26" s="2059" t="s">
        <v>2061</v>
      </c>
    </row>
    <row r="27" spans="1:17" ht="26.25" thickBot="1" x14ac:dyDescent="0.25">
      <c r="A27" s="2038"/>
      <c r="B27" s="2039"/>
      <c r="C27" s="2039" t="s">
        <v>2095</v>
      </c>
      <c r="D27" s="2039"/>
      <c r="E27" s="2040"/>
      <c r="F27" s="2041" t="str">
        <f>F26</f>
        <v/>
      </c>
      <c r="G27" s="2042" t="s">
        <v>2082</v>
      </c>
      <c r="H27" s="2044" t="s">
        <v>2096</v>
      </c>
      <c r="I27" s="2043" t="s">
        <v>2098</v>
      </c>
      <c r="J27" s="2045"/>
      <c r="K27" s="2045">
        <f>+'[1]Federal Summary'!I30+'[1]Federal Summary'!I31</f>
        <v>11991</v>
      </c>
      <c r="L27" s="2045"/>
      <c r="M27" s="2045">
        <f>+'[1]Federal Summary'!P30</f>
        <v>11991</v>
      </c>
      <c r="N27" s="2045"/>
      <c r="O27" s="2045"/>
      <c r="P27" s="2045">
        <f t="shared" si="2"/>
        <v>11991</v>
      </c>
      <c r="Q27" s="2059" t="s">
        <v>2061</v>
      </c>
    </row>
    <row r="28" spans="1:17" ht="25.5" customHeight="1" thickBot="1" x14ac:dyDescent="0.25">
      <c r="A28" s="2038"/>
      <c r="B28" s="2039" t="s">
        <v>2099</v>
      </c>
      <c r="C28" s="2039"/>
      <c r="D28" s="2039"/>
      <c r="E28" s="2040"/>
      <c r="F28" s="2041"/>
      <c r="G28" s="2042"/>
      <c r="H28" s="2043"/>
      <c r="I28" s="2043"/>
      <c r="J28" s="2069">
        <f t="shared" ref="J28:P28" si="3">SUM(J25:J27)</f>
        <v>245896</v>
      </c>
      <c r="K28" s="2069">
        <f t="shared" si="3"/>
        <v>262159</v>
      </c>
      <c r="L28" s="2069">
        <f t="shared" si="3"/>
        <v>245896</v>
      </c>
      <c r="M28" s="2069">
        <f t="shared" si="3"/>
        <v>262159</v>
      </c>
      <c r="N28" s="2069">
        <f t="shared" si="3"/>
        <v>0</v>
      </c>
      <c r="O28" s="2069">
        <f t="shared" si="3"/>
        <v>0</v>
      </c>
      <c r="P28" s="2069">
        <f t="shared" si="3"/>
        <v>508055</v>
      </c>
      <c r="Q28" s="2045"/>
    </row>
    <row r="29" spans="1:17" ht="25.5" customHeight="1" x14ac:dyDescent="0.2">
      <c r="A29" s="2070"/>
      <c r="B29" s="2039" t="s">
        <v>2192</v>
      </c>
      <c r="C29" s="2039"/>
      <c r="D29" s="2039"/>
      <c r="E29" s="2040"/>
      <c r="F29" s="2041"/>
      <c r="G29" s="2042"/>
      <c r="H29" s="2043"/>
      <c r="I29" s="2043"/>
      <c r="J29" s="2045"/>
      <c r="K29" s="2045"/>
      <c r="L29" s="2045"/>
      <c r="M29" s="2045"/>
      <c r="N29" s="2045"/>
      <c r="O29" s="2045"/>
      <c r="P29" s="2045"/>
      <c r="Q29" s="2045"/>
    </row>
    <row r="30" spans="1:17" ht="25.5" customHeight="1" x14ac:dyDescent="0.2">
      <c r="A30" s="2038" t="s">
        <v>2101</v>
      </c>
      <c r="B30" s="2039"/>
      <c r="C30" s="2039"/>
      <c r="D30" s="2039"/>
      <c r="E30" s="2040"/>
      <c r="F30" s="2041"/>
      <c r="G30" s="2042"/>
      <c r="H30" s="2044"/>
      <c r="I30" s="2043"/>
      <c r="J30" s="2061"/>
      <c r="K30" s="2061"/>
      <c r="L30" s="2061"/>
      <c r="M30" s="2061"/>
      <c r="N30" s="2061"/>
      <c r="O30" s="2061"/>
      <c r="P30" s="2061"/>
      <c r="Q30" s="2061"/>
    </row>
    <row r="31" spans="1:17" ht="25.5" customHeight="1" x14ac:dyDescent="0.2">
      <c r="A31" s="2046"/>
      <c r="B31" s="2039"/>
      <c r="C31" s="2039" t="s">
        <v>2102</v>
      </c>
      <c r="D31" s="2039"/>
      <c r="E31" s="2040"/>
      <c r="F31" s="2041" t="str">
        <f>IF('[1]Federal Summary'!U36="x","(M)","")</f>
        <v>(M)</v>
      </c>
      <c r="G31" s="2042" t="s">
        <v>2193</v>
      </c>
      <c r="H31" s="2044" t="s">
        <v>2103</v>
      </c>
      <c r="I31" s="2043" t="s">
        <v>2104</v>
      </c>
      <c r="J31" s="2061">
        <f>'[1]Federal Summary'!G36</f>
        <v>211797</v>
      </c>
      <c r="K31" s="2061">
        <f>+'[1]Federal Summary'!G37+'[1]Federal Summary'!G38</f>
        <v>140360</v>
      </c>
      <c r="L31" s="2061">
        <f>'[1]Federal Summary'!N36</f>
        <v>211797</v>
      </c>
      <c r="M31" s="2061">
        <f>+'[1]Federal Summary'!N37</f>
        <v>140360</v>
      </c>
      <c r="N31" s="2061"/>
      <c r="O31" s="2061"/>
      <c r="P31" s="2045">
        <f t="shared" ref="P31:P38" si="4">+L31+M31+O31</f>
        <v>352157</v>
      </c>
      <c r="Q31" s="2061">
        <v>479878</v>
      </c>
    </row>
    <row r="32" spans="1:17" ht="25.5" customHeight="1" x14ac:dyDescent="0.2">
      <c r="A32" s="2046"/>
      <c r="B32" s="2039"/>
      <c r="C32" s="2039" t="s">
        <v>2102</v>
      </c>
      <c r="D32" s="2039"/>
      <c r="E32" s="2040"/>
      <c r="F32" s="2041" t="str">
        <f>F31</f>
        <v>(M)</v>
      </c>
      <c r="G32" s="2042" t="s">
        <v>2082</v>
      </c>
      <c r="H32" s="2044" t="s">
        <v>2103</v>
      </c>
      <c r="I32" s="2043" t="s">
        <v>2105</v>
      </c>
      <c r="J32" s="2061"/>
      <c r="K32" s="2061">
        <f>+'[1]Federal Summary'!I37+'[1]Federal Summary'!I38</f>
        <v>345885</v>
      </c>
      <c r="L32" s="2061"/>
      <c r="M32" s="2061">
        <f>+'[1]Federal Summary'!P37</f>
        <v>345885</v>
      </c>
      <c r="N32" s="2061"/>
      <c r="O32" s="2061"/>
      <c r="P32" s="2045">
        <f t="shared" si="4"/>
        <v>345885</v>
      </c>
      <c r="Q32" s="2061">
        <v>393390</v>
      </c>
    </row>
    <row r="33" spans="1:17" ht="25.5" customHeight="1" x14ac:dyDescent="0.2">
      <c r="A33" s="2046"/>
      <c r="B33" s="2039"/>
      <c r="C33" s="2039" t="s">
        <v>2102</v>
      </c>
      <c r="D33" s="2039"/>
      <c r="E33" s="2040"/>
      <c r="F33" s="2041" t="str">
        <f>IF('[1]Federal Summary'!U40="x","(M)","")</f>
        <v>(M)</v>
      </c>
      <c r="G33" s="2042" t="s">
        <v>2082</v>
      </c>
      <c r="H33" s="2044" t="s">
        <v>2103</v>
      </c>
      <c r="I33" s="2043" t="s">
        <v>2106</v>
      </c>
      <c r="J33" s="2061">
        <f>'[1]Federal Summary'!G40</f>
        <v>0</v>
      </c>
      <c r="K33" s="2061">
        <f>'[1]Federal Summary'!G41+'[1]Federal Summary'!G42</f>
        <v>0</v>
      </c>
      <c r="L33" s="2061">
        <f>'[1]Federal Summary'!N40</f>
        <v>0</v>
      </c>
      <c r="M33" s="2061">
        <f>'[1]Federal Summary'!N41</f>
        <v>0</v>
      </c>
      <c r="N33" s="2061"/>
      <c r="O33" s="2061"/>
      <c r="P33" s="2045">
        <f t="shared" si="4"/>
        <v>0</v>
      </c>
      <c r="Q33" s="2059" t="s">
        <v>2061</v>
      </c>
    </row>
    <row r="34" spans="1:17" ht="25.5" customHeight="1" x14ac:dyDescent="0.2">
      <c r="A34" s="2046"/>
      <c r="B34" s="2039"/>
      <c r="C34" s="2039" t="s">
        <v>2102</v>
      </c>
      <c r="D34" s="2039"/>
      <c r="E34" s="2040"/>
      <c r="F34" s="2041" t="str">
        <f>F33</f>
        <v>(M)</v>
      </c>
      <c r="G34" s="2042" t="s">
        <v>2082</v>
      </c>
      <c r="H34" s="2044" t="s">
        <v>2103</v>
      </c>
      <c r="I34" s="2043" t="s">
        <v>2107</v>
      </c>
      <c r="J34" s="2061"/>
      <c r="K34" s="2061">
        <f>'[1]Federal Summary'!I41+'[1]Federal Summary'!I42</f>
        <v>29829</v>
      </c>
      <c r="L34" s="2061"/>
      <c r="M34" s="2061">
        <f>'[1]Federal Summary'!P41</f>
        <v>29829</v>
      </c>
      <c r="N34" s="2061"/>
      <c r="O34" s="2061"/>
      <c r="P34" s="2045">
        <f t="shared" si="4"/>
        <v>29829</v>
      </c>
      <c r="Q34" s="2045">
        <v>46883</v>
      </c>
    </row>
    <row r="35" spans="1:17" ht="25.5" customHeight="1" x14ac:dyDescent="0.2">
      <c r="A35" s="2046"/>
      <c r="B35" s="2039"/>
      <c r="C35" s="2039" t="s">
        <v>2108</v>
      </c>
      <c r="D35" s="2039"/>
      <c r="E35" s="2040"/>
      <c r="F35" s="2041" t="str">
        <f>IF('[1]Federal Summary'!U44="x","(M)","")</f>
        <v>(M)</v>
      </c>
      <c r="G35" s="2042" t="s">
        <v>2082</v>
      </c>
      <c r="H35" s="2044" t="s">
        <v>2103</v>
      </c>
      <c r="I35" s="2043" t="s">
        <v>2109</v>
      </c>
      <c r="J35" s="2061">
        <f>'[1]Federal Summary'!G44</f>
        <v>0</v>
      </c>
      <c r="K35" s="2061">
        <f>+'[1]Federal Summary'!G45+'[1]Federal Summary'!G46</f>
        <v>12391</v>
      </c>
      <c r="L35" s="2061">
        <f>'[1]Federal Summary'!N44</f>
        <v>0</v>
      </c>
      <c r="M35" s="2061">
        <f>+'[1]Federal Summary'!N45</f>
        <v>12391</v>
      </c>
      <c r="N35" s="2061"/>
      <c r="O35" s="2061"/>
      <c r="P35" s="2045">
        <f t="shared" si="4"/>
        <v>12391</v>
      </c>
      <c r="Q35" s="2059" t="s">
        <v>2061</v>
      </c>
    </row>
    <row r="36" spans="1:17" ht="25.5" customHeight="1" x14ac:dyDescent="0.2">
      <c r="A36" s="2046"/>
      <c r="B36" s="2039"/>
      <c r="C36" s="2039" t="s">
        <v>2108</v>
      </c>
      <c r="D36" s="2039"/>
      <c r="E36" s="2040"/>
      <c r="F36" s="2041" t="str">
        <f>F35</f>
        <v>(M)</v>
      </c>
      <c r="G36" s="2042" t="s">
        <v>2082</v>
      </c>
      <c r="H36" s="2044" t="s">
        <v>2103</v>
      </c>
      <c r="I36" s="2043" t="s">
        <v>2110</v>
      </c>
      <c r="J36" s="2061"/>
      <c r="K36" s="2061">
        <f>+'[1]Federal Summary'!I45+'[1]Federal Summary'!I46</f>
        <v>0</v>
      </c>
      <c r="L36" s="2061"/>
      <c r="M36" s="2061">
        <f>+'[1]Federal Summary'!P45</f>
        <v>0</v>
      </c>
      <c r="N36" s="2061"/>
      <c r="O36" s="2061"/>
      <c r="P36" s="2045">
        <f t="shared" si="4"/>
        <v>0</v>
      </c>
      <c r="Q36" s="2059" t="s">
        <v>2061</v>
      </c>
    </row>
    <row r="37" spans="1:17" ht="25.5" customHeight="1" x14ac:dyDescent="0.2">
      <c r="A37" s="2046"/>
      <c r="B37" s="2039"/>
      <c r="C37" s="2039" t="s">
        <v>2111</v>
      </c>
      <c r="D37" s="2039"/>
      <c r="E37" s="2040"/>
      <c r="F37" s="2041" t="str">
        <f>IF('[1]Federal Summary'!U48="x","(M)","")</f>
        <v>(M)</v>
      </c>
      <c r="G37" s="2042" t="s">
        <v>2193</v>
      </c>
      <c r="H37" s="2044" t="s">
        <v>2112</v>
      </c>
      <c r="I37" s="2043" t="s">
        <v>2113</v>
      </c>
      <c r="J37" s="2061">
        <f>'[1]Federal Summary'!G48</f>
        <v>5270</v>
      </c>
      <c r="K37" s="2061">
        <f>+'[1]Federal Summary'!G49+'[1]Federal Summary'!G50</f>
        <v>3453</v>
      </c>
      <c r="L37" s="2061">
        <f>'[1]Federal Summary'!N48</f>
        <v>5270</v>
      </c>
      <c r="M37" s="2061">
        <f>+'[1]Federal Summary'!N49</f>
        <v>3453</v>
      </c>
      <c r="N37" s="2061"/>
      <c r="O37" s="2061"/>
      <c r="P37" s="2045">
        <f t="shared" si="4"/>
        <v>8723</v>
      </c>
      <c r="Q37" s="2061">
        <v>9397</v>
      </c>
    </row>
    <row r="38" spans="1:17" ht="25.5" customHeight="1" thickBot="1" x14ac:dyDescent="0.25">
      <c r="A38" s="2046"/>
      <c r="B38" s="2039"/>
      <c r="C38" s="2039" t="s">
        <v>2111</v>
      </c>
      <c r="D38" s="2039"/>
      <c r="E38" s="2040"/>
      <c r="F38" s="2041" t="str">
        <f>F37</f>
        <v>(M)</v>
      </c>
      <c r="G38" s="2042" t="s">
        <v>2082</v>
      </c>
      <c r="H38" s="2044" t="s">
        <v>2112</v>
      </c>
      <c r="I38" s="2043" t="s">
        <v>2114</v>
      </c>
      <c r="J38" s="2061"/>
      <c r="K38" s="2061">
        <f>+'[1]Federal Summary'!I49+'[1]Federal Summary'!I50</f>
        <v>10533</v>
      </c>
      <c r="L38" s="2061"/>
      <c r="M38" s="2061">
        <f>+'[1]Federal Summary'!P49</f>
        <v>10533</v>
      </c>
      <c r="N38" s="2061"/>
      <c r="O38" s="2061"/>
      <c r="P38" s="2045">
        <f t="shared" si="4"/>
        <v>10533</v>
      </c>
      <c r="Q38" s="2061">
        <v>14802</v>
      </c>
    </row>
    <row r="39" spans="1:17" ht="25.5" customHeight="1" x14ac:dyDescent="0.2">
      <c r="A39" s="2038" t="s">
        <v>2115</v>
      </c>
      <c r="B39" s="2039"/>
      <c r="C39" s="2039"/>
      <c r="D39" s="2039"/>
      <c r="E39" s="2040"/>
      <c r="F39" s="2041"/>
      <c r="G39" s="2042"/>
      <c r="H39" s="2043"/>
      <c r="I39" s="2043"/>
      <c r="J39" s="2060">
        <f t="shared" ref="J39:P39" si="5">SUM(J31:J38)</f>
        <v>217067</v>
      </c>
      <c r="K39" s="2060">
        <f t="shared" si="5"/>
        <v>542451</v>
      </c>
      <c r="L39" s="2060">
        <f t="shared" si="5"/>
        <v>217067</v>
      </c>
      <c r="M39" s="2060">
        <f t="shared" si="5"/>
        <v>542451</v>
      </c>
      <c r="N39" s="2060">
        <f t="shared" si="5"/>
        <v>0</v>
      </c>
      <c r="O39" s="2060">
        <f t="shared" si="5"/>
        <v>0</v>
      </c>
      <c r="P39" s="2060">
        <f t="shared" si="5"/>
        <v>759518</v>
      </c>
      <c r="Q39" s="2045"/>
    </row>
    <row r="40" spans="1:17" ht="25.5" customHeight="1" x14ac:dyDescent="0.2">
      <c r="A40" s="2038"/>
      <c r="B40" s="2039"/>
      <c r="C40" s="2039"/>
      <c r="D40" s="2039"/>
      <c r="E40" s="2040"/>
      <c r="F40" s="2041"/>
      <c r="G40" s="2042"/>
      <c r="H40" s="2043"/>
      <c r="I40" s="2043"/>
      <c r="J40" s="2045"/>
      <c r="K40" s="2045"/>
      <c r="L40" s="2045"/>
      <c r="M40" s="2045"/>
      <c r="N40" s="2045"/>
      <c r="O40" s="2061"/>
      <c r="P40" s="2045"/>
      <c r="Q40" s="2061"/>
    </row>
    <row r="41" spans="1:17" ht="25.5" customHeight="1" x14ac:dyDescent="0.2">
      <c r="A41" s="2046"/>
      <c r="B41" s="2039"/>
      <c r="C41" s="2039" t="s">
        <v>911</v>
      </c>
      <c r="D41" s="2039"/>
      <c r="E41" s="2040"/>
      <c r="F41" s="2041" t="str">
        <f>IF('[1]Federal Summary'!U55="x","(M)","")</f>
        <v/>
      </c>
      <c r="G41" s="2042" t="s">
        <v>2082</v>
      </c>
      <c r="H41" s="2044" t="s">
        <v>2116</v>
      </c>
      <c r="I41" s="2043" t="s">
        <v>2117</v>
      </c>
      <c r="J41" s="2061">
        <f>'[1]Federal Summary'!G55</f>
        <v>164108</v>
      </c>
      <c r="K41" s="2061">
        <f>+'[1]Federal Summary'!G56+'[1]Federal Summary'!G57</f>
        <v>0</v>
      </c>
      <c r="L41" s="2061">
        <f>'[1]Federal Summary'!N55</f>
        <v>164108</v>
      </c>
      <c r="M41" s="2061">
        <f>+'[1]Federal Summary'!N56</f>
        <v>0</v>
      </c>
      <c r="N41" s="2061"/>
      <c r="O41" s="2061"/>
      <c r="P41" s="2045">
        <f t="shared" ref="P41:P62" si="6">+L41+M41+O41</f>
        <v>164108</v>
      </c>
      <c r="Q41" s="2061">
        <v>196582</v>
      </c>
    </row>
    <row r="42" spans="1:17" ht="25.5" customHeight="1" x14ac:dyDescent="0.2">
      <c r="A42" s="2046"/>
      <c r="B42" s="2039"/>
      <c r="C42" s="2039" t="s">
        <v>911</v>
      </c>
      <c r="D42" s="2039"/>
      <c r="E42" s="2040"/>
      <c r="F42" s="2041" t="str">
        <f>F41</f>
        <v/>
      </c>
      <c r="G42" s="2042" t="s">
        <v>2082</v>
      </c>
      <c r="H42" s="2044" t="s">
        <v>2116</v>
      </c>
      <c r="I42" s="2043" t="s">
        <v>2118</v>
      </c>
      <c r="J42" s="2061"/>
      <c r="K42" s="2061">
        <f>+'[1]Federal Summary'!I56+'[1]Federal Summary'!I57</f>
        <v>140019</v>
      </c>
      <c r="L42" s="2061"/>
      <c r="M42" s="2061">
        <f>+'[1]Federal Summary'!P56</f>
        <v>140019</v>
      </c>
      <c r="N42" s="2061"/>
      <c r="O42" s="2061"/>
      <c r="P42" s="2045">
        <f t="shared" si="6"/>
        <v>140019</v>
      </c>
      <c r="Q42" s="2061">
        <v>176520</v>
      </c>
    </row>
    <row r="43" spans="1:17" ht="25.5" customHeight="1" x14ac:dyDescent="0.2">
      <c r="A43" s="2046"/>
      <c r="B43" s="2039"/>
      <c r="C43" s="2039" t="s">
        <v>2119</v>
      </c>
      <c r="D43" s="2039"/>
      <c r="E43" s="2040"/>
      <c r="F43" s="2041" t="str">
        <f>IF('[1]Federal Summary'!U59="x","(M)","")</f>
        <v/>
      </c>
      <c r="G43" s="2042" t="s">
        <v>2082</v>
      </c>
      <c r="H43" s="2044" t="s">
        <v>2116</v>
      </c>
      <c r="I43" s="2043" t="s">
        <v>2120</v>
      </c>
      <c r="J43" s="2061"/>
      <c r="K43" s="2061">
        <f>+'[1]Federal Summary'!G60+'[1]Federal Summary'!G61</f>
        <v>0</v>
      </c>
      <c r="L43" s="2061"/>
      <c r="M43" s="2061">
        <f>+'[1]Federal Summary'!N60</f>
        <v>0</v>
      </c>
      <c r="N43" s="2061"/>
      <c r="O43" s="2061"/>
      <c r="P43" s="2045">
        <f t="shared" si="6"/>
        <v>0</v>
      </c>
      <c r="Q43" s="2061"/>
    </row>
    <row r="44" spans="1:17" ht="25.5" customHeight="1" x14ac:dyDescent="0.2">
      <c r="A44" s="2046"/>
      <c r="B44" s="2039"/>
      <c r="C44" s="2039" t="s">
        <v>2119</v>
      </c>
      <c r="D44" s="2039"/>
      <c r="E44" s="2040"/>
      <c r="F44" s="2041" t="str">
        <f>F43</f>
        <v/>
      </c>
      <c r="G44" s="2042" t="s">
        <v>2082</v>
      </c>
      <c r="H44" s="2044" t="s">
        <v>2116</v>
      </c>
      <c r="I44" s="2043" t="s">
        <v>2121</v>
      </c>
      <c r="J44" s="2061"/>
      <c r="K44" s="2061">
        <f>+'[1]Federal Summary'!I60+'[1]Federal Summary'!I61</f>
        <v>0</v>
      </c>
      <c r="L44" s="2061"/>
      <c r="M44" s="2061">
        <f>+'[1]Federal Summary'!P60</f>
        <v>0</v>
      </c>
      <c r="N44" s="2061"/>
      <c r="O44" s="2061"/>
      <c r="P44" s="2045">
        <f t="shared" si="6"/>
        <v>0</v>
      </c>
      <c r="Q44" s="2061"/>
    </row>
    <row r="45" spans="1:17" ht="25.5" customHeight="1" x14ac:dyDescent="0.2">
      <c r="A45" s="2046"/>
      <c r="B45" s="2039"/>
      <c r="C45" s="2039" t="s">
        <v>752</v>
      </c>
      <c r="D45" s="2039"/>
      <c r="E45" s="2040"/>
      <c r="F45" s="2041" t="str">
        <f>IF('[1]Federal Summary'!U63="x","(M)","")</f>
        <v/>
      </c>
      <c r="G45" s="2042" t="s">
        <v>2082</v>
      </c>
      <c r="H45" s="2044" t="s">
        <v>2122</v>
      </c>
      <c r="I45" s="2043" t="s">
        <v>2123</v>
      </c>
      <c r="J45" s="2061">
        <f>'[1]Federal Summary'!G63</f>
        <v>23492</v>
      </c>
      <c r="K45" s="2061">
        <f>+'[1]Federal Summary'!G64+'[1]Federal Summary'!G65</f>
        <v>0</v>
      </c>
      <c r="L45" s="2061">
        <f>'[1]Federal Summary'!N63</f>
        <v>23492</v>
      </c>
      <c r="M45" s="2061">
        <f>+'[1]Federal Summary'!N64</f>
        <v>0</v>
      </c>
      <c r="N45" s="2061"/>
      <c r="O45" s="2061"/>
      <c r="P45" s="2045">
        <f t="shared" si="6"/>
        <v>23492</v>
      </c>
      <c r="Q45" s="2061">
        <v>56866</v>
      </c>
    </row>
    <row r="46" spans="1:17" ht="25.5" customHeight="1" x14ac:dyDescent="0.2">
      <c r="A46" s="2046"/>
      <c r="B46" s="2039"/>
      <c r="C46" s="2039" t="s">
        <v>752</v>
      </c>
      <c r="D46" s="2039"/>
      <c r="E46" s="2040"/>
      <c r="F46" s="2041" t="str">
        <f>F45</f>
        <v/>
      </c>
      <c r="G46" s="2042" t="s">
        <v>2082</v>
      </c>
      <c r="H46" s="2044" t="s">
        <v>2122</v>
      </c>
      <c r="I46" s="2043" t="s">
        <v>2124</v>
      </c>
      <c r="J46" s="2061"/>
      <c r="K46" s="2061">
        <f>+'[1]Federal Summary'!I64+'[1]Federal Summary'!I65</f>
        <v>66232</v>
      </c>
      <c r="L46" s="2061"/>
      <c r="M46" s="2061">
        <f>+'[1]Federal Summary'!P64</f>
        <v>66232</v>
      </c>
      <c r="N46" s="2061"/>
      <c r="O46" s="2061"/>
      <c r="P46" s="2045">
        <f t="shared" si="6"/>
        <v>66232</v>
      </c>
      <c r="Q46" s="2061">
        <v>66232</v>
      </c>
    </row>
    <row r="47" spans="1:17" ht="25.5" customHeight="1" x14ac:dyDescent="0.2">
      <c r="A47" s="2046"/>
      <c r="B47" s="2039"/>
      <c r="C47" s="2039" t="s">
        <v>2125</v>
      </c>
      <c r="D47" s="2039"/>
      <c r="E47" s="2040"/>
      <c r="F47" s="2041" t="str">
        <f>IF('[1]Federal Summary'!U67="x","(M)","")</f>
        <v/>
      </c>
      <c r="G47" s="2042" t="s">
        <v>2082</v>
      </c>
      <c r="H47" s="2044" t="s">
        <v>2126</v>
      </c>
      <c r="I47" s="2043" t="s">
        <v>2127</v>
      </c>
      <c r="J47" s="2061">
        <f>'[1]Federal Summary'!G67</f>
        <v>20652</v>
      </c>
      <c r="K47" s="2061">
        <f>+'[1]Federal Summary'!G68+'[1]Federal Summary'!G69</f>
        <v>721</v>
      </c>
      <c r="L47" s="2061">
        <f>'[1]Federal Summary'!N67</f>
        <v>20652</v>
      </c>
      <c r="M47" s="2061">
        <f>+'[1]Federal Summary'!N68</f>
        <v>721</v>
      </c>
      <c r="N47" s="2061"/>
      <c r="O47" s="2061"/>
      <c r="P47" s="2045">
        <f t="shared" si="6"/>
        <v>21373</v>
      </c>
      <c r="Q47" s="2061">
        <v>53469</v>
      </c>
    </row>
    <row r="48" spans="1:17" ht="25.5" customHeight="1" x14ac:dyDescent="0.2">
      <c r="A48" s="2046"/>
      <c r="B48" s="2039"/>
      <c r="C48" s="2039" t="s">
        <v>2125</v>
      </c>
      <c r="D48" s="2039"/>
      <c r="E48" s="2040"/>
      <c r="F48" s="2041" t="str">
        <f>F47</f>
        <v/>
      </c>
      <c r="G48" s="2042" t="s">
        <v>2082</v>
      </c>
      <c r="H48" s="2044" t="s">
        <v>2126</v>
      </c>
      <c r="I48" s="2043" t="s">
        <v>2128</v>
      </c>
      <c r="J48" s="2061"/>
      <c r="K48" s="2061">
        <f>+'[1]Federal Summary'!I68+'[1]Federal Summary'!I69</f>
        <v>18505</v>
      </c>
      <c r="L48" s="2061"/>
      <c r="M48" s="2061">
        <f>+'[1]Federal Summary'!P68</f>
        <v>18505</v>
      </c>
      <c r="N48" s="2061"/>
      <c r="O48" s="2061"/>
      <c r="P48" s="2045">
        <f t="shared" si="6"/>
        <v>18505</v>
      </c>
      <c r="Q48" s="2061">
        <v>28900</v>
      </c>
    </row>
    <row r="49" spans="1:17" ht="25.5" customHeight="1" x14ac:dyDescent="0.2">
      <c r="A49" s="2046"/>
      <c r="B49" s="2039"/>
      <c r="C49" s="2039" t="s">
        <v>2129</v>
      </c>
      <c r="D49" s="2039"/>
      <c r="E49" s="2040"/>
      <c r="F49" s="2041" t="str">
        <f>IF('[1]Federal Summary'!U71="x","(M)","")</f>
        <v/>
      </c>
      <c r="G49" s="2042" t="s">
        <v>2082</v>
      </c>
      <c r="H49" s="2044" t="s">
        <v>2126</v>
      </c>
      <c r="I49" s="2043" t="s">
        <v>2130</v>
      </c>
      <c r="J49" s="2061">
        <f>'[1]Federal Summary'!G71</f>
        <v>3380</v>
      </c>
      <c r="K49" s="2061">
        <f>+'[1]Federal Summary'!G72+'[1]Federal Summary'!G73</f>
        <v>0</v>
      </c>
      <c r="L49" s="2061">
        <f>'[1]Federal Summary'!N71</f>
        <v>3380</v>
      </c>
      <c r="M49" s="2061">
        <f>+'[1]Federal Summary'!N72</f>
        <v>0</v>
      </c>
      <c r="N49" s="2061"/>
      <c r="O49" s="2061"/>
      <c r="P49" s="2045">
        <f t="shared" si="6"/>
        <v>3380</v>
      </c>
      <c r="Q49" s="2061">
        <v>4125</v>
      </c>
    </row>
    <row r="50" spans="1:17" ht="25.5" customHeight="1" x14ac:dyDescent="0.2">
      <c r="A50" s="2046"/>
      <c r="B50" s="2039"/>
      <c r="C50" s="2039" t="s">
        <v>2129</v>
      </c>
      <c r="D50" s="2039"/>
      <c r="E50" s="2040"/>
      <c r="F50" s="2041" t="str">
        <f>F49</f>
        <v/>
      </c>
      <c r="G50" s="2042" t="s">
        <v>2082</v>
      </c>
      <c r="H50" s="2044" t="s">
        <v>2126</v>
      </c>
      <c r="I50" s="2043" t="s">
        <v>2131</v>
      </c>
      <c r="J50" s="2061"/>
      <c r="K50" s="2061">
        <f>+'[1]Federal Summary'!I72+'[1]Federal Summary'!I73</f>
        <v>0</v>
      </c>
      <c r="L50" s="2061"/>
      <c r="M50" s="2061">
        <f>+'[1]Federal Summary'!P72</f>
        <v>0</v>
      </c>
      <c r="N50" s="2061"/>
      <c r="O50" s="2061"/>
      <c r="P50" s="2045">
        <f t="shared" si="6"/>
        <v>0</v>
      </c>
      <c r="Q50" s="2061">
        <v>0</v>
      </c>
    </row>
    <row r="51" spans="1:17" ht="25.5" customHeight="1" x14ac:dyDescent="0.2">
      <c r="A51" s="2046"/>
      <c r="B51" s="2039"/>
      <c r="C51" s="2039" t="s">
        <v>2195</v>
      </c>
      <c r="D51" s="2039"/>
      <c r="E51" s="2040"/>
      <c r="F51" s="2041" t="str">
        <f>IF('[1]Federal Summary'!U75="x","(M)","")</f>
        <v/>
      </c>
      <c r="G51" s="2042" t="s">
        <v>2082</v>
      </c>
      <c r="H51" s="2044">
        <v>84.424000000000007</v>
      </c>
      <c r="I51" s="2043" t="s">
        <v>2132</v>
      </c>
      <c r="J51" s="2045">
        <f>'[1]Federal Summary'!G75</f>
        <v>21435</v>
      </c>
      <c r="K51" s="2045">
        <f>+'[1]Federal Summary'!G76+'[1]Federal Summary'!G77</f>
        <v>0</v>
      </c>
      <c r="L51" s="2045">
        <f>'[1]Federal Summary'!N75</f>
        <v>21435</v>
      </c>
      <c r="M51" s="2045">
        <f>+'[1]Federal Summary'!N76</f>
        <v>0</v>
      </c>
      <c r="N51" s="2045"/>
      <c r="O51" s="2045"/>
      <c r="P51" s="2045">
        <f t="shared" si="6"/>
        <v>21435</v>
      </c>
      <c r="Q51" s="2061">
        <v>22305</v>
      </c>
    </row>
    <row r="52" spans="1:17" ht="25.5" customHeight="1" x14ac:dyDescent="0.2">
      <c r="A52" s="2046"/>
      <c r="B52" s="2039"/>
      <c r="C52" s="2039" t="s">
        <v>2195</v>
      </c>
      <c r="D52" s="2039"/>
      <c r="E52" s="2040"/>
      <c r="F52" s="2041" t="str">
        <f>F51</f>
        <v/>
      </c>
      <c r="G52" s="2042" t="s">
        <v>2082</v>
      </c>
      <c r="H52" s="2044">
        <v>84.424000000000007</v>
      </c>
      <c r="I52" s="2043" t="s">
        <v>2133</v>
      </c>
      <c r="J52" s="2045"/>
      <c r="K52" s="2045">
        <f>+'[1]Federal Summary'!I76+'[1]Federal Summary'!I77</f>
        <v>10870</v>
      </c>
      <c r="L52" s="2045"/>
      <c r="M52" s="2045">
        <f>+'[1]Federal Summary'!P76</f>
        <v>10870</v>
      </c>
      <c r="N52" s="2045"/>
      <c r="O52" s="2045"/>
      <c r="P52" s="2045">
        <f t="shared" si="6"/>
        <v>10870</v>
      </c>
      <c r="Q52" s="2061">
        <v>10870</v>
      </c>
    </row>
    <row r="53" spans="1:17" ht="25.5" customHeight="1" x14ac:dyDescent="0.2">
      <c r="A53" s="2046"/>
      <c r="B53" s="2039"/>
      <c r="C53" s="2039" t="s">
        <v>2196</v>
      </c>
      <c r="D53" s="2039"/>
      <c r="E53" s="2040"/>
      <c r="F53" s="2041" t="str">
        <f>IF('[1]Federal Summary'!U79="x","(M)","")</f>
        <v/>
      </c>
      <c r="G53" s="2042" t="s">
        <v>2082</v>
      </c>
      <c r="H53" s="2044" t="s">
        <v>2197</v>
      </c>
      <c r="I53" s="2043" t="s">
        <v>2198</v>
      </c>
      <c r="J53" s="2045"/>
      <c r="K53" s="2045">
        <f>++'[1]Federal Summary'!G80+'[1]Federal Summary'!G81</f>
        <v>0</v>
      </c>
      <c r="L53" s="2045"/>
      <c r="M53" s="2045">
        <f>+'[1]Federal Summary'!N80</f>
        <v>0</v>
      </c>
      <c r="N53" s="2045"/>
      <c r="O53" s="2045"/>
      <c r="P53" s="2045">
        <f t="shared" si="6"/>
        <v>0</v>
      </c>
      <c r="Q53" s="2061"/>
    </row>
    <row r="54" spans="1:17" ht="25.5" customHeight="1" x14ac:dyDescent="0.2">
      <c r="A54" s="2046"/>
      <c r="B54" s="2039"/>
      <c r="C54" s="2039" t="s">
        <v>2196</v>
      </c>
      <c r="D54" s="2039"/>
      <c r="E54" s="2040"/>
      <c r="F54" s="2041" t="str">
        <f>F53</f>
        <v/>
      </c>
      <c r="G54" s="2042" t="s">
        <v>2082</v>
      </c>
      <c r="H54" s="2044" t="s">
        <v>2197</v>
      </c>
      <c r="I54" s="2043" t="s">
        <v>2199</v>
      </c>
      <c r="J54" s="2045"/>
      <c r="K54" s="2045">
        <f>+'[1]Federal Summary'!I80+'[1]Federal Summary'!I81</f>
        <v>0</v>
      </c>
      <c r="L54" s="2045"/>
      <c r="M54" s="2045">
        <f>+'[1]Federal Summary'!P80</f>
        <v>0</v>
      </c>
      <c r="N54" s="2045"/>
      <c r="O54" s="2045"/>
      <c r="P54" s="2045">
        <f t="shared" si="6"/>
        <v>0</v>
      </c>
      <c r="Q54" s="2061"/>
    </row>
    <row r="55" spans="1:17" ht="25.5" customHeight="1" x14ac:dyDescent="0.2">
      <c r="A55" s="2046"/>
      <c r="B55" s="2039"/>
      <c r="C55" s="2039" t="s">
        <v>2134</v>
      </c>
      <c r="D55" s="2039"/>
      <c r="E55" s="2040"/>
      <c r="F55" s="2041" t="str">
        <f>IF('[1]Federal Summary'!U83="x","(M)","")</f>
        <v/>
      </c>
      <c r="G55" s="2042"/>
      <c r="H55" s="2044" t="s">
        <v>2135</v>
      </c>
      <c r="I55" s="2043" t="s">
        <v>2136</v>
      </c>
      <c r="J55" s="2045"/>
      <c r="K55" s="2045">
        <f>+'[1]Federal Summary'!G84+'[1]Federal Summary'!G85</f>
        <v>0</v>
      </c>
      <c r="L55" s="2045"/>
      <c r="M55" s="2045">
        <f>+'[1]Federal Summary'!N84</f>
        <v>0</v>
      </c>
      <c r="N55" s="2045"/>
      <c r="O55" s="2045"/>
      <c r="P55" s="2045">
        <f t="shared" si="6"/>
        <v>0</v>
      </c>
      <c r="Q55" s="2061"/>
    </row>
    <row r="56" spans="1:17" ht="25.5" customHeight="1" x14ac:dyDescent="0.2">
      <c r="A56" s="2046"/>
      <c r="B56" s="2039"/>
      <c r="C56" s="2039" t="s">
        <v>2134</v>
      </c>
      <c r="D56" s="2039"/>
      <c r="E56" s="2040"/>
      <c r="F56" s="2041" t="str">
        <f>F55</f>
        <v/>
      </c>
      <c r="G56" s="2042"/>
      <c r="H56" s="2044" t="s">
        <v>2135</v>
      </c>
      <c r="I56" s="2043" t="s">
        <v>2137</v>
      </c>
      <c r="J56" s="2045"/>
      <c r="K56" s="2045">
        <f>+'[1]Federal Summary'!I84+'[1]Federal Summary'!I85</f>
        <v>0</v>
      </c>
      <c r="L56" s="2045"/>
      <c r="M56" s="2045">
        <f>+'[1]Federal Summary'!P84</f>
        <v>0</v>
      </c>
      <c r="N56" s="2045"/>
      <c r="O56" s="2045"/>
      <c r="P56" s="2045">
        <f t="shared" si="6"/>
        <v>0</v>
      </c>
      <c r="Q56" s="2061"/>
    </row>
    <row r="57" spans="1:17" ht="25.5" customHeight="1" x14ac:dyDescent="0.2">
      <c r="A57" s="2046"/>
      <c r="B57" s="2039"/>
      <c r="C57" s="2039" t="s">
        <v>1413</v>
      </c>
      <c r="D57" s="2039"/>
      <c r="E57" s="2040"/>
      <c r="F57" s="2041" t="str">
        <f>IF('[1]Federal Summary'!U87="x","(M)","")</f>
        <v/>
      </c>
      <c r="G57" s="2042" t="s">
        <v>2082</v>
      </c>
      <c r="H57" s="2044" t="s">
        <v>2138</v>
      </c>
      <c r="I57" s="2043" t="s">
        <v>2139</v>
      </c>
      <c r="J57" s="2045"/>
      <c r="K57" s="2045">
        <f>+'[1]Federal Summary'!G88+'[1]Federal Summary'!G89</f>
        <v>0</v>
      </c>
      <c r="L57" s="2045"/>
      <c r="M57" s="2045">
        <f>+'[1]Federal Summary'!N88</f>
        <v>0</v>
      </c>
      <c r="N57" s="2045"/>
      <c r="O57" s="2045"/>
      <c r="P57" s="2045">
        <f t="shared" si="6"/>
        <v>0</v>
      </c>
      <c r="Q57" s="2061"/>
    </row>
    <row r="58" spans="1:17" ht="25.5" customHeight="1" x14ac:dyDescent="0.2">
      <c r="A58" s="2046"/>
      <c r="B58" s="2039"/>
      <c r="C58" s="2039" t="s">
        <v>1413</v>
      </c>
      <c r="D58" s="2039"/>
      <c r="E58" s="2040"/>
      <c r="F58" s="2041" t="str">
        <f>F57</f>
        <v/>
      </c>
      <c r="G58" s="2042" t="s">
        <v>2082</v>
      </c>
      <c r="H58" s="2044" t="s">
        <v>2138</v>
      </c>
      <c r="I58" s="2043" t="s">
        <v>2140</v>
      </c>
      <c r="J58" s="2045"/>
      <c r="K58" s="2045">
        <f>+'[1]Federal Summary'!I88+'[1]Federal Summary'!I89</f>
        <v>0</v>
      </c>
      <c r="L58" s="2045"/>
      <c r="M58" s="2045">
        <f>+'[1]Federal Summary'!P88</f>
        <v>0</v>
      </c>
      <c r="N58" s="2045"/>
      <c r="O58" s="2045"/>
      <c r="P58" s="2045">
        <f t="shared" si="6"/>
        <v>0</v>
      </c>
      <c r="Q58" s="2061"/>
    </row>
    <row r="59" spans="1:17" ht="25.5" customHeight="1" x14ac:dyDescent="0.2">
      <c r="A59" s="2046"/>
      <c r="B59" s="2039"/>
      <c r="C59" s="2039" t="s">
        <v>2141</v>
      </c>
      <c r="D59" s="2039"/>
      <c r="E59" s="2040"/>
      <c r="F59" s="2041" t="str">
        <f>IF('[1]Federal Summary'!U91="x","(M)","")</f>
        <v/>
      </c>
      <c r="G59" s="2042" t="s">
        <v>2082</v>
      </c>
      <c r="H59" s="2044" t="s">
        <v>2142</v>
      </c>
      <c r="I59" s="2043" t="s">
        <v>2143</v>
      </c>
      <c r="J59" s="2045"/>
      <c r="K59" s="2045">
        <f>+'[1]Federal Summary'!G92+'[1]Federal Summary'!G93</f>
        <v>0</v>
      </c>
      <c r="L59" s="2045"/>
      <c r="M59" s="2045">
        <f>+'[1]Federal Summary'!N92</f>
        <v>0</v>
      </c>
      <c r="N59" s="2045"/>
      <c r="O59" s="2045"/>
      <c r="P59" s="2045">
        <f>+L59+M59+O59</f>
        <v>0</v>
      </c>
      <c r="Q59" s="2061"/>
    </row>
    <row r="60" spans="1:17" ht="25.5" customHeight="1" x14ac:dyDescent="0.2">
      <c r="A60" s="2046"/>
      <c r="B60" s="2039"/>
      <c r="C60" s="2039" t="s">
        <v>2141</v>
      </c>
      <c r="D60" s="2039"/>
      <c r="E60" s="2040"/>
      <c r="F60" s="2041" t="str">
        <f>F59</f>
        <v/>
      </c>
      <c r="G60" s="2042" t="s">
        <v>2082</v>
      </c>
      <c r="H60" s="2044" t="s">
        <v>2142</v>
      </c>
      <c r="I60" s="2043" t="s">
        <v>2144</v>
      </c>
      <c r="J60" s="2045"/>
      <c r="K60" s="2045">
        <f>+'[1]Federal Summary'!I92+'[1]Federal Summary'!I93</f>
        <v>0</v>
      </c>
      <c r="L60" s="2045"/>
      <c r="M60" s="2045">
        <f>+'[1]Federal Summary'!P92</f>
        <v>0</v>
      </c>
      <c r="N60" s="2045"/>
      <c r="O60" s="2045"/>
      <c r="P60" s="2045">
        <f>+L60+M60+O60</f>
        <v>0</v>
      </c>
      <c r="Q60" s="2061"/>
    </row>
    <row r="61" spans="1:17" ht="38.25" x14ac:dyDescent="0.2">
      <c r="A61" s="2046"/>
      <c r="B61" s="2039"/>
      <c r="C61" s="2039" t="s">
        <v>2145</v>
      </c>
      <c r="D61" s="2039"/>
      <c r="E61" s="2040"/>
      <c r="F61" s="2041" t="str">
        <f>IF('[1]Federal Summary'!U95="x","(M)","")</f>
        <v/>
      </c>
      <c r="G61" s="2042" t="s">
        <v>2146</v>
      </c>
      <c r="H61" s="2044" t="s">
        <v>2147</v>
      </c>
      <c r="I61" s="2043" t="s">
        <v>2148</v>
      </c>
      <c r="J61" s="2045"/>
      <c r="K61" s="2045">
        <f>+'[1]Federal Summary'!G96+'[1]Federal Summary'!G97</f>
        <v>0</v>
      </c>
      <c r="L61" s="2045"/>
      <c r="M61" s="2045">
        <f>+'[1]Federal Summary'!N96</f>
        <v>0</v>
      </c>
      <c r="N61" s="2045"/>
      <c r="O61" s="2045"/>
      <c r="P61" s="2045">
        <f t="shared" si="6"/>
        <v>0</v>
      </c>
      <c r="Q61" s="2061"/>
    </row>
    <row r="62" spans="1:17" ht="39" thickBot="1" x14ac:dyDescent="0.25">
      <c r="A62" s="2046"/>
      <c r="B62" s="2039"/>
      <c r="C62" s="2039" t="s">
        <v>2145</v>
      </c>
      <c r="D62" s="2039"/>
      <c r="E62" s="2040"/>
      <c r="F62" s="2041" t="str">
        <f>F61</f>
        <v/>
      </c>
      <c r="G62" s="2042" t="s">
        <v>2146</v>
      </c>
      <c r="H62" s="2044" t="s">
        <v>2147</v>
      </c>
      <c r="I62" s="2043" t="s">
        <v>2149</v>
      </c>
      <c r="J62" s="2045"/>
      <c r="K62" s="2045">
        <f>+'[1]Federal Summary'!I96+'[1]Federal Summary'!I97</f>
        <v>0</v>
      </c>
      <c r="L62" s="2045"/>
      <c r="M62" s="2045">
        <f>+'[1]Federal Summary'!P96</f>
        <v>0</v>
      </c>
      <c r="N62" s="2045"/>
      <c r="O62" s="2045"/>
      <c r="P62" s="2045">
        <f t="shared" si="6"/>
        <v>0</v>
      </c>
      <c r="Q62" s="2061"/>
    </row>
    <row r="63" spans="1:17" ht="25.5" customHeight="1" thickBot="1" x14ac:dyDescent="0.25">
      <c r="A63" s="2046"/>
      <c r="B63" s="2039" t="s">
        <v>2194</v>
      </c>
      <c r="C63" s="2039"/>
      <c r="D63" s="2039"/>
      <c r="E63" s="2040"/>
      <c r="F63" s="2041"/>
      <c r="G63" s="2042"/>
      <c r="H63" s="2044"/>
      <c r="I63" s="2043"/>
      <c r="J63" s="2069">
        <f t="shared" ref="J63:P63" si="7">SUM(J39:J62)</f>
        <v>450134</v>
      </c>
      <c r="K63" s="2069">
        <f t="shared" si="7"/>
        <v>778798</v>
      </c>
      <c r="L63" s="2069">
        <f t="shared" si="7"/>
        <v>450134</v>
      </c>
      <c r="M63" s="2069">
        <f t="shared" si="7"/>
        <v>778798</v>
      </c>
      <c r="N63" s="2069">
        <f t="shared" si="7"/>
        <v>0</v>
      </c>
      <c r="O63" s="2069">
        <f t="shared" si="7"/>
        <v>0</v>
      </c>
      <c r="P63" s="2069">
        <f t="shared" si="7"/>
        <v>1228932</v>
      </c>
      <c r="Q63" s="2061"/>
    </row>
    <row r="64" spans="1:17" ht="25.5" customHeight="1" x14ac:dyDescent="0.2">
      <c r="A64" s="2046"/>
      <c r="B64" s="2039" t="s">
        <v>2200</v>
      </c>
      <c r="C64" s="2039"/>
      <c r="D64" s="2039"/>
      <c r="E64" s="2040"/>
      <c r="F64" s="2041"/>
      <c r="G64" s="2042"/>
      <c r="H64" s="2044"/>
      <c r="I64" s="2043"/>
      <c r="J64" s="2045"/>
      <c r="K64" s="2045"/>
      <c r="L64" s="2045"/>
      <c r="M64" s="2045"/>
      <c r="N64" s="2045"/>
      <c r="O64" s="2045"/>
      <c r="P64" s="2045"/>
      <c r="Q64" s="2061"/>
    </row>
    <row r="65" spans="1:17" ht="25.5" customHeight="1" x14ac:dyDescent="0.2">
      <c r="A65" s="2046"/>
      <c r="B65" s="2039"/>
      <c r="C65" s="2039" t="s">
        <v>2150</v>
      </c>
      <c r="D65" s="2039"/>
      <c r="E65" s="2040"/>
      <c r="F65" s="2041" t="str">
        <f>IF('[1]Federal Summary'!U99="x","(M)","")</f>
        <v/>
      </c>
      <c r="G65" s="2042" t="s">
        <v>2151</v>
      </c>
      <c r="H65" s="2044" t="s">
        <v>2152</v>
      </c>
      <c r="I65" s="2043"/>
      <c r="J65" s="2045"/>
      <c r="K65" s="2045">
        <f>+'[1]Federal Summary'!G100+'[1]Federal Summary'!G101</f>
        <v>0</v>
      </c>
      <c r="L65" s="2045"/>
      <c r="M65" s="2045">
        <f>+'[1]Federal Summary'!N100</f>
        <v>0</v>
      </c>
      <c r="N65" s="2045"/>
      <c r="O65" s="2045"/>
      <c r="P65" s="2045">
        <f t="shared" ref="P65:P66" si="8">+L65+M65+O65</f>
        <v>0</v>
      </c>
      <c r="Q65" s="2061"/>
    </row>
    <row r="66" spans="1:17" ht="25.5" customHeight="1" thickBot="1" x14ac:dyDescent="0.25">
      <c r="A66" s="2046"/>
      <c r="B66" s="2039"/>
      <c r="C66" s="2039" t="s">
        <v>2150</v>
      </c>
      <c r="D66" s="2039"/>
      <c r="E66" s="2040"/>
      <c r="F66" s="2041" t="str">
        <f>F65</f>
        <v/>
      </c>
      <c r="G66" s="2042" t="s">
        <v>2151</v>
      </c>
      <c r="H66" s="2044" t="s">
        <v>2152</v>
      </c>
      <c r="I66" s="2043"/>
      <c r="J66" s="2045"/>
      <c r="K66" s="2045">
        <f>+'[1]Federal Summary'!I100+'[1]Federal Summary'!I101</f>
        <v>0</v>
      </c>
      <c r="L66" s="2045"/>
      <c r="M66" s="2045">
        <f>+'[1]Federal Summary'!P100</f>
        <v>0</v>
      </c>
      <c r="N66" s="2045"/>
      <c r="O66" s="2045"/>
      <c r="P66" s="2045">
        <f t="shared" si="8"/>
        <v>0</v>
      </c>
      <c r="Q66" s="2061"/>
    </row>
    <row r="67" spans="1:17" ht="25.5" customHeight="1" thickBot="1" x14ac:dyDescent="0.25">
      <c r="A67" s="2046"/>
      <c r="B67" s="2039" t="s">
        <v>2201</v>
      </c>
      <c r="C67" s="2039"/>
      <c r="D67" s="2039"/>
      <c r="E67" s="2040"/>
      <c r="F67" s="2041"/>
      <c r="G67" s="2042"/>
      <c r="H67" s="2044"/>
      <c r="I67" s="2043"/>
      <c r="J67" s="2069">
        <f>SUM(J65:J66)</f>
        <v>0</v>
      </c>
      <c r="K67" s="2069">
        <f t="shared" ref="K67:O67" si="9">SUM(K65:K66)</f>
        <v>0</v>
      </c>
      <c r="L67" s="2069">
        <f t="shared" si="9"/>
        <v>0</v>
      </c>
      <c r="M67" s="2069">
        <f t="shared" si="9"/>
        <v>0</v>
      </c>
      <c r="N67" s="2069">
        <f t="shared" si="9"/>
        <v>0</v>
      </c>
      <c r="O67" s="2069">
        <f t="shared" si="9"/>
        <v>0</v>
      </c>
      <c r="P67" s="2069">
        <f>SUM(P65:P66)</f>
        <v>0</v>
      </c>
      <c r="Q67" s="2061"/>
    </row>
    <row r="68" spans="1:17" ht="25.5" customHeight="1" x14ac:dyDescent="0.2">
      <c r="A68" s="2046"/>
      <c r="B68" s="2039" t="s">
        <v>2202</v>
      </c>
      <c r="C68" s="2039"/>
      <c r="D68" s="2039"/>
      <c r="E68" s="2040"/>
      <c r="F68" s="2041"/>
      <c r="G68" s="2042"/>
      <c r="H68" s="2043"/>
      <c r="I68" s="2043"/>
      <c r="J68" s="2045"/>
      <c r="K68" s="2045"/>
      <c r="L68" s="2045"/>
      <c r="M68" s="2045"/>
      <c r="N68" s="2045"/>
      <c r="O68" s="2045"/>
      <c r="P68" s="2045"/>
      <c r="Q68" s="2061"/>
    </row>
    <row r="69" spans="1:17" ht="38.25" x14ac:dyDescent="0.2">
      <c r="A69" s="2046"/>
      <c r="B69" s="2039"/>
      <c r="C69" s="2039" t="s">
        <v>2153</v>
      </c>
      <c r="D69" s="2039"/>
      <c r="E69" s="2040"/>
      <c r="F69" s="2041" t="str">
        <f>IF('[1]Federal Summary'!U103="x","(M)","")</f>
        <v/>
      </c>
      <c r="G69" s="2042" t="s">
        <v>2146</v>
      </c>
      <c r="H69" s="2044" t="s">
        <v>2154</v>
      </c>
      <c r="I69" s="2043" t="s">
        <v>2155</v>
      </c>
      <c r="J69" s="2061">
        <f>'[1]Federal Summary'!G103</f>
        <v>25047</v>
      </c>
      <c r="K69" s="2061">
        <f>+'[1]Federal Summary'!G104+'[1]Federal Summary'!G105</f>
        <v>0</v>
      </c>
      <c r="L69" s="2061">
        <f>'[1]Federal Summary'!N103</f>
        <v>25047</v>
      </c>
      <c r="M69" s="2061">
        <f>+'[1]Federal Summary'!N104</f>
        <v>0</v>
      </c>
      <c r="N69" s="2061"/>
      <c r="O69" s="2061"/>
      <c r="P69" s="2045">
        <f t="shared" ref="P69:P72" si="10">+L69+M69+O69</f>
        <v>25047</v>
      </c>
      <c r="Q69" s="2059" t="s">
        <v>2061</v>
      </c>
    </row>
    <row r="70" spans="1:17" ht="38.25" x14ac:dyDescent="0.2">
      <c r="A70" s="2046"/>
      <c r="B70" s="2039"/>
      <c r="C70" s="2039" t="s">
        <v>2153</v>
      </c>
      <c r="D70" s="2039"/>
      <c r="E70" s="2040"/>
      <c r="F70" s="2041" t="str">
        <f>F69</f>
        <v/>
      </c>
      <c r="G70" s="2042" t="s">
        <v>2146</v>
      </c>
      <c r="H70" s="2044" t="s">
        <v>2154</v>
      </c>
      <c r="I70" s="2043" t="s">
        <v>2156</v>
      </c>
      <c r="J70" s="2045"/>
      <c r="K70" s="2061">
        <f>+'[1]Federal Summary'!I104+'[1]Federal Summary'!I105</f>
        <v>30431</v>
      </c>
      <c r="L70" s="2045"/>
      <c r="M70" s="2061">
        <f>+'[1]Federal Summary'!P104</f>
        <v>30431</v>
      </c>
      <c r="N70" s="2045"/>
      <c r="O70" s="2045"/>
      <c r="P70" s="2045">
        <f t="shared" si="10"/>
        <v>30431</v>
      </c>
      <c r="Q70" s="2059" t="s">
        <v>2061</v>
      </c>
    </row>
    <row r="71" spans="1:17" ht="38.25" x14ac:dyDescent="0.2">
      <c r="A71" s="2046"/>
      <c r="B71" s="2039"/>
      <c r="C71" s="2039" t="s">
        <v>2157</v>
      </c>
      <c r="D71" s="2039"/>
      <c r="E71" s="2040"/>
      <c r="F71" s="2041" t="str">
        <f>IF('[1]Federal Summary'!U107="x","(M)","")</f>
        <v/>
      </c>
      <c r="G71" s="2042" t="s">
        <v>2146</v>
      </c>
      <c r="H71" s="2044" t="s">
        <v>2158</v>
      </c>
      <c r="I71" s="2043"/>
      <c r="J71" s="2045"/>
      <c r="K71" s="2045">
        <f>+'[1]Federal Summary'!G108+'[1]Federal Summary'!G109</f>
        <v>0</v>
      </c>
      <c r="L71" s="2045"/>
      <c r="M71" s="2045">
        <f>+'[1]Federal Summary'!N108</f>
        <v>0</v>
      </c>
      <c r="N71" s="2045"/>
      <c r="O71" s="2045"/>
      <c r="P71" s="2045">
        <f t="shared" si="10"/>
        <v>0</v>
      </c>
      <c r="Q71" s="2061"/>
    </row>
    <row r="72" spans="1:17" ht="39" thickBot="1" x14ac:dyDescent="0.25">
      <c r="A72" s="2046"/>
      <c r="B72" s="2039"/>
      <c r="C72" s="2039" t="s">
        <v>2157</v>
      </c>
      <c r="D72" s="2039"/>
      <c r="E72" s="2040"/>
      <c r="F72" s="2041" t="str">
        <f>F71</f>
        <v/>
      </c>
      <c r="G72" s="2042" t="s">
        <v>2146</v>
      </c>
      <c r="H72" s="2044" t="s">
        <v>2158</v>
      </c>
      <c r="I72" s="2043"/>
      <c r="J72" s="2045"/>
      <c r="K72" s="2045">
        <f>+'[1]Federal Summary'!I108+'[1]Federal Summary'!I109</f>
        <v>0</v>
      </c>
      <c r="L72" s="2045"/>
      <c r="M72" s="2045">
        <f>+'[1]Federal Summary'!P108</f>
        <v>0</v>
      </c>
      <c r="N72" s="2045"/>
      <c r="O72" s="2045"/>
      <c r="P72" s="2045">
        <f t="shared" si="10"/>
        <v>0</v>
      </c>
      <c r="Q72" s="2061"/>
    </row>
    <row r="73" spans="1:17" ht="25.5" customHeight="1" thickBot="1" x14ac:dyDescent="0.25">
      <c r="A73" s="2046"/>
      <c r="B73" s="2039" t="s">
        <v>2203</v>
      </c>
      <c r="C73" s="2039"/>
      <c r="D73" s="2039"/>
      <c r="E73" s="2040"/>
      <c r="F73" s="2041"/>
      <c r="G73" s="2042"/>
      <c r="H73" s="2043"/>
      <c r="I73" s="2043"/>
      <c r="J73" s="2060">
        <f>SUM(J69:J72)</f>
        <v>25047</v>
      </c>
      <c r="K73" s="2060">
        <f t="shared" ref="K73:P73" si="11">SUM(K69:K72)</f>
        <v>30431</v>
      </c>
      <c r="L73" s="2060">
        <f t="shared" si="11"/>
        <v>25047</v>
      </c>
      <c r="M73" s="2060">
        <f t="shared" si="11"/>
        <v>30431</v>
      </c>
      <c r="N73" s="2060">
        <f t="shared" si="11"/>
        <v>0</v>
      </c>
      <c r="O73" s="2060">
        <f t="shared" si="11"/>
        <v>0</v>
      </c>
      <c r="P73" s="2060">
        <f t="shared" si="11"/>
        <v>55478</v>
      </c>
      <c r="Q73" s="2061"/>
    </row>
    <row r="74" spans="1:17" ht="25.5" customHeight="1" thickBot="1" x14ac:dyDescent="0.25">
      <c r="A74" s="2038" t="s">
        <v>2159</v>
      </c>
      <c r="B74" s="2039"/>
      <c r="C74" s="2039"/>
      <c r="D74" s="2039"/>
      <c r="E74" s="2040"/>
      <c r="F74" s="2041"/>
      <c r="G74" s="2042"/>
      <c r="H74" s="2043"/>
      <c r="I74" s="2043"/>
      <c r="J74" s="2062">
        <f t="shared" ref="J74:P74" si="12">J28+J63+J67+J73</f>
        <v>721077</v>
      </c>
      <c r="K74" s="2062">
        <f t="shared" si="12"/>
        <v>1071388</v>
      </c>
      <c r="L74" s="2062">
        <f t="shared" si="12"/>
        <v>721077</v>
      </c>
      <c r="M74" s="2062">
        <f t="shared" si="12"/>
        <v>1071388</v>
      </c>
      <c r="N74" s="2062">
        <f t="shared" si="12"/>
        <v>0</v>
      </c>
      <c r="O74" s="2062">
        <f t="shared" si="12"/>
        <v>0</v>
      </c>
      <c r="P74" s="2062">
        <f t="shared" si="12"/>
        <v>1792465</v>
      </c>
      <c r="Q74" s="2061"/>
    </row>
    <row r="75" spans="1:17" ht="16.5" thickTop="1" x14ac:dyDescent="0.25">
      <c r="M75" s="2063"/>
    </row>
    <row r="76" spans="1:17" x14ac:dyDescent="0.2">
      <c r="B76" s="2037" t="s">
        <v>2160</v>
      </c>
    </row>
    <row r="77" spans="1:17" x14ac:dyDescent="0.2">
      <c r="B77" s="2037" t="s">
        <v>2161</v>
      </c>
      <c r="M77" s="2048"/>
    </row>
    <row r="78" spans="1:17" x14ac:dyDescent="0.2">
      <c r="M78" s="2048"/>
    </row>
  </sheetData>
  <mergeCells count="11">
    <mergeCell ref="A9:E9"/>
    <mergeCell ref="A10:E10"/>
    <mergeCell ref="A11:E11"/>
    <mergeCell ref="A12:E12"/>
    <mergeCell ref="A1:Q1"/>
    <mergeCell ref="A2:Q2"/>
    <mergeCell ref="A3:Q3"/>
    <mergeCell ref="A4:Q4"/>
    <mergeCell ref="A8:E8"/>
    <mergeCell ref="J8:K8"/>
    <mergeCell ref="L8:N8"/>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J88" sqref="J8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88" t="s">
        <v>1159</v>
      </c>
      <c r="B2" s="2188"/>
      <c r="C2" s="2188"/>
      <c r="D2" s="2188"/>
      <c r="E2" s="2188"/>
      <c r="F2" s="2188"/>
      <c r="G2" s="2188"/>
      <c r="H2" s="2188"/>
      <c r="I2" s="2188"/>
      <c r="J2" s="2188"/>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02" t="s">
        <v>1618</v>
      </c>
      <c r="B35" s="2203"/>
      <c r="C35" s="2203"/>
      <c r="D35" s="2203"/>
      <c r="E35" s="2204"/>
      <c r="F35" s="2204"/>
      <c r="G35" s="2204"/>
      <c r="H35" s="2204"/>
      <c r="I35" s="220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02" t="s">
        <v>309</v>
      </c>
      <c r="B47" s="2205"/>
      <c r="C47" s="2205"/>
      <c r="D47" s="2205"/>
      <c r="E47" s="2206"/>
      <c r="F47" s="2206"/>
      <c r="G47" s="2206"/>
      <c r="H47" s="2206"/>
      <c r="I47" s="220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2047</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09"/>
      <c r="C57" s="2210"/>
      <c r="D57" s="2210"/>
      <c r="E57" s="2210"/>
      <c r="F57" s="2210"/>
      <c r="G57" s="2210"/>
      <c r="H57" s="2210"/>
      <c r="I57" s="2210"/>
      <c r="J57" s="2211"/>
    </row>
    <row r="58" spans="1:10" s="176" customFormat="1" x14ac:dyDescent="0.2">
      <c r="A58" s="248"/>
      <c r="B58" s="2212"/>
      <c r="C58" s="2213"/>
      <c r="D58" s="2213"/>
      <c r="E58" s="2213"/>
      <c r="F58" s="2213"/>
      <c r="G58" s="2213"/>
      <c r="H58" s="2213"/>
      <c r="I58" s="2213"/>
      <c r="J58" s="2214"/>
    </row>
    <row r="59" spans="1:10" s="176" customFormat="1" x14ac:dyDescent="0.2">
      <c r="A59" s="248"/>
      <c r="B59" s="2212"/>
      <c r="C59" s="2213"/>
      <c r="D59" s="2213"/>
      <c r="E59" s="2213"/>
      <c r="F59" s="2213"/>
      <c r="G59" s="2213"/>
      <c r="H59" s="2213"/>
      <c r="I59" s="2213"/>
      <c r="J59" s="2214"/>
    </row>
    <row r="60" spans="1:10" s="176" customFormat="1" x14ac:dyDescent="0.2">
      <c r="A60" s="248"/>
      <c r="B60" s="2212"/>
      <c r="C60" s="2213"/>
      <c r="D60" s="2213"/>
      <c r="E60" s="2213"/>
      <c r="F60" s="2213"/>
      <c r="G60" s="2213"/>
      <c r="H60" s="2213"/>
      <c r="I60" s="2213"/>
      <c r="J60" s="2214"/>
    </row>
    <row r="61" spans="1:10" s="176" customFormat="1" x14ac:dyDescent="0.2">
      <c r="A61" s="248"/>
      <c r="B61" s="2212"/>
      <c r="C61" s="2213"/>
      <c r="D61" s="2213"/>
      <c r="E61" s="2213"/>
      <c r="F61" s="2213"/>
      <c r="G61" s="2213"/>
      <c r="H61" s="2213"/>
      <c r="I61" s="2213"/>
      <c r="J61" s="2214"/>
    </row>
    <row r="62" spans="1:10" s="176" customFormat="1" x14ac:dyDescent="0.2">
      <c r="A62" s="248"/>
      <c r="B62" s="2212"/>
      <c r="C62" s="2213"/>
      <c r="D62" s="2213"/>
      <c r="E62" s="2213"/>
      <c r="F62" s="2213"/>
      <c r="G62" s="2213"/>
      <c r="H62" s="2213"/>
      <c r="I62" s="2213"/>
      <c r="J62" s="2214"/>
    </row>
    <row r="63" spans="1:10" s="176" customFormat="1" x14ac:dyDescent="0.2">
      <c r="A63" s="248"/>
      <c r="B63" s="2212"/>
      <c r="C63" s="2213"/>
      <c r="D63" s="2213"/>
      <c r="E63" s="2213"/>
      <c r="F63" s="2213"/>
      <c r="G63" s="2213"/>
      <c r="H63" s="2213"/>
      <c r="I63" s="2213"/>
      <c r="J63" s="2214"/>
    </row>
    <row r="64" spans="1:10" s="176" customFormat="1" x14ac:dyDescent="0.2">
      <c r="A64" s="248"/>
      <c r="B64" s="2212"/>
      <c r="C64" s="2213"/>
      <c r="D64" s="2213"/>
      <c r="E64" s="2213"/>
      <c r="F64" s="2213"/>
      <c r="G64" s="2213"/>
      <c r="H64" s="2213"/>
      <c r="I64" s="2213"/>
      <c r="J64" s="2214"/>
    </row>
    <row r="65" spans="1:11" s="176" customFormat="1" x14ac:dyDescent="0.2">
      <c r="A65" s="248"/>
      <c r="B65" s="2212"/>
      <c r="C65" s="2213"/>
      <c r="D65" s="2213"/>
      <c r="E65" s="2213"/>
      <c r="F65" s="2213"/>
      <c r="G65" s="2213"/>
      <c r="H65" s="2213"/>
      <c r="I65" s="2213"/>
      <c r="J65" s="2214"/>
    </row>
    <row r="66" spans="1:11" s="176" customFormat="1" x14ac:dyDescent="0.2">
      <c r="A66" s="248"/>
      <c r="B66" s="2212"/>
      <c r="C66" s="2213"/>
      <c r="D66" s="2213"/>
      <c r="E66" s="2213"/>
      <c r="F66" s="2213"/>
      <c r="G66" s="2213"/>
      <c r="H66" s="2213"/>
      <c r="I66" s="2213"/>
      <c r="J66" s="2214"/>
    </row>
    <row r="67" spans="1:11" s="176" customFormat="1" ht="9" customHeight="1" x14ac:dyDescent="0.2">
      <c r="A67" s="249"/>
      <c r="B67" s="2215"/>
      <c r="C67" s="2216"/>
      <c r="D67" s="2216"/>
      <c r="E67" s="2216"/>
      <c r="F67" s="2216"/>
      <c r="G67" s="2216"/>
      <c r="H67" s="2216"/>
      <c r="I67" s="2216"/>
      <c r="J67" s="221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02" t="s">
        <v>1313</v>
      </c>
      <c r="B70" s="2205"/>
      <c r="C70" s="2205"/>
      <c r="D70" s="2205"/>
      <c r="E70" s="2206"/>
      <c r="F70" s="2206"/>
      <c r="G70" s="2206"/>
      <c r="H70" s="2206"/>
      <c r="I70" s="2206"/>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07" t="s">
        <v>1310</v>
      </c>
      <c r="B83" s="2207"/>
      <c r="C83" s="2207"/>
      <c r="D83" s="2208"/>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18" t="s">
        <v>1988</v>
      </c>
      <c r="B85" s="2218"/>
      <c r="C85" s="2218"/>
      <c r="D85" s="2219"/>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220" t="s">
        <v>1988</v>
      </c>
      <c r="B88" s="2221"/>
      <c r="C88" s="2221"/>
      <c r="D88" s="2222"/>
      <c r="E88" s="1544">
        <v>14963</v>
      </c>
      <c r="F88" s="1544"/>
      <c r="G88" s="1544">
        <v>2036</v>
      </c>
      <c r="H88" s="1544">
        <v>88665</v>
      </c>
      <c r="I88" s="1903"/>
      <c r="J88" s="1726">
        <f>SUM(E88:I88)</f>
        <v>105664</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105664</v>
      </c>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89"/>
      <c r="C102" s="2190"/>
      <c r="D102" s="2190"/>
      <c r="E102" s="2190"/>
      <c r="F102" s="2190"/>
      <c r="G102" s="2190"/>
      <c r="H102" s="2190"/>
      <c r="I102" s="2191"/>
    </row>
    <row r="103" spans="1:9" s="176" customFormat="1" ht="11.25" customHeight="1" x14ac:dyDescent="0.2">
      <c r="A103" s="294"/>
      <c r="B103" s="2192"/>
      <c r="C103" s="2193"/>
      <c r="D103" s="2193"/>
      <c r="E103" s="2193"/>
      <c r="F103" s="2193"/>
      <c r="G103" s="2193"/>
      <c r="H103" s="2193"/>
      <c r="I103" s="2194"/>
    </row>
    <row r="104" spans="1:9" s="176" customFormat="1" ht="11.25" customHeight="1" x14ac:dyDescent="0.2">
      <c r="A104" s="294"/>
      <c r="B104" s="2192"/>
      <c r="C104" s="2193"/>
      <c r="D104" s="2193"/>
      <c r="E104" s="2193"/>
      <c r="F104" s="2193"/>
      <c r="G104" s="2193"/>
      <c r="H104" s="2193"/>
      <c r="I104" s="2194"/>
    </row>
    <row r="105" spans="1:9" s="176" customFormat="1" x14ac:dyDescent="0.2">
      <c r="A105" s="294"/>
      <c r="B105" s="2192"/>
      <c r="C105" s="2193"/>
      <c r="D105" s="2193"/>
      <c r="E105" s="2193"/>
      <c r="F105" s="2193"/>
      <c r="G105" s="2193"/>
      <c r="H105" s="2193"/>
      <c r="I105" s="2194"/>
    </row>
    <row r="106" spans="1:9" s="176" customFormat="1" ht="11.25" customHeight="1" x14ac:dyDescent="0.2">
      <c r="A106" s="294"/>
      <c r="B106" s="2192"/>
      <c r="C106" s="2193"/>
      <c r="D106" s="2193"/>
      <c r="E106" s="2193"/>
      <c r="F106" s="2193"/>
      <c r="G106" s="2193"/>
      <c r="H106" s="2193"/>
      <c r="I106" s="2194"/>
    </row>
    <row r="107" spans="1:9" s="176" customFormat="1" ht="11.25" customHeight="1" x14ac:dyDescent="0.2">
      <c r="A107" s="294"/>
      <c r="B107" s="2192"/>
      <c r="C107" s="2193"/>
      <c r="D107" s="2193"/>
      <c r="E107" s="2193"/>
      <c r="F107" s="2193"/>
      <c r="G107" s="2193"/>
      <c r="H107" s="2193"/>
      <c r="I107" s="2194"/>
    </row>
    <row r="108" spans="1:9" s="176" customFormat="1" ht="11.25" customHeight="1" x14ac:dyDescent="0.2">
      <c r="A108" s="294"/>
      <c r="B108" s="2192"/>
      <c r="C108" s="2193"/>
      <c r="D108" s="2193"/>
      <c r="E108" s="2193"/>
      <c r="F108" s="2193"/>
      <c r="G108" s="2193"/>
      <c r="H108" s="2193"/>
      <c r="I108" s="2194"/>
    </row>
    <row r="109" spans="1:9" s="176" customFormat="1" ht="11.25" customHeight="1" x14ac:dyDescent="0.2">
      <c r="A109" s="294"/>
      <c r="B109" s="2192"/>
      <c r="C109" s="2193"/>
      <c r="D109" s="2193"/>
      <c r="E109" s="2193"/>
      <c r="F109" s="2193"/>
      <c r="G109" s="2193"/>
      <c r="H109" s="2193"/>
      <c r="I109" s="2194"/>
    </row>
    <row r="110" spans="1:9" s="176" customFormat="1" ht="11.25" customHeight="1" x14ac:dyDescent="0.2">
      <c r="A110" s="294"/>
      <c r="B110" s="2192"/>
      <c r="C110" s="2193"/>
      <c r="D110" s="2193"/>
      <c r="E110" s="2193"/>
      <c r="F110" s="2193"/>
      <c r="G110" s="2193"/>
      <c r="H110" s="2193"/>
      <c r="I110" s="2194"/>
    </row>
    <row r="111" spans="1:9" s="176" customFormat="1" ht="11.25" customHeight="1" x14ac:dyDescent="0.2">
      <c r="A111" s="294"/>
      <c r="B111" s="2192"/>
      <c r="C111" s="2193"/>
      <c r="D111" s="2193"/>
      <c r="E111" s="2193"/>
      <c r="F111" s="2193"/>
      <c r="G111" s="2193"/>
      <c r="H111" s="2193"/>
      <c r="I111" s="2194"/>
    </row>
    <row r="112" spans="1:9" s="176" customFormat="1" ht="11.25" customHeight="1" x14ac:dyDescent="0.2">
      <c r="A112" s="294"/>
      <c r="B112" s="2195"/>
      <c r="C112" s="2196"/>
      <c r="D112" s="2196"/>
      <c r="E112" s="2196"/>
      <c r="F112" s="2196"/>
      <c r="G112" s="2196"/>
      <c r="H112" s="2196"/>
      <c r="I112" s="219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98" t="s">
        <v>2048</v>
      </c>
      <c r="D114" s="2198"/>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99" t="s">
        <v>1320</v>
      </c>
      <c r="D117" s="2200"/>
      <c r="E117" s="2201"/>
      <c r="F117" s="2201"/>
      <c r="G117" s="2201"/>
      <c r="H117" s="2201"/>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1872</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8" zoomScale="120" zoomScaleNormal="120" workbookViewId="0">
      <selection activeCell="C38" sqref="C38"/>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18" t="str">
        <f>'Single Audit Cover'!A7</f>
        <v xml:space="preserve"> Maercker SD 60</v>
      </c>
      <c r="B1" s="2618"/>
      <c r="C1" s="2618"/>
      <c r="D1" s="2618"/>
      <c r="E1" s="2618"/>
      <c r="F1" s="2618"/>
    </row>
    <row r="2" spans="1:7" ht="13.5" customHeight="1" x14ac:dyDescent="0.2">
      <c r="A2" s="2601">
        <f>'Single Audit Cover'!E7</f>
        <v>19022060002</v>
      </c>
      <c r="B2" s="2601"/>
      <c r="C2" s="2601"/>
      <c r="D2" s="2601"/>
      <c r="E2" s="2601"/>
      <c r="F2" s="2601"/>
      <c r="G2" s="1051"/>
    </row>
    <row r="3" spans="1:7" ht="15.75" customHeight="1" x14ac:dyDescent="0.2">
      <c r="A3" s="2619" t="s">
        <v>1261</v>
      </c>
      <c r="B3" s="2619"/>
      <c r="C3" s="2619"/>
      <c r="D3" s="2619"/>
      <c r="E3" s="2619"/>
      <c r="F3" s="2619"/>
    </row>
    <row r="4" spans="1:7" ht="13.5" customHeight="1" x14ac:dyDescent="0.2">
      <c r="A4" s="2620" t="str">
        <f>'Single Audit Cover'!A4</f>
        <v>Year Ending June 30, 2020</v>
      </c>
      <c r="B4" s="2620"/>
      <c r="C4" s="2620"/>
      <c r="D4" s="2620"/>
      <c r="E4" s="2620"/>
      <c r="F4" s="2620"/>
    </row>
    <row r="5" spans="1:7" ht="8.25" customHeight="1" x14ac:dyDescent="0.2">
      <c r="C5" s="295"/>
      <c r="D5" s="295"/>
    </row>
    <row r="6" spans="1:7" ht="13.5" customHeight="1" x14ac:dyDescent="0.2">
      <c r="A6" s="1052" t="s">
        <v>1707</v>
      </c>
      <c r="C6" s="295"/>
      <c r="D6" s="295"/>
    </row>
    <row r="7" spans="1:7" ht="60.95" customHeight="1" x14ac:dyDescent="0.2">
      <c r="A7" s="2617" t="s">
        <v>2185</v>
      </c>
      <c r="B7" s="2617"/>
      <c r="C7" s="2617"/>
      <c r="D7" s="2617"/>
      <c r="E7" s="2617"/>
      <c r="F7" s="2617"/>
    </row>
    <row r="8" spans="1:7" ht="12" customHeight="1" x14ac:dyDescent="0.2">
      <c r="A8" s="1052"/>
      <c r="B8" s="1058"/>
      <c r="C8" s="1058"/>
      <c r="D8" s="1058"/>
    </row>
    <row r="9" spans="1:7" ht="15" customHeight="1" x14ac:dyDescent="0.2">
      <c r="A9" s="1053" t="s">
        <v>1708</v>
      </c>
      <c r="B9" s="1056"/>
      <c r="C9" s="1056"/>
      <c r="D9" s="1056"/>
      <c r="E9" s="1054"/>
      <c r="F9" s="1054"/>
      <c r="G9" s="1054"/>
    </row>
    <row r="10" spans="1:7" ht="15" customHeight="1" x14ac:dyDescent="0.2">
      <c r="A10" s="1055" t="s">
        <v>1532</v>
      </c>
      <c r="B10" s="1056"/>
      <c r="C10" s="1057"/>
      <c r="D10" s="1056" t="s">
        <v>1533</v>
      </c>
      <c r="E10" s="1057" t="s">
        <v>2047</v>
      </c>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617" t="s">
        <v>2187</v>
      </c>
      <c r="B13" s="2617"/>
      <c r="C13" s="2617"/>
      <c r="D13" s="2617"/>
      <c r="E13" s="2617"/>
      <c r="F13" s="2617"/>
    </row>
    <row r="14" spans="1:7" ht="9.75" customHeight="1" x14ac:dyDescent="0.2">
      <c r="C14" s="1036"/>
      <c r="D14" s="1036"/>
    </row>
    <row r="15" spans="1:7" ht="13.5" customHeight="1" x14ac:dyDescent="0.2">
      <c r="C15" s="1476" t="s">
        <v>1260</v>
      </c>
      <c r="D15" s="2622" t="s">
        <v>1259</v>
      </c>
      <c r="E15" s="2622"/>
      <c r="F15" s="2622"/>
    </row>
    <row r="16" spans="1:7" ht="13.5" customHeight="1" x14ac:dyDescent="0.2">
      <c r="A16" s="1058"/>
      <c r="B16" s="1052" t="s">
        <v>1258</v>
      </c>
      <c r="C16" s="1476" t="s">
        <v>1257</v>
      </c>
      <c r="D16" s="2623" t="s">
        <v>1573</v>
      </c>
      <c r="E16" s="2623"/>
      <c r="F16" s="2623"/>
    </row>
    <row r="17" spans="1:6" ht="20.45" customHeight="1" x14ac:dyDescent="0.2">
      <c r="A17" s="1059"/>
      <c r="B17" s="1060" t="s">
        <v>2057</v>
      </c>
      <c r="C17" s="1061"/>
      <c r="D17" s="2621"/>
      <c r="E17" s="2621"/>
      <c r="F17" s="2621"/>
    </row>
    <row r="18" spans="1:6" ht="20.65" customHeight="1" x14ac:dyDescent="0.2">
      <c r="A18" s="1059"/>
      <c r="B18" s="1060"/>
      <c r="C18" s="1061"/>
      <c r="D18" s="2621"/>
      <c r="E18" s="2621"/>
      <c r="F18" s="2621"/>
    </row>
    <row r="19" spans="1:6" ht="20.65" customHeight="1" x14ac:dyDescent="0.2">
      <c r="A19" s="1059"/>
      <c r="B19" s="1060"/>
      <c r="C19" s="1061"/>
      <c r="D19" s="2621"/>
      <c r="E19" s="2621"/>
      <c r="F19" s="2621"/>
    </row>
    <row r="20" spans="1:6" ht="20.65" customHeight="1" x14ac:dyDescent="0.2">
      <c r="A20" s="1059"/>
      <c r="B20" s="1060"/>
      <c r="C20" s="1061"/>
      <c r="D20" s="2621"/>
      <c r="E20" s="2621"/>
      <c r="F20" s="2621"/>
    </row>
    <row r="21" spans="1:6" ht="20.65" customHeight="1" x14ac:dyDescent="0.2">
      <c r="A21" s="1059"/>
      <c r="B21" s="1060"/>
      <c r="C21" s="1061"/>
      <c r="D21" s="2621"/>
      <c r="E21" s="2621"/>
      <c r="F21" s="2621"/>
    </row>
    <row r="22" spans="1:6" ht="20.65" customHeight="1" x14ac:dyDescent="0.2">
      <c r="A22" s="1059"/>
      <c r="B22" s="1060"/>
      <c r="C22" s="1061"/>
      <c r="D22" s="2621"/>
      <c r="E22" s="2621"/>
      <c r="F22" s="2621"/>
    </row>
    <row r="23" spans="1:6" ht="20.65" customHeight="1" x14ac:dyDescent="0.2">
      <c r="A23" s="1059"/>
      <c r="B23" s="1060"/>
      <c r="C23" s="1061"/>
      <c r="D23" s="2621"/>
      <c r="E23" s="2621"/>
      <c r="F23" s="2621"/>
    </row>
    <row r="24" spans="1:6" ht="20.65" customHeight="1" x14ac:dyDescent="0.2">
      <c r="A24" s="1059"/>
      <c r="B24" s="1060"/>
      <c r="C24" s="1061"/>
      <c r="D24" s="2621"/>
      <c r="E24" s="2621"/>
      <c r="F24" s="2621"/>
    </row>
    <row r="25" spans="1:6" ht="20.65" customHeight="1" x14ac:dyDescent="0.2">
      <c r="A25" s="1059"/>
      <c r="B25" s="1060"/>
      <c r="C25" s="1061"/>
      <c r="D25" s="2621"/>
      <c r="E25" s="2621"/>
      <c r="F25" s="2621"/>
    </row>
    <row r="26" spans="1:6" ht="20.65" customHeight="1" x14ac:dyDescent="0.2">
      <c r="A26" s="1059"/>
      <c r="B26" s="1060"/>
      <c r="C26" s="1061"/>
      <c r="D26" s="2621"/>
      <c r="E26" s="2621"/>
      <c r="F26" s="2621"/>
    </row>
    <row r="27" spans="1:6" ht="20.65" customHeight="1" x14ac:dyDescent="0.2">
      <c r="A27" s="1059"/>
      <c r="B27" s="1060"/>
      <c r="C27" s="1061"/>
      <c r="D27" s="2621"/>
      <c r="E27" s="2621"/>
      <c r="F27" s="2621"/>
    </row>
    <row r="28" spans="1:6" ht="20.65" customHeight="1" x14ac:dyDescent="0.2">
      <c r="A28" s="1059"/>
      <c r="B28" s="1060"/>
      <c r="C28" s="1061"/>
      <c r="D28" s="2621"/>
      <c r="E28" s="2621"/>
      <c r="F28" s="2621"/>
    </row>
    <row r="29" spans="1:6" ht="20.65" customHeight="1" x14ac:dyDescent="0.2">
      <c r="A29" s="1059"/>
      <c r="B29" s="1060"/>
      <c r="C29" s="1061"/>
      <c r="D29" s="2621"/>
      <c r="E29" s="2621"/>
      <c r="F29" s="2621"/>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625" t="s">
        <v>2186</v>
      </c>
      <c r="B32" s="2625"/>
      <c r="C32" s="2625"/>
      <c r="D32" s="2625"/>
      <c r="E32" s="2625"/>
      <c r="F32" s="2625"/>
    </row>
    <row r="33" spans="1:6" ht="13.5" customHeight="1" x14ac:dyDescent="0.2">
      <c r="A33" s="306" t="s">
        <v>1419</v>
      </c>
      <c r="B33" s="306"/>
      <c r="C33" s="1064">
        <v>25034</v>
      </c>
      <c r="D33" s="1526"/>
      <c r="E33" s="1062"/>
    </row>
    <row r="34" spans="1:6" ht="13.5" customHeight="1" x14ac:dyDescent="0.2">
      <c r="A34" s="306" t="s">
        <v>1810</v>
      </c>
      <c r="B34" s="306"/>
      <c r="C34" s="1065">
        <v>11991</v>
      </c>
      <c r="D34" s="1526" t="s">
        <v>1574</v>
      </c>
      <c r="E34" s="2626">
        <f>+C33+C34</f>
        <v>37025</v>
      </c>
      <c r="F34" s="2627"/>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v>0</v>
      </c>
      <c r="D38" s="1526"/>
      <c r="E38" s="1062"/>
    </row>
    <row r="39" spans="1:6" ht="14.25" customHeight="1" x14ac:dyDescent="0.2">
      <c r="A39" s="306"/>
      <c r="B39" s="306" t="s">
        <v>1421</v>
      </c>
      <c r="C39" s="1068">
        <v>0</v>
      </c>
      <c r="D39" s="1526"/>
      <c r="E39" s="1062"/>
    </row>
    <row r="40" spans="1:6" ht="14.25" customHeight="1" x14ac:dyDescent="0.2">
      <c r="A40" s="306"/>
      <c r="B40" s="306" t="s">
        <v>1422</v>
      </c>
      <c r="C40" s="1068">
        <v>0</v>
      </c>
      <c r="D40" s="1526"/>
      <c r="E40" s="1062"/>
    </row>
    <row r="41" spans="1:6" ht="14.25" customHeight="1" x14ac:dyDescent="0.2">
      <c r="A41" s="306"/>
      <c r="B41" s="306" t="s">
        <v>1423</v>
      </c>
      <c r="C41" s="1068">
        <v>0</v>
      </c>
      <c r="D41" s="1526"/>
      <c r="E41" s="1062"/>
    </row>
    <row r="42" spans="1:6" ht="14.25" customHeight="1" x14ac:dyDescent="0.2">
      <c r="A42" s="306" t="s">
        <v>1424</v>
      </c>
      <c r="B42" s="306"/>
      <c r="C42" s="1524">
        <v>0</v>
      </c>
      <c r="D42" s="1526"/>
      <c r="E42" s="1062"/>
    </row>
    <row r="43" spans="1:6" ht="14.25" customHeight="1" x14ac:dyDescent="0.2">
      <c r="A43" s="306" t="s">
        <v>1425</v>
      </c>
      <c r="B43" s="306"/>
      <c r="C43" s="1069" t="s">
        <v>379</v>
      </c>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1709</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28" t="s">
        <v>1575</v>
      </c>
      <c r="C49" s="2628"/>
      <c r="D49" s="2628"/>
      <c r="E49" s="1168"/>
    </row>
    <row r="50" spans="1:5" s="1076" customFormat="1" ht="3.75" customHeight="1" x14ac:dyDescent="0.2">
      <c r="A50" s="1075"/>
      <c r="B50" s="1475"/>
      <c r="C50" s="1475"/>
      <c r="D50" s="1475"/>
      <c r="E50" s="1168"/>
    </row>
    <row r="51" spans="1:5" s="1076" customFormat="1" ht="20.25" customHeight="1" x14ac:dyDescent="0.2">
      <c r="A51" s="1077">
        <v>6</v>
      </c>
      <c r="B51" s="2624" t="s">
        <v>1536</v>
      </c>
      <c r="C51" s="2624"/>
      <c r="D51" s="2624"/>
    </row>
    <row r="52" spans="1:5" ht="14.25" customHeight="1" x14ac:dyDescent="0.2">
      <c r="A52" s="1077"/>
      <c r="B52" s="2624"/>
      <c r="C52" s="2624"/>
      <c r="D52" s="262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E51" sqref="E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33" t="str">
        <f>'Single Audit Cover'!A7</f>
        <v xml:space="preserve"> Maercker SD 60</v>
      </c>
      <c r="C1" s="2634"/>
      <c r="D1" s="2634"/>
      <c r="E1" s="2634"/>
      <c r="F1" s="2634"/>
      <c r="G1" s="2634"/>
      <c r="H1" s="2634"/>
      <c r="I1" s="2634"/>
      <c r="J1" s="1178"/>
    </row>
    <row r="2" spans="2:10" s="295" customFormat="1" ht="12.75" customHeight="1" x14ac:dyDescent="0.2">
      <c r="B2" s="2635">
        <f>'Single Audit Cover'!E7</f>
        <v>19022060002</v>
      </c>
      <c r="C2" s="2636"/>
      <c r="D2" s="2636"/>
      <c r="E2" s="2636"/>
      <c r="F2" s="2636"/>
      <c r="G2" s="2636"/>
      <c r="H2" s="2636"/>
      <c r="I2" s="2636"/>
      <c r="J2" s="1178"/>
    </row>
    <row r="3" spans="2:10" s="295" customFormat="1" ht="12.75" customHeight="1" x14ac:dyDescent="0.2">
      <c r="B3" s="2637" t="s">
        <v>1275</v>
      </c>
      <c r="C3" s="2638"/>
      <c r="D3" s="2638"/>
      <c r="E3" s="2638"/>
      <c r="F3" s="2638"/>
      <c r="G3" s="2638"/>
      <c r="H3" s="2638"/>
      <c r="I3" s="2638"/>
      <c r="J3" s="1179"/>
    </row>
    <row r="4" spans="2:10" s="295" customFormat="1" ht="12.75" customHeight="1" x14ac:dyDescent="0.2">
      <c r="B4" s="2637" t="str">
        <f>'Single Audit Cover'!A4</f>
        <v>Year Ending June 30, 2020</v>
      </c>
      <c r="C4" s="2638"/>
      <c r="D4" s="2638"/>
      <c r="E4" s="2638"/>
      <c r="F4" s="2638"/>
      <c r="G4" s="2638"/>
      <c r="H4" s="2638"/>
      <c r="I4" s="2638"/>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37" t="s">
        <v>1274</v>
      </c>
      <c r="C7" s="2638"/>
      <c r="D7" s="2638"/>
      <c r="E7" s="2638"/>
      <c r="F7" s="2638"/>
      <c r="G7" s="2638"/>
      <c r="H7" s="2638"/>
      <c r="I7" s="2638"/>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639" t="s">
        <v>2058</v>
      </c>
      <c r="D11" s="2639"/>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t="s">
        <v>2047</v>
      </c>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t="s">
        <v>2047</v>
      </c>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t="s">
        <v>2047</v>
      </c>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t="s">
        <v>2047</v>
      </c>
      <c r="H27" s="1076" t="s">
        <v>1266</v>
      </c>
      <c r="I27" s="1076"/>
    </row>
    <row r="28" spans="2:9" s="295" customFormat="1" ht="12.75" customHeight="1" x14ac:dyDescent="0.2">
      <c r="B28" s="1138"/>
      <c r="C28" s="1058"/>
      <c r="E28" s="1034"/>
    </row>
    <row r="29" spans="2:9" s="295" customFormat="1" ht="12.75" customHeight="1" x14ac:dyDescent="0.2">
      <c r="B29" s="1138" t="s">
        <v>1265</v>
      </c>
      <c r="C29" s="1058"/>
      <c r="D29" s="2640" t="s">
        <v>2058</v>
      </c>
      <c r="E29" s="2640"/>
      <c r="F29" s="2640"/>
      <c r="G29" s="2640"/>
      <c r="H29" s="2640"/>
      <c r="I29" s="2640"/>
    </row>
    <row r="30" spans="2:9" s="295" customFormat="1" x14ac:dyDescent="0.2">
      <c r="B30" s="1138"/>
      <c r="C30" s="300"/>
      <c r="D30" s="1189" t="s">
        <v>1724</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t="s">
        <v>2047</v>
      </c>
      <c r="H33" s="1076" t="s">
        <v>99</v>
      </c>
    </row>
    <row r="35" spans="2:9" x14ac:dyDescent="0.2">
      <c r="B35" s="1197" t="s">
        <v>1725</v>
      </c>
      <c r="C35" s="1198"/>
      <c r="D35" s="1043"/>
    </row>
    <row r="36" spans="2:9" ht="6" customHeight="1" x14ac:dyDescent="0.2">
      <c r="B36" s="1197"/>
      <c r="C36" s="1198"/>
      <c r="D36" s="1043"/>
    </row>
    <row r="37" spans="2:9" ht="17.25" customHeight="1" x14ac:dyDescent="0.2">
      <c r="B37" s="1199" t="s">
        <v>1726</v>
      </c>
      <c r="C37" s="2641" t="s">
        <v>1727</v>
      </c>
      <c r="D37" s="2642"/>
      <c r="E37" s="2642"/>
      <c r="F37" s="2643"/>
      <c r="G37" s="2641" t="s">
        <v>1577</v>
      </c>
      <c r="H37" s="2642"/>
      <c r="I37" s="2643"/>
    </row>
    <row r="38" spans="2:9" ht="16.5" customHeight="1" x14ac:dyDescent="0.2">
      <c r="B38" s="1200" t="s">
        <v>2059</v>
      </c>
      <c r="C38" s="2629" t="s">
        <v>2060</v>
      </c>
      <c r="D38" s="2630"/>
      <c r="E38" s="2630"/>
      <c r="F38" s="2631"/>
      <c r="G38" s="2644">
        <v>542451</v>
      </c>
      <c r="H38" s="2645"/>
      <c r="I38" s="2646"/>
    </row>
    <row r="39" spans="2:9" ht="16.5" customHeight="1" x14ac:dyDescent="0.2">
      <c r="B39" s="1200"/>
      <c r="C39" s="2629"/>
      <c r="D39" s="2630"/>
      <c r="E39" s="2630"/>
      <c r="F39" s="2631"/>
      <c r="G39" s="2632"/>
      <c r="H39" s="2632"/>
      <c r="I39" s="2632"/>
    </row>
    <row r="40" spans="2:9" ht="16.5" customHeight="1" x14ac:dyDescent="0.2">
      <c r="B40" s="1200"/>
      <c r="C40" s="2629"/>
      <c r="D40" s="2630"/>
      <c r="E40" s="2630"/>
      <c r="F40" s="2631"/>
      <c r="G40" s="2632"/>
      <c r="H40" s="2632"/>
      <c r="I40" s="2632"/>
    </row>
    <row r="41" spans="2:9" ht="16.5" customHeight="1" x14ac:dyDescent="0.2">
      <c r="B41" s="1200"/>
      <c r="C41" s="2629"/>
      <c r="D41" s="2630"/>
      <c r="E41" s="2630"/>
      <c r="F41" s="2631"/>
      <c r="G41" s="2632"/>
      <c r="H41" s="2632"/>
      <c r="I41" s="2632"/>
    </row>
    <row r="42" spans="2:9" ht="16.5" customHeight="1" x14ac:dyDescent="0.2">
      <c r="B42" s="1200"/>
      <c r="C42" s="2629"/>
      <c r="D42" s="2630"/>
      <c r="E42" s="2630"/>
      <c r="F42" s="2631"/>
      <c r="G42" s="2632"/>
      <c r="H42" s="2632"/>
      <c r="I42" s="2632"/>
    </row>
    <row r="43" spans="2:9" ht="16.5" customHeight="1" x14ac:dyDescent="0.2">
      <c r="B43" s="1200"/>
      <c r="C43" s="2647" t="s">
        <v>1578</v>
      </c>
      <c r="D43" s="2648"/>
      <c r="E43" s="2648"/>
      <c r="F43" s="2649"/>
      <c r="G43" s="2650">
        <f>SUM(G38:I42)</f>
        <v>542451</v>
      </c>
      <c r="H43" s="2650"/>
      <c r="I43" s="2650"/>
    </row>
    <row r="44" spans="2:9" ht="12.75" customHeight="1" x14ac:dyDescent="0.2"/>
    <row r="45" spans="2:9" ht="12.75" customHeight="1" x14ac:dyDescent="0.2">
      <c r="B45" s="1916" t="str">
        <f>"Total Federal Expenditures for 7/1/"&amp;MID('AFR20'!E2,3,2)-1&amp;"-6/30/"&amp;MID('AFR20'!E2,3,2)</f>
        <v>Total Federal Expenditures for 7/1/19-6/30/20</v>
      </c>
      <c r="C45" s="1917"/>
      <c r="D45" s="2651">
        <v>1071388</v>
      </c>
      <c r="E45" s="2652"/>
    </row>
    <row r="46" spans="2:9" ht="5.25" customHeight="1" x14ac:dyDescent="0.2">
      <c r="B46" s="1201"/>
      <c r="D46" s="1202"/>
      <c r="E46" s="1203"/>
    </row>
    <row r="47" spans="2:9" ht="12.75" customHeight="1" x14ac:dyDescent="0.2">
      <c r="B47" s="1076" t="s">
        <v>1579</v>
      </c>
      <c r="C47" s="1076"/>
      <c r="D47" s="1204">
        <f>+G43/D45</f>
        <v>0.50630677214977204</v>
      </c>
      <c r="E47" s="1205"/>
      <c r="F47" s="1206"/>
      <c r="I47" s="1207"/>
    </row>
    <row r="48" spans="2:9" ht="9.9499999999999993" customHeight="1" x14ac:dyDescent="0.2"/>
    <row r="49" spans="1:9" x14ac:dyDescent="0.2">
      <c r="B49" s="1138" t="s">
        <v>1263</v>
      </c>
      <c r="C49" s="1058"/>
      <c r="D49" s="1058"/>
      <c r="E49" s="2653">
        <v>750000</v>
      </c>
      <c r="F49" s="2653"/>
      <c r="G49" s="2653"/>
      <c r="H49" s="300"/>
    </row>
    <row r="51" spans="1:9" ht="13.5" customHeight="1" x14ac:dyDescent="0.2">
      <c r="B51" s="1138" t="s">
        <v>1262</v>
      </c>
      <c r="C51" s="1058"/>
      <c r="E51" s="1194" t="s">
        <v>2047</v>
      </c>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1728</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1729</v>
      </c>
      <c r="C58" s="1220"/>
      <c r="D58" s="1220"/>
    </row>
    <row r="59" spans="1:9" s="1217" customFormat="1" ht="3.95" customHeight="1" x14ac:dyDescent="0.2">
      <c r="A59" s="1214"/>
      <c r="B59" s="1219"/>
      <c r="C59" s="1220"/>
      <c r="D59" s="1220"/>
    </row>
    <row r="60" spans="1:9" s="1217" customFormat="1" ht="13.5" customHeight="1" x14ac:dyDescent="0.2">
      <c r="A60" s="1214"/>
      <c r="B60" s="1219" t="s">
        <v>1730</v>
      </c>
      <c r="C60" s="1220"/>
      <c r="D60" s="1220"/>
    </row>
    <row r="61" spans="1:9" s="1217" customFormat="1" ht="3.95" customHeight="1" x14ac:dyDescent="0.2">
      <c r="A61" s="1214"/>
      <c r="B61" s="1219"/>
      <c r="C61" s="1220"/>
      <c r="D61" s="1220"/>
    </row>
    <row r="62" spans="1:9" s="1217" customFormat="1" ht="12.75" customHeight="1" x14ac:dyDescent="0.2">
      <c r="A62" s="1214"/>
      <c r="B62" s="1219" t="s">
        <v>1731</v>
      </c>
      <c r="C62" s="1220"/>
      <c r="D62" s="1220"/>
    </row>
    <row r="63" spans="1:9" s="1217" customFormat="1" ht="13.5" customHeight="1" x14ac:dyDescent="0.2">
      <c r="A63" s="1214"/>
      <c r="B63" s="1218" t="s">
        <v>1582</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26" sqref="O2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33" t="str">
        <f>'Single Audit Cover'!A7</f>
        <v xml:space="preserve"> Maercker SD 60</v>
      </c>
      <c r="C1" s="2633"/>
      <c r="D1" s="2633"/>
      <c r="E1" s="2633"/>
      <c r="F1" s="2633"/>
      <c r="G1" s="2633"/>
      <c r="H1" s="2633"/>
      <c r="I1" s="2633"/>
      <c r="J1" s="2633"/>
      <c r="K1" s="2633"/>
      <c r="L1" s="1144"/>
      <c r="M1" s="1144"/>
    </row>
    <row r="2" spans="1:13" ht="12" customHeight="1" x14ac:dyDescent="0.2">
      <c r="B2" s="2635">
        <f>'Single Audit Cover'!E7</f>
        <v>19022060002</v>
      </c>
      <c r="C2" s="2635"/>
      <c r="D2" s="2635"/>
      <c r="E2" s="2635"/>
      <c r="F2" s="2635"/>
      <c r="G2" s="2635"/>
      <c r="H2" s="2635"/>
      <c r="I2" s="2635"/>
      <c r="J2" s="2635"/>
      <c r="K2" s="2635"/>
      <c r="L2" s="1145"/>
      <c r="M2" s="1146"/>
    </row>
    <row r="3" spans="1:13" ht="10.35" customHeight="1" x14ac:dyDescent="0.2">
      <c r="B3" s="2656" t="s">
        <v>1275</v>
      </c>
      <c r="C3" s="2656"/>
      <c r="D3" s="2656"/>
      <c r="E3" s="2656"/>
      <c r="F3" s="2656"/>
      <c r="G3" s="2656"/>
      <c r="H3" s="2656"/>
      <c r="I3" s="2656"/>
      <c r="J3" s="2656"/>
      <c r="K3" s="2656"/>
      <c r="L3" s="1147"/>
      <c r="M3" s="1147"/>
    </row>
    <row r="4" spans="1:13" ht="14.25" customHeight="1" x14ac:dyDescent="0.2">
      <c r="B4" s="2657" t="str">
        <f>'Single Audit Cover'!A4</f>
        <v>Year Ending June 30, 2020</v>
      </c>
      <c r="C4" s="2657"/>
      <c r="D4" s="2657"/>
      <c r="E4" s="2657"/>
      <c r="F4" s="2657"/>
      <c r="G4" s="2657"/>
      <c r="H4" s="2657"/>
      <c r="I4" s="2657"/>
      <c r="J4" s="2657"/>
      <c r="K4" s="2657"/>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57" t="s">
        <v>1286</v>
      </c>
      <c r="C7" s="2657"/>
      <c r="D7" s="2658"/>
      <c r="E7" s="2658"/>
      <c r="F7" s="2658"/>
      <c r="G7" s="2658"/>
      <c r="H7" s="2658"/>
      <c r="I7" s="2658"/>
      <c r="J7" s="2658"/>
      <c r="K7" s="265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1718</v>
      </c>
      <c r="C10" s="1918" t="str">
        <f>'AFR20'!$E$2&amp;"-"</f>
        <v>2020-</v>
      </c>
      <c r="D10" s="1155" t="s">
        <v>2061</v>
      </c>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55"/>
      <c r="C14" s="2655"/>
      <c r="D14" s="2655"/>
      <c r="E14" s="2655"/>
      <c r="F14" s="2655"/>
      <c r="G14" s="2655"/>
      <c r="H14" s="2655"/>
      <c r="I14" s="2655"/>
      <c r="J14" s="2655"/>
      <c r="K14" s="265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55"/>
      <c r="C17" s="2655"/>
      <c r="D17" s="2655"/>
      <c r="E17" s="2655"/>
      <c r="F17" s="2655"/>
      <c r="G17" s="2655"/>
      <c r="H17" s="2655"/>
      <c r="I17" s="2655"/>
      <c r="J17" s="2655"/>
      <c r="K17" s="2655"/>
      <c r="L17" s="1151"/>
    </row>
    <row r="18" spans="2:12" ht="4.5" customHeight="1" x14ac:dyDescent="0.2">
      <c r="B18" s="1167"/>
      <c r="C18" s="1167"/>
      <c r="L18" s="1151"/>
    </row>
    <row r="19" spans="2:12" s="1058" customFormat="1" ht="13.5" customHeight="1" x14ac:dyDescent="0.2">
      <c r="B19" s="1162" t="s">
        <v>1719</v>
      </c>
      <c r="C19" s="1162"/>
      <c r="D19" s="1163"/>
      <c r="E19" s="1163"/>
      <c r="F19" s="1163"/>
      <c r="G19" s="1164"/>
      <c r="H19" s="1163"/>
      <c r="I19" s="1164"/>
      <c r="J19" s="1163"/>
      <c r="K19" s="1163"/>
      <c r="L19" s="1165"/>
    </row>
    <row r="20" spans="2:12" ht="45.75" customHeight="1" x14ac:dyDescent="0.2">
      <c r="B20" s="2659"/>
      <c r="C20" s="2659"/>
      <c r="D20" s="2655"/>
      <c r="E20" s="2655"/>
      <c r="F20" s="2655"/>
      <c r="G20" s="2655"/>
      <c r="H20" s="2655"/>
      <c r="I20" s="2655"/>
      <c r="J20" s="2655"/>
      <c r="K20" s="2655"/>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55"/>
      <c r="C23" s="2655"/>
      <c r="D23" s="2655"/>
      <c r="E23" s="2655"/>
      <c r="F23" s="2655"/>
      <c r="G23" s="2655"/>
      <c r="H23" s="2655"/>
      <c r="I23" s="2655"/>
      <c r="J23" s="2655"/>
      <c r="K23" s="2655"/>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55"/>
      <c r="C26" s="2655"/>
      <c r="D26" s="2655"/>
      <c r="E26" s="2655"/>
      <c r="F26" s="2655"/>
      <c r="G26" s="2655"/>
      <c r="H26" s="2655"/>
      <c r="I26" s="2655"/>
      <c r="J26" s="2655"/>
      <c r="K26" s="2655"/>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54"/>
      <c r="C29" s="2654"/>
      <c r="D29" s="2655"/>
      <c r="E29" s="2655"/>
      <c r="F29" s="2655"/>
      <c r="G29" s="2655"/>
      <c r="H29" s="2655"/>
      <c r="I29" s="2655"/>
      <c r="J29" s="2655"/>
      <c r="K29" s="265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1720</v>
      </c>
      <c r="C31" s="1172"/>
      <c r="D31" s="1148"/>
      <c r="E31" s="1149"/>
      <c r="F31" s="1149"/>
      <c r="G31" s="1150"/>
      <c r="H31" s="1149"/>
      <c r="I31" s="1150"/>
      <c r="J31" s="1149"/>
      <c r="K31" s="1149"/>
      <c r="L31" s="1151"/>
    </row>
    <row r="32" spans="2:12" s="300" customFormat="1" ht="44.25" customHeight="1" x14ac:dyDescent="0.2">
      <c r="B32" s="2654"/>
      <c r="C32" s="2654"/>
      <c r="D32" s="2655"/>
      <c r="E32" s="2655"/>
      <c r="F32" s="2655"/>
      <c r="G32" s="2655"/>
      <c r="H32" s="2655"/>
      <c r="I32" s="2655"/>
      <c r="J32" s="2655"/>
      <c r="K32" s="265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1721</v>
      </c>
      <c r="C35" s="1175"/>
      <c r="D35" s="300"/>
      <c r="E35" s="300"/>
      <c r="F35" s="300"/>
      <c r="L35" s="1151"/>
    </row>
    <row r="36" spans="1:13" ht="9.6" customHeight="1" x14ac:dyDescent="0.2">
      <c r="B36" s="1076" t="s">
        <v>1812</v>
      </c>
      <c r="C36" s="1076"/>
      <c r="L36" s="1151"/>
    </row>
    <row r="37" spans="1:13" ht="9.6" customHeight="1" x14ac:dyDescent="0.2">
      <c r="B37" s="1076" t="s">
        <v>1813</v>
      </c>
      <c r="C37" s="1076"/>
    </row>
    <row r="38" spans="1:13" ht="11.85" customHeight="1" x14ac:dyDescent="0.2">
      <c r="B38" s="1176" t="s">
        <v>1722</v>
      </c>
      <c r="C38" s="1176"/>
    </row>
    <row r="39" spans="1:13" ht="9.6" customHeight="1" x14ac:dyDescent="0.2">
      <c r="B39" s="1076" t="s">
        <v>1276</v>
      </c>
      <c r="C39" s="1076"/>
      <c r="M39" s="1177"/>
    </row>
    <row r="40" spans="1:13" ht="12.6" customHeight="1" x14ac:dyDescent="0.2">
      <c r="B40" s="1176" t="s">
        <v>1723</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P23" sqref="P2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60" t="str">
        <f>'Single Audit Cover'!A7</f>
        <v xml:space="preserve"> Maercker SD 60</v>
      </c>
      <c r="C1" s="2660"/>
      <c r="D1" s="2660"/>
      <c r="E1" s="2660"/>
      <c r="F1" s="2660"/>
      <c r="G1" s="2660"/>
      <c r="H1" s="2660"/>
      <c r="I1" s="2660"/>
      <c r="J1" s="2660"/>
      <c r="K1" s="2660"/>
      <c r="L1" s="1221"/>
    </row>
    <row r="2" spans="1:12" ht="12.75" customHeight="1" x14ac:dyDescent="0.2">
      <c r="B2" s="2661">
        <f>'Single Audit Cover'!E7</f>
        <v>19022060002</v>
      </c>
      <c r="C2" s="2661"/>
      <c r="D2" s="2661"/>
      <c r="E2" s="2661"/>
      <c r="F2" s="2661"/>
      <c r="G2" s="2661"/>
      <c r="H2" s="2661"/>
      <c r="I2" s="2661"/>
      <c r="J2" s="2661"/>
      <c r="K2" s="2661"/>
      <c r="L2" s="1222"/>
    </row>
    <row r="3" spans="1:12" ht="12.75" customHeight="1" x14ac:dyDescent="0.2">
      <c r="B3" s="2656" t="s">
        <v>1275</v>
      </c>
      <c r="C3" s="2656"/>
      <c r="D3" s="2656"/>
      <c r="E3" s="2656"/>
      <c r="F3" s="2656"/>
      <c r="G3" s="2656"/>
      <c r="H3" s="2656"/>
      <c r="I3" s="2656"/>
      <c r="J3" s="2656"/>
      <c r="K3" s="2656"/>
      <c r="L3" s="1147"/>
    </row>
    <row r="4" spans="1:12" ht="12.75" customHeight="1" x14ac:dyDescent="0.2">
      <c r="B4" s="2656" t="str">
        <f>'Single Audit Cover'!A4</f>
        <v>Year Ending June 30, 2020</v>
      </c>
      <c r="C4" s="2656"/>
      <c r="D4" s="2656"/>
      <c r="E4" s="2656"/>
      <c r="F4" s="2656"/>
      <c r="G4" s="2656"/>
      <c r="H4" s="2656"/>
      <c r="I4" s="2656"/>
      <c r="J4" s="2656"/>
      <c r="K4" s="2656"/>
      <c r="L4" s="1147"/>
    </row>
    <row r="5" spans="1:12" ht="5.25" customHeight="1" x14ac:dyDescent="0.2">
      <c r="B5" s="1036" t="s">
        <v>1160</v>
      </c>
      <c r="C5" s="1036"/>
      <c r="L5" s="300"/>
    </row>
    <row r="6" spans="1:12" ht="30.75" customHeight="1" x14ac:dyDescent="0.2">
      <c r="A6" s="300"/>
      <c r="B6" s="2662" t="s">
        <v>1298</v>
      </c>
      <c r="C6" s="2662"/>
      <c r="D6" s="2662"/>
      <c r="E6" s="2662"/>
      <c r="F6" s="2662"/>
      <c r="G6" s="2662"/>
      <c r="H6" s="2662"/>
      <c r="I6" s="2662"/>
      <c r="J6" s="2662"/>
      <c r="K6" s="2662"/>
      <c r="L6" s="300"/>
    </row>
    <row r="7" spans="1:12" ht="4.5" customHeight="1" x14ac:dyDescent="0.2">
      <c r="B7" s="1149"/>
      <c r="C7" s="1149"/>
      <c r="D7" s="1149"/>
      <c r="E7" s="1149"/>
      <c r="F7" s="1149"/>
      <c r="G7" s="1150"/>
      <c r="H7" s="1149"/>
      <c r="I7" s="1150"/>
      <c r="J7" s="1149"/>
      <c r="K7" s="1149"/>
      <c r="L7" s="300"/>
    </row>
    <row r="8" spans="1:12" ht="13.5" customHeight="1" x14ac:dyDescent="0.2">
      <c r="B8" s="1156" t="s">
        <v>1732</v>
      </c>
      <c r="C8" s="1918" t="str">
        <f>'AFR20'!$E$2&amp;"-"</f>
        <v>2020-</v>
      </c>
      <c r="D8" s="1223" t="s">
        <v>2061</v>
      </c>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640"/>
      <c r="G12" s="2640"/>
      <c r="H12" s="2640"/>
      <c r="I12" s="2640"/>
      <c r="J12" s="2640"/>
      <c r="K12" s="264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63"/>
      <c r="E14" s="2663"/>
      <c r="F14" s="2663"/>
      <c r="H14" s="1230" t="s">
        <v>1293</v>
      </c>
      <c r="I14" s="2664"/>
      <c r="J14" s="2664"/>
      <c r="K14" s="266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64"/>
      <c r="E16" s="2664"/>
      <c r="F16" s="2664"/>
      <c r="G16" s="2664"/>
      <c r="H16" s="2664"/>
      <c r="I16" s="2664"/>
      <c r="J16" s="2664"/>
      <c r="K16" s="2664"/>
      <c r="L16" s="300"/>
    </row>
    <row r="17" spans="2:12" ht="13.5" customHeight="1" x14ac:dyDescent="0.2">
      <c r="B17" s="1156" t="s">
        <v>1291</v>
      </c>
      <c r="C17" s="1156"/>
      <c r="D17" s="2665"/>
      <c r="E17" s="2665"/>
      <c r="F17" s="2665"/>
      <c r="G17" s="2665"/>
      <c r="H17" s="2665"/>
      <c r="I17" s="2665"/>
      <c r="J17" s="2665"/>
      <c r="K17" s="266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55"/>
      <c r="C20" s="2655"/>
      <c r="D20" s="2655"/>
      <c r="E20" s="2655"/>
      <c r="F20" s="2655"/>
      <c r="G20" s="2655"/>
      <c r="H20" s="2655"/>
      <c r="I20" s="2655"/>
      <c r="J20" s="2655"/>
      <c r="K20" s="265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1733</v>
      </c>
      <c r="C22" s="1232"/>
      <c r="D22" s="300"/>
      <c r="E22" s="300"/>
      <c r="F22" s="300"/>
      <c r="G22" s="1153"/>
      <c r="H22" s="300"/>
      <c r="I22" s="1153"/>
      <c r="J22" s="300"/>
      <c r="K22" s="300"/>
      <c r="L22" s="300"/>
    </row>
    <row r="23" spans="2:12" ht="37.5" customHeight="1" x14ac:dyDescent="0.2">
      <c r="B23" s="2655"/>
      <c r="C23" s="2655"/>
      <c r="D23" s="2655"/>
      <c r="E23" s="2655"/>
      <c r="F23" s="2655"/>
      <c r="G23" s="2655"/>
      <c r="H23" s="2655"/>
      <c r="I23" s="2655"/>
      <c r="J23" s="2655"/>
      <c r="K23" s="265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1734</v>
      </c>
      <c r="C25" s="1232"/>
      <c r="D25" s="300"/>
      <c r="E25" s="300"/>
      <c r="F25" s="300"/>
      <c r="G25" s="1153"/>
      <c r="H25" s="300"/>
      <c r="I25" s="1153"/>
      <c r="J25" s="300"/>
      <c r="K25" s="300"/>
      <c r="L25" s="300"/>
    </row>
    <row r="26" spans="2:12" ht="37.5" customHeight="1" x14ac:dyDescent="0.2">
      <c r="B26" s="2655"/>
      <c r="C26" s="2655"/>
      <c r="D26" s="2655"/>
      <c r="E26" s="2655"/>
      <c r="F26" s="2655"/>
      <c r="G26" s="2655"/>
      <c r="H26" s="2655"/>
      <c r="I26" s="2655"/>
      <c r="J26" s="2655"/>
      <c r="K26" s="265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1735</v>
      </c>
      <c r="C28" s="1232"/>
      <c r="D28" s="300"/>
      <c r="E28" s="300"/>
      <c r="F28" s="300"/>
      <c r="G28" s="1153"/>
      <c r="H28" s="300"/>
      <c r="I28" s="1153"/>
      <c r="J28" s="300"/>
      <c r="K28" s="300"/>
      <c r="L28" s="300"/>
    </row>
    <row r="29" spans="2:12" ht="37.5" customHeight="1" x14ac:dyDescent="0.2">
      <c r="B29" s="2655"/>
      <c r="C29" s="2655"/>
      <c r="D29" s="2655"/>
      <c r="E29" s="2655"/>
      <c r="F29" s="2655"/>
      <c r="G29" s="2655"/>
      <c r="H29" s="2655"/>
      <c r="I29" s="2655"/>
      <c r="J29" s="2655"/>
      <c r="K29" s="265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55"/>
      <c r="C32" s="2655"/>
      <c r="D32" s="2655"/>
      <c r="E32" s="2655"/>
      <c r="F32" s="2655"/>
      <c r="G32" s="2655"/>
      <c r="H32" s="2655"/>
      <c r="I32" s="2655"/>
      <c r="J32" s="2655"/>
      <c r="K32" s="265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55"/>
      <c r="C35" s="2655"/>
      <c r="D35" s="2655"/>
      <c r="E35" s="2655"/>
      <c r="F35" s="2655"/>
      <c r="G35" s="2655"/>
      <c r="H35" s="2655"/>
      <c r="I35" s="2655"/>
      <c r="J35" s="2655"/>
      <c r="K35" s="265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55"/>
      <c r="C38" s="2655"/>
      <c r="D38" s="2655"/>
      <c r="E38" s="2655"/>
      <c r="F38" s="2655"/>
      <c r="G38" s="2655"/>
      <c r="H38" s="2655"/>
      <c r="I38" s="2655"/>
      <c r="J38" s="2655"/>
      <c r="K38" s="265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1736</v>
      </c>
      <c r="C40" s="1172"/>
      <c r="D40" s="1148"/>
      <c r="E40" s="1149"/>
      <c r="F40" s="1149"/>
      <c r="G40" s="1150"/>
      <c r="H40" s="1149"/>
      <c r="I40" s="1150"/>
      <c r="J40" s="1149"/>
      <c r="K40" s="1149"/>
    </row>
    <row r="41" spans="2:12" s="300" customFormat="1" ht="33.75" customHeight="1" x14ac:dyDescent="0.2">
      <c r="B41" s="2655"/>
      <c r="C41" s="2655"/>
      <c r="D41" s="2655"/>
      <c r="E41" s="2655"/>
      <c r="F41" s="2655"/>
      <c r="G41" s="2655"/>
      <c r="H41" s="2655"/>
      <c r="I41" s="2655"/>
      <c r="J41" s="2655"/>
      <c r="K41" s="265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1737</v>
      </c>
      <c r="C44" s="1175"/>
      <c r="D44" s="300"/>
      <c r="E44" s="300"/>
      <c r="F44" s="300"/>
    </row>
    <row r="45" spans="2:12" ht="10.5" customHeight="1" x14ac:dyDescent="0.2">
      <c r="B45" s="1176" t="s">
        <v>1738</v>
      </c>
      <c r="C45" s="1176"/>
      <c r="G45" s="295"/>
      <c r="I45" s="295"/>
    </row>
    <row r="46" spans="2:12" ht="11.1" customHeight="1" x14ac:dyDescent="0.2">
      <c r="B46" s="1176" t="s">
        <v>1739</v>
      </c>
      <c r="C46" s="1176"/>
      <c r="G46" s="295"/>
      <c r="I46" s="295"/>
    </row>
    <row r="47" spans="2:12" ht="11.1" customHeight="1" x14ac:dyDescent="0.2">
      <c r="B47" s="1176" t="s">
        <v>1740</v>
      </c>
      <c r="C47" s="1176"/>
      <c r="G47" s="295"/>
      <c r="I47" s="295"/>
    </row>
    <row r="48" spans="2:12" ht="11.1" customHeight="1" x14ac:dyDescent="0.2">
      <c r="B48" s="1176" t="s">
        <v>1741</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G10" sqref="G10"/>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33" t="str">
        <f>'Single Audit Cover'!A7</f>
        <v xml:space="preserve"> Maercker SD 60</v>
      </c>
      <c r="C1" s="2633"/>
      <c r="D1" s="2633"/>
      <c r="E1" s="1240"/>
    </row>
    <row r="2" spans="2:5" s="1058" customFormat="1" ht="12.75" customHeight="1" x14ac:dyDescent="0.2">
      <c r="B2" s="2635">
        <f>'Single Audit Cover'!E7</f>
        <v>19022060002</v>
      </c>
      <c r="C2" s="2635"/>
      <c r="D2" s="2635"/>
      <c r="E2" s="1241"/>
    </row>
    <row r="3" spans="2:5" ht="12.75" customHeight="1" x14ac:dyDescent="0.2">
      <c r="B3" s="2656" t="s">
        <v>1742</v>
      </c>
      <c r="C3" s="2656"/>
      <c r="D3" s="2656"/>
      <c r="E3" s="1050"/>
    </row>
    <row r="4" spans="2:5" s="1058" customFormat="1" ht="12.75" customHeight="1" x14ac:dyDescent="0.2">
      <c r="B4" s="2666" t="str">
        <f>'Single Audit Cover'!A4</f>
        <v>Year Ending June 30, 2020</v>
      </c>
      <c r="C4" s="2666"/>
      <c r="D4" s="2666"/>
      <c r="E4" s="1242"/>
    </row>
    <row r="5" spans="2:5" s="1058" customFormat="1" ht="40.15" customHeight="1" x14ac:dyDescent="0.2">
      <c r="B5" s="1243" t="s">
        <v>1743</v>
      </c>
      <c r="C5" s="306"/>
      <c r="D5" s="306"/>
      <c r="E5" s="306"/>
    </row>
    <row r="6" spans="2:5" s="1058" customFormat="1" ht="13.5" customHeight="1" x14ac:dyDescent="0.2">
      <c r="B6" s="1244" t="s">
        <v>1305</v>
      </c>
      <c r="C6" s="1244" t="s">
        <v>1304</v>
      </c>
      <c r="D6" s="1244" t="s">
        <v>1744</v>
      </c>
    </row>
    <row r="7" spans="2:5" ht="13.5" customHeight="1" x14ac:dyDescent="0.2">
      <c r="B7" s="1245"/>
      <c r="C7" s="302"/>
      <c r="D7" s="302"/>
      <c r="E7" s="302"/>
    </row>
    <row r="8" spans="2:5" ht="13.5" customHeight="1" x14ac:dyDescent="0.2">
      <c r="B8" s="1245" t="s">
        <v>2057</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1745</v>
      </c>
    </row>
    <row r="46" spans="2:5" ht="12.2" customHeight="1" x14ac:dyDescent="0.2">
      <c r="B46" s="1254" t="s">
        <v>1746</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L16" sqref="L16"/>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23" t="s">
        <v>382</v>
      </c>
      <c r="B1" s="2223"/>
      <c r="C1" s="2223"/>
      <c r="D1" s="2223"/>
      <c r="E1" s="2223"/>
      <c r="F1" s="2223"/>
      <c r="G1" s="2223"/>
      <c r="H1" s="2223"/>
      <c r="I1" s="2223"/>
      <c r="J1" s="2223"/>
      <c r="K1" s="2223"/>
      <c r="L1" s="2223"/>
      <c r="M1" s="222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671544202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2.5259E-2</v>
      </c>
      <c r="E10" s="333" t="s">
        <v>997</v>
      </c>
      <c r="F10" s="332">
        <v>2.431E-3</v>
      </c>
      <c r="G10" s="333" t="s">
        <v>997</v>
      </c>
      <c r="H10" s="332">
        <v>4.8700000000000002E-4</v>
      </c>
      <c r="I10" s="333" t="s">
        <v>998</v>
      </c>
      <c r="J10" s="1424">
        <f>ROUND(D10+F10+H10,5)</f>
        <v>2.818E-2</v>
      </c>
      <c r="K10" s="217"/>
      <c r="L10" s="332">
        <v>9.7999999999999997E-5</v>
      </c>
      <c r="M10" s="217"/>
    </row>
    <row r="11" spans="1:14" ht="7.5" customHeight="1" x14ac:dyDescent="0.2">
      <c r="B11" s="217"/>
      <c r="C11" s="217"/>
      <c r="D11" s="2233" t="str">
        <f>IF(SUM(J10)&lt;=0.0999999,"","Enter the Tax Rates by moving the decimal two places to the left.")</f>
        <v/>
      </c>
      <c r="E11" s="2234"/>
      <c r="F11" s="2234"/>
      <c r="G11" s="2234"/>
      <c r="H11" s="2234"/>
      <c r="I11" s="2234"/>
      <c r="J11" s="223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20835471</v>
      </c>
      <c r="E16" s="1547"/>
      <c r="F16" s="1546">
        <f>SUM('Acct Summary 7-8'!C17,'Acct Summary 7-8'!D17,'Acct Summary 7-8'!F17)</f>
        <v>22345621</v>
      </c>
      <c r="G16" s="1547"/>
      <c r="H16" s="1546">
        <f>SUM(D16-F16)</f>
        <v>-1510150</v>
      </c>
      <c r="I16" s="1548"/>
      <c r="J16" s="1546">
        <f>SUM('Acct Summary 7-8'!C81,'Acct Summary 7-8'!D81,'Acct Summary 7-8'!F81,'Acct Summary 7-8'!I81)</f>
        <v>10296665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2062</v>
      </c>
      <c r="C31" s="344" t="s">
        <v>581</v>
      </c>
      <c r="D31" s="232" t="s">
        <v>1064</v>
      </c>
      <c r="E31" s="217"/>
      <c r="F31" s="217"/>
      <c r="G31" s="340"/>
      <c r="H31" s="1425">
        <f>IF(B31="X",(J7*0.069),IF(B32="X",(J7*0.138),"Enter x in a.or b."))</f>
        <v>46336549.938000001</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38250408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24"/>
      <c r="C54" s="2225"/>
      <c r="D54" s="2225"/>
      <c r="E54" s="2225"/>
      <c r="F54" s="2225"/>
      <c r="G54" s="2225"/>
      <c r="H54" s="2225"/>
      <c r="I54" s="2225"/>
      <c r="J54" s="2225"/>
      <c r="K54" s="2225"/>
      <c r="L54" s="2226"/>
      <c r="M54" s="357"/>
    </row>
    <row r="55" spans="1:13" ht="12.75" customHeight="1" x14ac:dyDescent="0.2">
      <c r="B55" s="2227"/>
      <c r="C55" s="2228"/>
      <c r="D55" s="2228"/>
      <c r="E55" s="2228"/>
      <c r="F55" s="2228"/>
      <c r="G55" s="2228"/>
      <c r="H55" s="2228"/>
      <c r="I55" s="2228"/>
      <c r="J55" s="2228"/>
      <c r="K55" s="2228"/>
      <c r="L55" s="2229"/>
      <c r="M55" s="357"/>
    </row>
    <row r="56" spans="1:13" ht="12.75" customHeight="1" x14ac:dyDescent="0.2">
      <c r="B56" s="2227"/>
      <c r="C56" s="2228"/>
      <c r="D56" s="2228"/>
      <c r="E56" s="2228"/>
      <c r="F56" s="2228"/>
      <c r="G56" s="2228"/>
      <c r="H56" s="2228"/>
      <c r="I56" s="2228"/>
      <c r="J56" s="2228"/>
      <c r="K56" s="2228"/>
      <c r="L56" s="2229"/>
      <c r="M56" s="217"/>
    </row>
    <row r="57" spans="1:13" ht="12.75" customHeight="1" x14ac:dyDescent="0.2">
      <c r="B57" s="2227"/>
      <c r="C57" s="2228"/>
      <c r="D57" s="2228"/>
      <c r="E57" s="2228"/>
      <c r="F57" s="2228"/>
      <c r="G57" s="2228"/>
      <c r="H57" s="2228"/>
      <c r="I57" s="2228"/>
      <c r="J57" s="2228"/>
      <c r="K57" s="2228"/>
      <c r="L57" s="2229"/>
      <c r="M57" s="217"/>
    </row>
    <row r="58" spans="1:13" x14ac:dyDescent="0.2">
      <c r="B58" s="2230"/>
      <c r="C58" s="2231"/>
      <c r="D58" s="2231"/>
      <c r="E58" s="2231"/>
      <c r="F58" s="2231"/>
      <c r="G58" s="2231"/>
      <c r="H58" s="2231"/>
      <c r="I58" s="2231"/>
      <c r="J58" s="2231"/>
      <c r="K58" s="2231"/>
      <c r="L58" s="223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35"/>
      <c r="D61" s="223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0" zoomScale="110" zoomScaleNormal="110" workbookViewId="0">
      <selection activeCell="D38" sqref="D38"/>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38"/>
      <c r="B1" s="2239"/>
      <c r="C1" s="2239"/>
      <c r="D1" s="361"/>
      <c r="E1" s="361"/>
      <c r="F1" s="361"/>
      <c r="G1" s="361"/>
      <c r="H1" s="361"/>
      <c r="I1" s="361"/>
      <c r="J1" s="361"/>
      <c r="K1" s="361"/>
      <c r="L1" s="361"/>
      <c r="M1" s="361"/>
      <c r="N1" s="361"/>
      <c r="O1" s="2238"/>
      <c r="P1" s="2239"/>
      <c r="Q1" s="2239"/>
    </row>
    <row r="2" spans="1:18" ht="15" x14ac:dyDescent="0.2">
      <c r="A2" s="2242" t="s">
        <v>551</v>
      </c>
      <c r="B2" s="2242"/>
      <c r="C2" s="2242"/>
      <c r="D2" s="2242"/>
      <c r="E2" s="2242"/>
      <c r="F2" s="2242"/>
      <c r="G2" s="2242"/>
      <c r="H2" s="2242"/>
      <c r="I2" s="2242"/>
      <c r="J2" s="2242"/>
      <c r="K2" s="2242"/>
      <c r="L2" s="2242"/>
      <c r="M2" s="2242"/>
      <c r="N2" s="2242"/>
      <c r="O2" s="2242"/>
      <c r="P2" s="2242"/>
      <c r="Q2" s="2242"/>
      <c r="R2" s="2242"/>
    </row>
    <row r="3" spans="1:18" ht="12.75" x14ac:dyDescent="0.2">
      <c r="A3" s="2243" t="s">
        <v>1398</v>
      </c>
      <c r="B3" s="2243"/>
      <c r="C3" s="2243"/>
      <c r="D3" s="2243"/>
      <c r="E3" s="2243"/>
      <c r="F3" s="2243"/>
      <c r="G3" s="2243"/>
      <c r="H3" s="2243"/>
      <c r="I3" s="2243"/>
      <c r="J3" s="2243"/>
      <c r="K3" s="2243"/>
      <c r="L3" s="2243"/>
      <c r="M3" s="2243"/>
      <c r="N3" s="2243"/>
      <c r="O3" s="2243"/>
      <c r="P3" s="2243"/>
      <c r="Q3" s="2243"/>
      <c r="R3" s="2243"/>
    </row>
    <row r="4" spans="1:18" x14ac:dyDescent="0.2">
      <c r="A4" s="2244" t="s">
        <v>1539</v>
      </c>
      <c r="B4" s="2244"/>
      <c r="C4" s="2244"/>
      <c r="D4" s="2244"/>
      <c r="E4" s="2244"/>
      <c r="F4" s="2244"/>
      <c r="G4" s="2244"/>
      <c r="H4" s="2244"/>
      <c r="I4" s="2244"/>
      <c r="J4" s="2244"/>
      <c r="K4" s="2244"/>
      <c r="L4" s="2244"/>
      <c r="M4" s="2244"/>
      <c r="N4" s="2244"/>
      <c r="O4" s="2244"/>
      <c r="P4" s="2244"/>
      <c r="Q4" s="2244"/>
      <c r="R4" s="224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Maercker SD 60</v>
      </c>
      <c r="E7" s="368"/>
      <c r="G7" s="247"/>
      <c r="H7" s="364"/>
      <c r="I7" s="364"/>
      <c r="J7" s="364"/>
      <c r="K7" s="364"/>
      <c r="L7" s="307"/>
      <c r="M7" s="307"/>
      <c r="N7" s="307"/>
      <c r="O7" s="307"/>
      <c r="P7" s="307"/>
    </row>
    <row r="8" spans="1:18" ht="12.75" x14ac:dyDescent="0.2">
      <c r="A8" s="307"/>
      <c r="B8" s="307"/>
      <c r="C8" s="366" t="s">
        <v>1116</v>
      </c>
      <c r="D8" s="369">
        <f>COVER!A13</f>
        <v>19022060002</v>
      </c>
      <c r="E8" s="370"/>
      <c r="G8" s="307"/>
      <c r="H8" s="307"/>
      <c r="I8" s="307"/>
      <c r="J8" s="307"/>
      <c r="K8" s="307"/>
      <c r="L8" s="307"/>
      <c r="M8" s="307"/>
      <c r="N8" s="307"/>
      <c r="O8" s="307"/>
      <c r="P8" s="307"/>
    </row>
    <row r="9" spans="1:18" ht="12.75" x14ac:dyDescent="0.2">
      <c r="A9" s="307"/>
      <c r="B9" s="307"/>
      <c r="C9" s="366" t="s">
        <v>707</v>
      </c>
      <c r="D9" s="371" t="str">
        <f>COVER!A15</f>
        <v>DuPage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10296665</v>
      </c>
      <c r="I12" s="380"/>
      <c r="J12" s="380"/>
      <c r="K12" s="1559">
        <f>TRUNC((H12/H13*100000),5)/100000</f>
        <v>0.51657939159999999</v>
      </c>
      <c r="L12" s="381"/>
      <c r="M12" s="337" t="s">
        <v>1135</v>
      </c>
      <c r="N12" s="337"/>
      <c r="O12" s="1562">
        <v>0.35</v>
      </c>
      <c r="P12" s="213"/>
      <c r="Q12" s="213"/>
    </row>
    <row r="13" spans="1:18" s="382" customFormat="1" ht="12.75" x14ac:dyDescent="0.2">
      <c r="A13" s="213"/>
      <c r="B13" s="377"/>
      <c r="C13" s="2240" t="s">
        <v>1314</v>
      </c>
      <c r="D13" s="2241"/>
      <c r="E13" s="213"/>
      <c r="F13" s="383" t="s">
        <v>787</v>
      </c>
      <c r="G13" s="378"/>
      <c r="H13" s="1551">
        <f>SUM('Acct Summary 7-8'!C8+'Acct Summary 7-8'!D8+'Acct Summary 7-8'!F8+'Acct Summary 7-8'!I8)+H14</f>
        <v>19932396</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-903075</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t="str">
        <f>IF(K17&gt;1.2,"1",IF(K17&gt;1.1,"2",IF(K17&gt;1,"3",4)))</f>
        <v>2</v>
      </c>
      <c r="P16" s="211"/>
      <c r="R16" s="361"/>
    </row>
    <row r="17" spans="1:18" s="382" customFormat="1" ht="11.25" x14ac:dyDescent="0.2">
      <c r="A17" s="213"/>
      <c r="B17" s="377"/>
      <c r="C17" s="213" t="s">
        <v>791</v>
      </c>
      <c r="D17" s="213"/>
      <c r="E17" s="213"/>
      <c r="F17" s="213" t="s">
        <v>440</v>
      </c>
      <c r="G17" s="378"/>
      <c r="H17" s="1551">
        <f>SUM('Acct Summary 7-8'!C17+'Acct Summary 7-8'!D17+'Acct Summary 7-8'!F17)</f>
        <v>22345621</v>
      </c>
      <c r="I17" s="380"/>
      <c r="J17" s="389"/>
      <c r="K17" s="1559">
        <f>TRUNC((H17/H18*100000),5)/100000</f>
        <v>1.1210704923999999</v>
      </c>
      <c r="L17" s="381"/>
      <c r="M17" s="390" t="s">
        <v>1162</v>
      </c>
      <c r="O17" s="1565" t="str">
        <f>IF(AND(O16="2", J20 &gt; 2),"1",IF(AND(O16 = "1", J20 &gt; 2),"2",IF(AND(O16="1", J20 &gt;1),"1","0")))</f>
        <v>1</v>
      </c>
      <c r="P17" s="213"/>
    </row>
    <row r="18" spans="1:18" s="382" customFormat="1" ht="11.25" x14ac:dyDescent="0.2">
      <c r="A18" s="213"/>
      <c r="B18" s="377"/>
      <c r="C18" s="2240" t="s">
        <v>1307</v>
      </c>
      <c r="D18" s="2241"/>
      <c r="E18" s="213"/>
      <c r="F18" s="391" t="s">
        <v>788</v>
      </c>
      <c r="G18" s="378"/>
      <c r="H18" s="1551">
        <f>SUM('Acct Summary 7-8'!C8+'Acct Summary 7-8'!D8+'Acct Summary 7-8'!F8+'Acct Summary 7-8'!I8)+H19</f>
        <v>19932396</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-903075</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f>IF(K17&lt;=1,"0",TRUNC(((K12-0.1)/(K17-1)*100),5)/100)</f>
        <v>3.4408003000000003</v>
      </c>
      <c r="K20" s="1559">
        <f>IF(K17&lt;=1,"0",IF(AND(O16="2", J20 &gt; 2),TRUNC(((K12-0.1)/(K17-1)*100),5)/100,IF(AND(O16 = "1", J20 &gt; 2),TRUNC(((K12-0.1)/(K17-1)*100),5)/100,IF(AND(O16="1", J20 &gt;1),TRUNC(((K12-0.1)/(K17-1)*100),5)/100,""))))</f>
        <v>3.4408003000000003</v>
      </c>
      <c r="L20" s="213"/>
      <c r="M20" s="337" t="s">
        <v>1136</v>
      </c>
      <c r="N20" s="337"/>
      <c r="O20" s="1563">
        <f>(O16+O17)*O18</f>
        <v>1.0499999999999998</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4</v>
      </c>
      <c r="P23" s="211"/>
      <c r="R23" s="361"/>
    </row>
    <row r="24" spans="1:18" s="382" customFormat="1" ht="11.25" x14ac:dyDescent="0.2">
      <c r="A24" s="213"/>
      <c r="B24" s="377"/>
      <c r="C24" s="2237" t="s">
        <v>1397</v>
      </c>
      <c r="D24" s="2237"/>
      <c r="E24" s="213"/>
      <c r="F24" s="213" t="s">
        <v>441</v>
      </c>
      <c r="G24" s="378"/>
      <c r="H24" s="1551">
        <f>SUM('Assets-Liab 5-6'!C4+'Assets-Liab 5-6'!D4+'Assets-Liab 5-6'!F4+'Assets-Liab 5-6'!I4+'Assets-Liab 5-6'!C5+'Assets-Liab 5-6'!D5+'Assets-Liab 5-6'!F5+'Assets-Liab 5-6'!I5)</f>
        <v>11209684</v>
      </c>
      <c r="I24" s="394"/>
      <c r="J24" s="394"/>
      <c r="K24" s="1555">
        <f>TRUNC(((H24/H25*100000)/100000),2)</f>
        <v>180.59</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62071.169439999998</v>
      </c>
      <c r="I25" s="396"/>
      <c r="J25" s="396"/>
      <c r="K25" s="1558"/>
      <c r="L25" s="213"/>
      <c r="M25" s="337" t="s">
        <v>1136</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1892</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16085498.270509999</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f>IF(K32&gt;=75,"4",IF(K32&gt;=50,"3",IF(K32&gt;=25,"2",1)))</f>
        <v>1</v>
      </c>
      <c r="P31" s="211"/>
    </row>
    <row r="32" spans="1:18" s="382" customFormat="1" ht="11.25" x14ac:dyDescent="0.2">
      <c r="A32" s="213"/>
      <c r="B32" s="377"/>
      <c r="C32" s="213" t="s">
        <v>841</v>
      </c>
      <c r="D32" s="213"/>
      <c r="E32" s="213"/>
      <c r="F32" s="213"/>
      <c r="G32" s="378"/>
      <c r="H32" s="1551">
        <f>'FP Info 3'!H37</f>
        <v>38250408</v>
      </c>
      <c r="I32" s="392"/>
      <c r="J32" s="392"/>
      <c r="K32" s="1555">
        <f>TRUNC(100-((((H32/H33*100))*100)/100),2)</f>
        <v>17.45</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46336549.938000001</v>
      </c>
      <c r="I33" s="392"/>
      <c r="J33" s="392"/>
      <c r="K33" s="379"/>
      <c r="L33" s="213"/>
      <c r="M33" s="401" t="s">
        <v>1136</v>
      </c>
      <c r="N33" s="401"/>
      <c r="O33" s="1568">
        <f>(O31*O32)</f>
        <v>0.1</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3.3499999999999996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K39" activeCellId="1" sqref="H39 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45"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46"/>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47" t="s">
        <v>966</v>
      </c>
      <c r="B3" s="2248"/>
      <c r="C3" s="1306"/>
      <c r="D3" s="1307"/>
      <c r="E3" s="1307"/>
      <c r="F3" s="1307"/>
      <c r="G3" s="1307"/>
      <c r="H3" s="1307"/>
      <c r="I3" s="1307"/>
      <c r="J3" s="1307"/>
      <c r="K3" s="1307"/>
      <c r="L3" s="1307"/>
      <c r="M3" s="1308"/>
      <c r="N3" s="1309"/>
    </row>
    <row r="4" spans="1:14" ht="13.5" customHeight="1" x14ac:dyDescent="0.2">
      <c r="A4" s="427" t="s">
        <v>1634</v>
      </c>
      <c r="B4" s="428"/>
      <c r="C4" s="1572">
        <f>_xll.cw_map("BR","10-&gt;1110")</f>
        <v>8049270</v>
      </c>
      <c r="D4" s="1572">
        <f>_xll.cw_map("BR","20-&gt;1110")</f>
        <v>482459</v>
      </c>
      <c r="E4" s="1572">
        <f>_xll.cw_map("BR","30-&gt;1110")</f>
        <v>1144326</v>
      </c>
      <c r="F4" s="1572">
        <f>_xll.cw_map("BR","40-&gt;1110")</f>
        <v>430906</v>
      </c>
      <c r="G4" s="1572">
        <f>_xll.cw_map("BR","50-&gt;1110")</f>
        <v>228788</v>
      </c>
      <c r="H4" s="1572">
        <f>_xll.cw_map("BR","60-&gt;1110")</f>
        <v>754654</v>
      </c>
      <c r="I4" s="1572">
        <f>_xll.cw_map("BR","70-&gt;1110")</f>
        <v>2247049</v>
      </c>
      <c r="J4" s="1572">
        <f>_xll.cw_map("BR","80-&gt;1110")</f>
        <v>10</v>
      </c>
      <c r="K4" s="1572">
        <f>_xll.cw_map("BR","90-&gt;1110")</f>
        <v>139</v>
      </c>
      <c r="L4" s="1573">
        <v>14432</v>
      </c>
      <c r="M4" s="1575"/>
      <c r="N4" s="1576"/>
    </row>
    <row r="5" spans="1:14" x14ac:dyDescent="0.2">
      <c r="A5" s="427" t="s">
        <v>984</v>
      </c>
      <c r="B5" s="429">
        <v>120</v>
      </c>
      <c r="C5" s="1572">
        <f>_xll.cw_map("BR","10-&gt;1115")</f>
        <v>0</v>
      </c>
      <c r="D5" s="1572">
        <f>_xll.cw_map("BR","20-&gt;1115")</f>
        <v>0</v>
      </c>
      <c r="E5" s="1572">
        <f>_xll.cw_map("BR","30-&gt;1115")</f>
        <v>0</v>
      </c>
      <c r="F5" s="1572">
        <f>_xll.cw_map("BR","40-&gt;1115")</f>
        <v>0</v>
      </c>
      <c r="G5" s="1572">
        <f>_xll.cw_map("BR","50-&gt;1115")</f>
        <v>0</v>
      </c>
      <c r="H5" s="1572">
        <f>_xll.cw_map("BR","60-&gt;1115")</f>
        <v>0</v>
      </c>
      <c r="I5" s="1572">
        <f>_xll.cw_map("BR","70-&gt;1115")</f>
        <v>0</v>
      </c>
      <c r="J5" s="1572">
        <f>_xll.cw_map("BR","80-&gt;1115")</f>
        <v>0</v>
      </c>
      <c r="K5" s="1572">
        <f>_xll.cw_map("BR","90-&gt;1115")</f>
        <v>0</v>
      </c>
      <c r="L5" s="1578">
        <v>0</v>
      </c>
      <c r="M5" s="1575"/>
      <c r="N5" s="1576"/>
    </row>
    <row r="6" spans="1:14" ht="13.5" customHeight="1" x14ac:dyDescent="0.2">
      <c r="A6" s="430" t="s">
        <v>413</v>
      </c>
      <c r="B6" s="429">
        <v>130</v>
      </c>
      <c r="C6" s="1572">
        <f>_xll.cw_map("BR","10-&gt;1120")</f>
        <v>7403290</v>
      </c>
      <c r="D6" s="1572">
        <f>_xll.cw_map("BR","20-&gt;1120")</f>
        <v>798855</v>
      </c>
      <c r="E6" s="1572">
        <f>_xll.cw_map("BR","30-&gt;1120")</f>
        <v>1431761</v>
      </c>
      <c r="F6" s="1572">
        <f>_xll.cw_map("BR","40-&gt;1120")</f>
        <v>160034</v>
      </c>
      <c r="G6" s="1572">
        <f>_xll.cw_map("BR","50-&gt;1120")</f>
        <v>160362</v>
      </c>
      <c r="H6" s="1572">
        <f>_xll.cw_map("BR","60-&gt;1120")</f>
        <v>0</v>
      </c>
      <c r="I6" s="1572">
        <f>_xll.cw_map("BR","70-&gt;1120")</f>
        <v>32204</v>
      </c>
      <c r="J6" s="1572">
        <f>_xll.cw_map("BR","80-&gt;1120")</f>
        <v>0</v>
      </c>
      <c r="K6" s="1572">
        <f>_xll.cw_map("BR","90-&gt;1120")</f>
        <v>0</v>
      </c>
      <c r="L6" s="1580"/>
      <c r="M6" s="1575"/>
      <c r="N6" s="1576"/>
    </row>
    <row r="7" spans="1:14" ht="13.5" customHeight="1" x14ac:dyDescent="0.2">
      <c r="A7" s="430" t="s">
        <v>414</v>
      </c>
      <c r="B7" s="429">
        <v>140</v>
      </c>
      <c r="C7" s="1572">
        <f>_xll.cw_map("BR","10-&gt;1126")</f>
        <v>0</v>
      </c>
      <c r="D7" s="1572">
        <f>_xll.cw_map("BR","20-&gt;1126")</f>
        <v>0</v>
      </c>
      <c r="E7" s="1572">
        <f>_xll.cw_map("BR","30-&gt;1126")</f>
        <v>0</v>
      </c>
      <c r="F7" s="1572">
        <f>_xll.cw_map("BR","40-&gt;1126")</f>
        <v>0</v>
      </c>
      <c r="G7" s="1572">
        <f>_xll.cw_map("BR","50-&gt;1126")</f>
        <v>0</v>
      </c>
      <c r="H7" s="1572">
        <f>_xll.cw_map("BR","60-&gt;1126")</f>
        <v>0</v>
      </c>
      <c r="I7" s="1572">
        <f>_xll.cw_map("BR","70-&gt;1126")</f>
        <v>0</v>
      </c>
      <c r="J7" s="1572">
        <f>_xll.cw_map("BR","80-&gt;1126")</f>
        <v>0</v>
      </c>
      <c r="K7" s="1572">
        <f>_xll.cw_map("BR","90-&gt;1126")</f>
        <v>0</v>
      </c>
      <c r="L7" s="1582"/>
      <c r="M7" s="1575"/>
      <c r="N7" s="1576"/>
    </row>
    <row r="8" spans="1:14" ht="13.5" customHeight="1" x14ac:dyDescent="0.2">
      <c r="A8" s="430" t="s">
        <v>266</v>
      </c>
      <c r="B8" s="429">
        <v>150</v>
      </c>
      <c r="C8" s="1581">
        <f>_xll.cw_map("BR","10-&gt;1125")</f>
        <v>189443</v>
      </c>
      <c r="D8" s="1581">
        <f>_xll.cw_map("BR","20-&gt;1125")</f>
        <v>0</v>
      </c>
      <c r="E8" s="1581">
        <f>_xll.cw_map("BR","30-&gt;1125")</f>
        <v>0</v>
      </c>
      <c r="F8" s="1581">
        <f>_xll.cw_map("BR","40-&gt;1125")</f>
        <v>90700</v>
      </c>
      <c r="G8" s="1581">
        <f>_xll.cw_map("BR","50-&gt;1125")</f>
        <v>0</v>
      </c>
      <c r="H8" s="1581">
        <f>_xll.cw_map("BR","60-&gt;1125")</f>
        <v>0</v>
      </c>
      <c r="I8" s="1581">
        <f>_xll.cw_map("BR","70-&gt;1125")</f>
        <v>0</v>
      </c>
      <c r="J8" s="1581">
        <f>_xll.cw_map("BR","80-&gt;1125")</f>
        <v>0</v>
      </c>
      <c r="K8" s="1581">
        <f>_xll.cw_map("BR","90-&gt;1125")</f>
        <v>0</v>
      </c>
      <c r="L8" s="1585"/>
      <c r="M8" s="1575"/>
      <c r="N8" s="1576"/>
    </row>
    <row r="9" spans="1:14" ht="13.5" customHeight="1" x14ac:dyDescent="0.2">
      <c r="A9" s="430" t="s">
        <v>267</v>
      </c>
      <c r="B9" s="429">
        <v>160</v>
      </c>
      <c r="C9" s="1581">
        <f>_xll.cw_map("BR","10-&gt;1127")</f>
        <v>0</v>
      </c>
      <c r="D9" s="1581">
        <f>_xll.cw_map("BR","20-&gt;1127")</f>
        <v>0</v>
      </c>
      <c r="E9" s="1581">
        <f>_xll.cw_map("BR","30-&gt;1127")</f>
        <v>0</v>
      </c>
      <c r="F9" s="1581">
        <f>_xll.cw_map("BR","40-&gt;1127")</f>
        <v>0</v>
      </c>
      <c r="G9" s="1581">
        <f>_xll.cw_map("BR","50-&gt;1127")</f>
        <v>0</v>
      </c>
      <c r="H9" s="1581">
        <f>_xll.cw_map("BR","60-&gt;1127")</f>
        <v>0</v>
      </c>
      <c r="I9" s="1581">
        <f>_xll.cw_map("BR","70-&gt;1127")</f>
        <v>0</v>
      </c>
      <c r="J9" s="1581">
        <f>_xll.cw_map("BR","80-&gt;1127")</f>
        <v>0</v>
      </c>
      <c r="K9" s="1581">
        <f>_xll.cw_map("BR","90-&gt;1127")</f>
        <v>0</v>
      </c>
      <c r="L9" s="1574">
        <v>0</v>
      </c>
      <c r="M9" s="1575"/>
      <c r="N9" s="1576"/>
    </row>
    <row r="10" spans="1:14" ht="13.5" customHeight="1" x14ac:dyDescent="0.2">
      <c r="A10" s="430" t="s">
        <v>983</v>
      </c>
      <c r="B10" s="429">
        <v>170</v>
      </c>
      <c r="C10" s="1572">
        <f>_xll.cw_map("BR","10-&gt;1130")</f>
        <v>0</v>
      </c>
      <c r="D10" s="1572">
        <f>_xll.cw_map("BR","20-&gt;1130")</f>
        <v>0</v>
      </c>
      <c r="E10" s="1572">
        <f>_xll.cw_map("BR","30-&gt;1130")</f>
        <v>0</v>
      </c>
      <c r="F10" s="1572">
        <f>_xll.cw_map("BR","40-&gt;1130")</f>
        <v>0</v>
      </c>
      <c r="G10" s="1572">
        <f>_xll.cw_map("BR","50-&gt;1130")</f>
        <v>0</v>
      </c>
      <c r="H10" s="1572">
        <f>_xll.cw_map("BR","60-&gt;1130")</f>
        <v>0</v>
      </c>
      <c r="I10" s="1572">
        <f>_xll.cw_map("BR","70-&gt;1130")</f>
        <v>0</v>
      </c>
      <c r="J10" s="1572">
        <f>_xll.cw_map("BR","80-&gt;1130")</f>
        <v>0</v>
      </c>
      <c r="K10" s="1572">
        <f>_xll.cw_map("BR","90-&gt;1130")</f>
        <v>0</v>
      </c>
      <c r="L10" s="1586">
        <v>0</v>
      </c>
      <c r="M10" s="1576"/>
      <c r="N10" s="1576"/>
    </row>
    <row r="11" spans="1:14" ht="13.5" customHeight="1" x14ac:dyDescent="0.2">
      <c r="A11" s="430" t="s">
        <v>268</v>
      </c>
      <c r="B11" s="429">
        <v>180</v>
      </c>
      <c r="C11" s="1581">
        <f>_xll.cw_map("BR","10-&gt;1145")</f>
        <v>0</v>
      </c>
      <c r="D11" s="1581">
        <f>_xll.cw_map("BR","20-&gt;1145")</f>
        <v>0</v>
      </c>
      <c r="E11" s="1581">
        <f>_xll.cw_map("BR","30-&gt;1145")</f>
        <v>0</v>
      </c>
      <c r="F11" s="1581">
        <f>_xll.cw_map("BR","40-&gt;1145")</f>
        <v>0</v>
      </c>
      <c r="G11" s="1581">
        <f>_xll.cw_map("BR","50-&gt;1145")</f>
        <v>0</v>
      </c>
      <c r="H11" s="1581">
        <f>_xll.cw_map("BR","60-&gt;1145")</f>
        <v>0</v>
      </c>
      <c r="I11" s="1581">
        <f>_xll.cw_map("BR","70-&gt;1145")</f>
        <v>0</v>
      </c>
      <c r="J11" s="1581">
        <f>_xll.cw_map("BR","80-&gt;1145")</f>
        <v>0</v>
      </c>
      <c r="K11" s="1581">
        <f>_xll.cw_map("BR","90-&gt;1145")</f>
        <v>0</v>
      </c>
      <c r="L11" s="1574">
        <v>0</v>
      </c>
      <c r="M11" s="1576"/>
      <c r="N11" s="1576"/>
    </row>
    <row r="12" spans="1:14" ht="13.5" customHeight="1" x14ac:dyDescent="0.2">
      <c r="A12" s="430" t="s">
        <v>415</v>
      </c>
      <c r="B12" s="429">
        <v>190</v>
      </c>
      <c r="C12" s="1572">
        <f>_xll.cw_map("BR","10-&gt;1170")</f>
        <v>0</v>
      </c>
      <c r="D12" s="1572">
        <f>_xll.cw_map("BR","20-&gt;1170")</f>
        <v>0</v>
      </c>
      <c r="E12" s="1572">
        <f>_xll.cw_map("BR","30-&gt;1170")</f>
        <v>0</v>
      </c>
      <c r="F12" s="1572">
        <f>_xll.cw_map("BR","40-&gt;1170")</f>
        <v>0</v>
      </c>
      <c r="G12" s="1572">
        <f>_xll.cw_map("BR","50-&gt;1170")</f>
        <v>0</v>
      </c>
      <c r="H12" s="1572">
        <f>_xll.cw_map("BR","60-&gt;1170")</f>
        <v>0</v>
      </c>
      <c r="I12" s="1572">
        <f>_xll.cw_map("BR","70-&gt;1170")</f>
        <v>0</v>
      </c>
      <c r="J12" s="1572">
        <f>_xll.cw_map("BR","80-&gt;1170")</f>
        <v>0</v>
      </c>
      <c r="K12" s="1572">
        <f>_xll.cw_map("BR","90-&gt;1170")</f>
        <v>0</v>
      </c>
      <c r="L12" s="1573">
        <v>0</v>
      </c>
      <c r="M12" s="1576"/>
      <c r="N12" s="1576"/>
    </row>
    <row r="13" spans="1:14" ht="13.5" customHeight="1" thickBot="1" x14ac:dyDescent="0.25">
      <c r="A13" s="1426" t="s">
        <v>638</v>
      </c>
      <c r="B13" s="1407"/>
      <c r="C13" s="1587">
        <f>SUM(C4:C12)</f>
        <v>15642003</v>
      </c>
      <c r="D13" s="1587">
        <f t="shared" ref="D13:L13" si="0">SUM(D4:D12)</f>
        <v>1281314</v>
      </c>
      <c r="E13" s="1587">
        <f t="shared" si="0"/>
        <v>2576087</v>
      </c>
      <c r="F13" s="1587">
        <f t="shared" si="0"/>
        <v>681640</v>
      </c>
      <c r="G13" s="1587">
        <f t="shared" si="0"/>
        <v>389150</v>
      </c>
      <c r="H13" s="1587">
        <f t="shared" si="0"/>
        <v>754654</v>
      </c>
      <c r="I13" s="1587">
        <f t="shared" si="0"/>
        <v>2279253</v>
      </c>
      <c r="J13" s="1587">
        <f t="shared" si="0"/>
        <v>10</v>
      </c>
      <c r="K13" s="1587">
        <f t="shared" si="0"/>
        <v>139</v>
      </c>
      <c r="L13" s="1587">
        <f t="shared" si="0"/>
        <v>14432</v>
      </c>
      <c r="M13" s="1575"/>
      <c r="N13" s="1576"/>
    </row>
    <row r="14" spans="1:14" ht="18" customHeight="1" thickTop="1" x14ac:dyDescent="0.2">
      <c r="A14" s="2249" t="s">
        <v>146</v>
      </c>
      <c r="B14" s="2250"/>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379992</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52773750</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368872</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26'!F12+'Cap Outlay Deprec 26'!F13</f>
        <v>3989215</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f>'Cap Outlay Deprec 26'!F15</f>
        <v>0</v>
      </c>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1144326</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6">
        <f>'Short-Term Long-Term Debt 24'!J49</f>
        <v>37106082</v>
      </c>
    </row>
    <row r="23" spans="1:14" ht="13.5" customHeight="1" thickBot="1" x14ac:dyDescent="0.25">
      <c r="A23" s="1426" t="s">
        <v>637</v>
      </c>
      <c r="B23" s="1429"/>
      <c r="C23" s="1575"/>
      <c r="D23" s="1575"/>
      <c r="E23" s="1575"/>
      <c r="F23" s="1575"/>
      <c r="G23" s="1575"/>
      <c r="H23" s="1575"/>
      <c r="I23" s="1575"/>
      <c r="J23" s="1575"/>
      <c r="K23" s="1575"/>
      <c r="L23" s="1575"/>
      <c r="M23" s="1594">
        <f>SUM(M15:M22)</f>
        <v>57511829</v>
      </c>
      <c r="N23" s="1594">
        <f>SUM(N21:N22)</f>
        <v>38250408</v>
      </c>
    </row>
    <row r="24" spans="1:14" ht="18" customHeight="1" thickTop="1" x14ac:dyDescent="0.2">
      <c r="A24" s="2251" t="s">
        <v>593</v>
      </c>
      <c r="B24" s="2252"/>
      <c r="C24" s="1595"/>
      <c r="D24" s="1590"/>
      <c r="E24" s="1590"/>
      <c r="F24" s="1590"/>
      <c r="G24" s="1590"/>
      <c r="H24" s="1590"/>
      <c r="I24" s="1590"/>
      <c r="J24" s="1590"/>
      <c r="K24" s="1590"/>
      <c r="L24" s="1590"/>
      <c r="M24" s="1589"/>
      <c r="N24" s="1596"/>
    </row>
    <row r="25" spans="1:14" x14ac:dyDescent="0.2">
      <c r="A25" s="430" t="s">
        <v>639</v>
      </c>
      <c r="B25" s="429">
        <v>410</v>
      </c>
      <c r="C25" s="1684">
        <f>-_xll.cw_map("BR","10-&gt;2165")</f>
        <v>0</v>
      </c>
      <c r="D25" s="1684">
        <f>-_xll.cw_map("BR","20-&gt;2165")</f>
        <v>0</v>
      </c>
      <c r="E25" s="1684">
        <f>-_xll.cw_map("BR","30-&gt;2165")</f>
        <v>0</v>
      </c>
      <c r="F25" s="1684">
        <f>-_xll.cw_map("BR","40-&gt;2165")</f>
        <v>0</v>
      </c>
      <c r="G25" s="1684">
        <f>-_xll.cw_map("BR","50-&gt;2165")</f>
        <v>0</v>
      </c>
      <c r="H25" s="1684">
        <f>-_xll.cw_map("BR","60-&gt;2165")</f>
        <v>0</v>
      </c>
      <c r="I25" s="1575"/>
      <c r="J25" s="1684">
        <f>-_xll.cw_map("BR","80-&gt;2165")</f>
        <v>0</v>
      </c>
      <c r="K25" s="1684">
        <f>-_xll.cw_map("BR","90-&gt;2165")</f>
        <v>0</v>
      </c>
      <c r="L25" s="1575"/>
      <c r="M25" s="1575"/>
      <c r="N25" s="1575"/>
    </row>
    <row r="26" spans="1:14" x14ac:dyDescent="0.2">
      <c r="A26" s="430" t="s">
        <v>640</v>
      </c>
      <c r="B26" s="429">
        <v>420</v>
      </c>
      <c r="C26" s="1573">
        <f>-_xll.cw_map("BR","10-&gt;2120")</f>
        <v>0</v>
      </c>
      <c r="D26" s="1573">
        <f>-_xll.cw_map("BR","20-&gt;2120")</f>
        <v>0</v>
      </c>
      <c r="E26" s="1573">
        <f>-_xll.cw_map("BR","30-&gt;2120")</f>
        <v>0</v>
      </c>
      <c r="F26" s="1573">
        <f>-_xll.cw_map("BR","40-&gt;2120")</f>
        <v>0</v>
      </c>
      <c r="G26" s="1573">
        <f>-_xll.cw_map("BR","50-&gt;2120")</f>
        <v>0</v>
      </c>
      <c r="H26" s="1573">
        <f>-_xll.cw_map("BR","60-&gt;2120")</f>
        <v>0</v>
      </c>
      <c r="I26" s="1573">
        <f>-_xll.cw_map("BR","70-&gt;2120")</f>
        <v>0</v>
      </c>
      <c r="J26" s="1573">
        <f>-_xll.cw_map("BR","80-&gt;2120")</f>
        <v>0</v>
      </c>
      <c r="K26" s="1573">
        <f>-_xll.cw_map("BR","90-&gt;2120")</f>
        <v>0</v>
      </c>
      <c r="L26" s="1575"/>
      <c r="M26" s="1575"/>
      <c r="N26" s="1575"/>
    </row>
    <row r="27" spans="1:14" ht="13.5" customHeight="1" x14ac:dyDescent="0.2">
      <c r="A27" s="430" t="s">
        <v>641</v>
      </c>
      <c r="B27" s="429">
        <v>430</v>
      </c>
      <c r="C27" s="1573">
        <f>-_xll.cw_map("BR","10-&gt;2140")</f>
        <v>146926</v>
      </c>
      <c r="D27" s="1573">
        <f>-_xll.cw_map("BR","20-&gt;2140")</f>
        <v>30059</v>
      </c>
      <c r="E27" s="1573">
        <f>-_xll.cw_map("BR","30-&gt;2140")</f>
        <v>0</v>
      </c>
      <c r="F27" s="1573">
        <f>-_xll.cw_map("BR","40-&gt;2140")</f>
        <v>5061</v>
      </c>
      <c r="G27" s="1573">
        <f>-_xll.cw_map("BR","50-&gt;2140")</f>
        <v>0</v>
      </c>
      <c r="H27" s="1573">
        <f>-_xll.cw_map("BR","60-&gt;2140")</f>
        <v>751215</v>
      </c>
      <c r="I27" s="1573">
        <f>-_xll.cw_map("BR","70-&gt;2140")</f>
        <v>0</v>
      </c>
      <c r="J27" s="1573">
        <f>-_xll.cw_map("BR","80-&gt;2140")</f>
        <v>0</v>
      </c>
      <c r="K27" s="1573">
        <f>-_xll.cw_map("BR","90-&gt;2140")</f>
        <v>0</v>
      </c>
      <c r="L27" s="1575"/>
      <c r="M27" s="1575"/>
      <c r="N27" s="1575"/>
    </row>
    <row r="28" spans="1:14" ht="13.5" customHeight="1" x14ac:dyDescent="0.2">
      <c r="A28" s="430" t="s">
        <v>642</v>
      </c>
      <c r="B28" s="429">
        <v>440</v>
      </c>
      <c r="C28" s="1574">
        <f>-_xll.cw_map("BR","10-&gt;2170")</f>
        <v>0</v>
      </c>
      <c r="D28" s="1574">
        <f>-_xll.cw_map("BR","20-&gt;2170")</f>
        <v>0</v>
      </c>
      <c r="E28" s="1574">
        <f>-_xll.cw_map("BR","30-&gt;2170")</f>
        <v>0</v>
      </c>
      <c r="F28" s="1574">
        <f>-_xll.cw_map("BR","40-&gt;2170")</f>
        <v>0</v>
      </c>
      <c r="G28" s="1574">
        <f>-_xll.cw_map("BR","50-&gt;2170")</f>
        <v>0</v>
      </c>
      <c r="H28" s="1574">
        <f>-_xll.cw_map("BR","60-&gt;2170")</f>
        <v>0</v>
      </c>
      <c r="I28" s="1574">
        <f>-_xll.cw_map("BR","70-&gt;2170")</f>
        <v>0</v>
      </c>
      <c r="J28" s="1574">
        <f>-_xll.cw_map("BR","80-&gt;2170")</f>
        <v>0</v>
      </c>
      <c r="K28" s="1574">
        <f>-_xll.cw_map("BR","90-&gt;2170")</f>
        <v>0</v>
      </c>
      <c r="L28" s="1575"/>
      <c r="M28" s="1575"/>
      <c r="N28" s="1575"/>
    </row>
    <row r="29" spans="1:14" ht="13.5" customHeight="1" x14ac:dyDescent="0.2">
      <c r="A29" s="430" t="s">
        <v>643</v>
      </c>
      <c r="B29" s="429">
        <v>460</v>
      </c>
      <c r="C29" s="1574">
        <f>-_xll.cw_map("BR","10-&gt;2175")</f>
        <v>0</v>
      </c>
      <c r="D29" s="1574">
        <f>-_xll.cw_map("BR","20-&gt;2175")</f>
        <v>0</v>
      </c>
      <c r="E29" s="1574">
        <f>-_xll.cw_map("BR","30-&gt;2175")</f>
        <v>0</v>
      </c>
      <c r="F29" s="1574">
        <f>-_xll.cw_map("BR","40-&gt;2175")</f>
        <v>0</v>
      </c>
      <c r="G29" s="1574">
        <f>-_xll.cw_map("BR","50-&gt;2175")</f>
        <v>0</v>
      </c>
      <c r="H29" s="1574">
        <f>-_xll.cw_map("BR","60-&gt;2175")</f>
        <v>0</v>
      </c>
      <c r="I29" s="1574">
        <f>-_xll.cw_map("BR","70-&gt;2175")</f>
        <v>0</v>
      </c>
      <c r="J29" s="1574">
        <f>-_xll.cw_map("BR","80-&gt;2175")</f>
        <v>0</v>
      </c>
      <c r="K29" s="1574">
        <f>-_xll.cw_map("BR","90-&gt;2175")</f>
        <v>0</v>
      </c>
      <c r="L29" s="1575"/>
      <c r="M29" s="1575"/>
      <c r="N29" s="1575"/>
    </row>
    <row r="30" spans="1:14" ht="13.5" customHeight="1" x14ac:dyDescent="0.2">
      <c r="A30" s="430" t="s">
        <v>644</v>
      </c>
      <c r="B30" s="429">
        <v>470</v>
      </c>
      <c r="C30" s="1573">
        <f>-_xll.cw_map("BR","10-&gt;2130.110")</f>
        <v>0</v>
      </c>
      <c r="D30" s="1573">
        <f>-_xll.cw_map("BR","20-&gt;2130.110")</f>
        <v>0</v>
      </c>
      <c r="E30" s="1573">
        <f>-_xll.cw_map("BR","30-&gt;2130.110")</f>
        <v>0</v>
      </c>
      <c r="F30" s="1573">
        <f>-_xll.cw_map("BR","40-&gt;2130.110")</f>
        <v>0</v>
      </c>
      <c r="G30" s="1573">
        <f>-_xll.cw_map("BR","50-&gt;2130.110")</f>
        <v>0</v>
      </c>
      <c r="H30" s="1573">
        <f>-_xll.cw_map("BR","60-&gt;2130.110")</f>
        <v>0</v>
      </c>
      <c r="I30" s="1573">
        <f>-_xll.cw_map("BR","70-&gt;2130.110")</f>
        <v>0</v>
      </c>
      <c r="J30" s="1573">
        <f>-_xll.cw_map("BR","80-&gt;2130.110")</f>
        <v>0</v>
      </c>
      <c r="K30" s="1573">
        <f>-_xll.cw_map("BR","90-&gt;2130.110")</f>
        <v>0</v>
      </c>
      <c r="L30" s="1575"/>
      <c r="M30" s="1575"/>
      <c r="N30" s="1575"/>
    </row>
    <row r="31" spans="1:14" ht="13.5" customHeight="1" x14ac:dyDescent="0.2">
      <c r="A31" s="430" t="s">
        <v>645</v>
      </c>
      <c r="B31" s="429">
        <v>480</v>
      </c>
      <c r="C31" s="1573">
        <f>-_xll.cw_map("BR","10-&gt;2130.120")</f>
        <v>814221</v>
      </c>
      <c r="D31" s="1573">
        <f>-_xll.cw_map("BR","20-&gt;2130.120")</f>
        <v>2425</v>
      </c>
      <c r="E31" s="1573">
        <f>-_xll.cw_map("BR","30-&gt;2130.120")</f>
        <v>0</v>
      </c>
      <c r="F31" s="1573">
        <f>-_xll.cw_map("BR","40-&gt;2130.120")</f>
        <v>11472</v>
      </c>
      <c r="G31" s="1573">
        <f>-_xll.cw_map("BR","50-&gt;2130.120")</f>
        <v>22434</v>
      </c>
      <c r="H31" s="1573">
        <f>-_xll.cw_map("BR","60-&gt;2130.120")</f>
        <v>0</v>
      </c>
      <c r="I31" s="1573">
        <f>-_xll.cw_map("BR","70-&gt;2130.120")</f>
        <v>0</v>
      </c>
      <c r="J31" s="1573">
        <f>-_xll.cw_map("BR","80-&gt;2130.120")</f>
        <v>0</v>
      </c>
      <c r="K31" s="1573">
        <f>-_xll.cw_map("BR","90-&gt;2130.120")</f>
        <v>0</v>
      </c>
      <c r="L31" s="1575"/>
      <c r="M31" s="1575"/>
      <c r="N31" s="1575"/>
    </row>
    <row r="32" spans="1:14" ht="13.5" customHeight="1" x14ac:dyDescent="0.2">
      <c r="A32" s="434" t="s">
        <v>646</v>
      </c>
      <c r="B32" s="435">
        <v>490</v>
      </c>
      <c r="C32" s="1573">
        <f>-_xll.cw_map("BR","10-&gt;2180")</f>
        <v>7514344</v>
      </c>
      <c r="D32" s="1573">
        <f>-_xll.cw_map("BR","20-&gt;2180")</f>
        <v>798855</v>
      </c>
      <c r="E32" s="1573">
        <f>-_xll.cw_map("BR","30-&gt;2180")</f>
        <v>1431761</v>
      </c>
      <c r="F32" s="1573">
        <f>-_xll.cw_map("BR","40-&gt;2180")</f>
        <v>231978</v>
      </c>
      <c r="G32" s="1573">
        <f>-_xll.cw_map("BR","50-&gt;2180")</f>
        <v>160362</v>
      </c>
      <c r="H32" s="1573">
        <f>-_xll.cw_map("BR","60-&gt;2180")</f>
        <v>0</v>
      </c>
      <c r="I32" s="1573">
        <f>-_xll.cw_map("BR","70-&gt;2180")</f>
        <v>32204</v>
      </c>
      <c r="J32" s="1573">
        <f>-_xll.cw_map("BR","80-&gt;2180")</f>
        <v>0</v>
      </c>
      <c r="K32" s="1573">
        <f>-_xll.cw_map("BR","90-&gt;2180")</f>
        <v>0</v>
      </c>
      <c r="L32" s="1575"/>
      <c r="M32" s="1575"/>
      <c r="N32" s="1575"/>
    </row>
    <row r="33" spans="1:14" ht="13.5" customHeight="1" x14ac:dyDescent="0.2">
      <c r="A33" s="436" t="s">
        <v>299</v>
      </c>
      <c r="B33" s="435">
        <v>493</v>
      </c>
      <c r="C33" s="1574">
        <f>-_xll.cw_map("BR","10-&gt;2150")</f>
        <v>0</v>
      </c>
      <c r="D33" s="1574">
        <f>-_xll.cw_map("BR","20-&gt;2150")</f>
        <v>0</v>
      </c>
      <c r="E33" s="1574">
        <f>_xll.cw_map("BR","30-&gt;2150")</f>
        <v>0</v>
      </c>
      <c r="F33" s="1574">
        <f>_xll.cw_map("BR","40-&gt;2150")</f>
        <v>0</v>
      </c>
      <c r="G33" s="1574">
        <f>_xll.cw_map("BR","50-&gt;2150")</f>
        <v>0</v>
      </c>
      <c r="H33" s="1574">
        <f>_xll.cw_map("BR","60-&gt;2150")</f>
        <v>0</v>
      </c>
      <c r="I33" s="1574">
        <f>_xll.cw_map("BR","70-&gt;2150")</f>
        <v>0</v>
      </c>
      <c r="J33" s="1574">
        <f>_xll.cw_map("BR","80-&gt;2150")</f>
        <v>0</v>
      </c>
      <c r="K33" s="1574">
        <f>_xll.cw_map("BR","90-&gt;2150")</f>
        <v>0</v>
      </c>
      <c r="L33" s="1574">
        <f>L4</f>
        <v>14432</v>
      </c>
      <c r="M33" s="1575"/>
      <c r="N33" s="1576"/>
    </row>
    <row r="34" spans="1:14" ht="13.5" customHeight="1" thickBot="1" x14ac:dyDescent="0.25">
      <c r="A34" s="1427" t="s">
        <v>648</v>
      </c>
      <c r="B34" s="1428"/>
      <c r="C34" s="1599">
        <f>SUM(C25:C33)</f>
        <v>8475491</v>
      </c>
      <c r="D34" s="1599">
        <f t="shared" ref="D34:K34" si="1">SUM(D25:D33)</f>
        <v>831339</v>
      </c>
      <c r="E34" s="1599">
        <f t="shared" si="1"/>
        <v>1431761</v>
      </c>
      <c r="F34" s="1599">
        <f t="shared" si="1"/>
        <v>248511</v>
      </c>
      <c r="G34" s="1599">
        <f t="shared" si="1"/>
        <v>182796</v>
      </c>
      <c r="H34" s="1599">
        <f t="shared" si="1"/>
        <v>751215</v>
      </c>
      <c r="I34" s="1599">
        <f t="shared" si="1"/>
        <v>32204</v>
      </c>
      <c r="J34" s="1599">
        <f t="shared" si="1"/>
        <v>0</v>
      </c>
      <c r="K34" s="1599">
        <f t="shared" si="1"/>
        <v>0</v>
      </c>
      <c r="L34" s="1600">
        <f>SUM(L33)</f>
        <v>14432</v>
      </c>
      <c r="M34" s="1575"/>
      <c r="N34" s="1585"/>
    </row>
    <row r="35" spans="1:14" ht="18" customHeight="1" thickTop="1" x14ac:dyDescent="0.2">
      <c r="A35" s="2253" t="s">
        <v>525</v>
      </c>
      <c r="B35" s="2254"/>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38250408</v>
      </c>
    </row>
    <row r="37" spans="1:14" ht="13.5" thickBot="1" x14ac:dyDescent="0.25">
      <c r="A37" s="1426" t="s">
        <v>647</v>
      </c>
      <c r="B37" s="1429"/>
      <c r="C37" s="1582"/>
      <c r="D37" s="1582"/>
      <c r="E37" s="1582"/>
      <c r="F37" s="1582"/>
      <c r="G37" s="1582"/>
      <c r="H37" s="1582"/>
      <c r="I37" s="1582"/>
      <c r="J37" s="1582"/>
      <c r="K37" s="1582"/>
      <c r="L37" s="1585"/>
      <c r="M37" s="1575"/>
      <c r="N37" s="1594">
        <f>SUM(N36:N36)</f>
        <v>38250408</v>
      </c>
    </row>
    <row r="38" spans="1:14" s="307" customFormat="1" ht="13.5" customHeight="1" thickTop="1" x14ac:dyDescent="0.2">
      <c r="A38" s="438" t="s">
        <v>416</v>
      </c>
      <c r="B38" s="432">
        <v>714</v>
      </c>
      <c r="C38" s="1574">
        <f>_xll.cw_map("BR","10-&gt;3100")</f>
        <v>0</v>
      </c>
      <c r="D38" s="1574">
        <f>_xll.cw_map("BR","20-&gt;3100")</f>
        <v>0</v>
      </c>
      <c r="E38" s="1574">
        <f>_xll.cw_map("BR","30-&gt;3100")</f>
        <v>0</v>
      </c>
      <c r="F38" s="1574">
        <f>_xll.cw_map("BR","40-&gt;3100")</f>
        <v>0</v>
      </c>
      <c r="G38" s="1574">
        <f>_xll.cw_map("BR","50-&gt;3100")</f>
        <v>0</v>
      </c>
      <c r="H38" s="1574">
        <f>_xll.cw_map("BR","60-&gt;3100")</f>
        <v>0</v>
      </c>
      <c r="I38" s="1574">
        <f>_xll.cw_map("BR","70-&gt;3100")</f>
        <v>0</v>
      </c>
      <c r="J38" s="1574">
        <f>_xll.cw_map("BR","80-&gt;3100")</f>
        <v>0</v>
      </c>
      <c r="K38" s="1574">
        <f>_xll.cw_map("BR","90-&gt;3100")</f>
        <v>0</v>
      </c>
      <c r="L38" s="1586"/>
      <c r="M38" s="1603"/>
      <c r="N38" s="1603"/>
    </row>
    <row r="39" spans="1:14" s="307" customFormat="1" ht="13.5" customHeight="1" x14ac:dyDescent="0.2">
      <c r="A39" s="438" t="s">
        <v>338</v>
      </c>
      <c r="B39" s="432">
        <v>730</v>
      </c>
      <c r="C39" s="1573">
        <f>'Acct Summary 7-8'!C81</f>
        <v>7166512</v>
      </c>
      <c r="D39" s="1573">
        <f>'Acct Summary 7-8'!D81</f>
        <v>449975</v>
      </c>
      <c r="E39" s="1573">
        <f>'Acct Summary 7-8'!E81</f>
        <v>1144326</v>
      </c>
      <c r="F39" s="1573">
        <f>'Acct Summary 7-8'!F81</f>
        <v>433129</v>
      </c>
      <c r="G39" s="1573">
        <f>'Acct Summary 7-8'!G81</f>
        <v>206354</v>
      </c>
      <c r="H39" s="1573">
        <f>'Acct Summary 7-8'!H81</f>
        <v>3439</v>
      </c>
      <c r="I39" s="1573">
        <f>'Acct Summary 7-8'!I81</f>
        <v>2247049</v>
      </c>
      <c r="J39" s="1573">
        <f>'Acct Summary 7-8'!J81</f>
        <v>10</v>
      </c>
      <c r="K39" s="1573">
        <f>'Acct Summary 7-8'!K81</f>
        <v>139</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57511829</v>
      </c>
      <c r="N40" s="1603"/>
    </row>
    <row r="41" spans="1:14" ht="13.5" customHeight="1" thickBot="1" x14ac:dyDescent="0.25">
      <c r="A41" s="1426" t="s">
        <v>649</v>
      </c>
      <c r="B41" s="1405"/>
      <c r="C41" s="1594">
        <f>(SUM(C34,C37,C38,C39))</f>
        <v>15642003</v>
      </c>
      <c r="D41" s="1594">
        <f t="shared" ref="D41:L41" si="2">SUM(D34,D37,D38:D39)</f>
        <v>1281314</v>
      </c>
      <c r="E41" s="1594">
        <f t="shared" si="2"/>
        <v>2576087</v>
      </c>
      <c r="F41" s="1594">
        <f t="shared" si="2"/>
        <v>681640</v>
      </c>
      <c r="G41" s="1594">
        <f t="shared" si="2"/>
        <v>389150</v>
      </c>
      <c r="H41" s="1594">
        <f t="shared" si="2"/>
        <v>754654</v>
      </c>
      <c r="I41" s="1594">
        <f t="shared" si="2"/>
        <v>2279253</v>
      </c>
      <c r="J41" s="1594">
        <f t="shared" si="2"/>
        <v>10</v>
      </c>
      <c r="K41" s="1594">
        <f t="shared" si="2"/>
        <v>139</v>
      </c>
      <c r="L41" s="1594">
        <f t="shared" si="2"/>
        <v>14432</v>
      </c>
      <c r="M41" s="1594">
        <f>SUM(M40)</f>
        <v>57511829</v>
      </c>
      <c r="N41" s="1594">
        <f>SUM(N37)</f>
        <v>38250408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pane="bottomLeft" activeCell="C81" sqref="C81: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63"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64"/>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75" t="s">
        <v>1166</v>
      </c>
      <c r="B3" s="2276"/>
      <c r="C3" s="1311"/>
      <c r="D3" s="1312"/>
      <c r="E3" s="1312"/>
      <c r="F3" s="1312"/>
      <c r="G3" s="1312"/>
      <c r="H3" s="1312"/>
      <c r="I3" s="1312"/>
      <c r="J3" s="1312"/>
      <c r="K3" s="1313"/>
      <c r="L3" s="446"/>
    </row>
    <row r="4" spans="1:13" ht="15.75" customHeight="1" x14ac:dyDescent="0.2">
      <c r="A4" s="1537" t="s">
        <v>1484</v>
      </c>
      <c r="B4" s="1538">
        <v>1000</v>
      </c>
      <c r="C4" s="1605">
        <f>'Revenues 9-14'!C109</f>
        <v>15604348</v>
      </c>
      <c r="D4" s="1605">
        <f>'Revenues 9-14'!D109</f>
        <v>1693726</v>
      </c>
      <c r="E4" s="1605">
        <f>'Revenues 9-14'!E109</f>
        <v>2950885</v>
      </c>
      <c r="F4" s="1605">
        <f>'Revenues 9-14'!F109</f>
        <v>492302</v>
      </c>
      <c r="G4" s="1605">
        <f>'Revenues 9-14'!G109</f>
        <v>332429</v>
      </c>
      <c r="H4" s="1605">
        <f>'Revenues 9-14'!H109</f>
        <v>242655</v>
      </c>
      <c r="I4" s="1605">
        <f>'Revenues 9-14'!I109</f>
        <v>110135</v>
      </c>
      <c r="J4" s="1605">
        <f>'Revenues 9-14'!J109</f>
        <v>0</v>
      </c>
      <c r="K4" s="1605">
        <f>'Revenues 9-14'!K109</f>
        <v>2</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1458330</v>
      </c>
      <c r="D6" s="1606">
        <f>'Revenues 9-14'!D170</f>
        <v>50000</v>
      </c>
      <c r="E6" s="1606">
        <f>'Revenues 9-14'!E170</f>
        <v>0</v>
      </c>
      <c r="F6" s="1606">
        <f>'Revenues 9-14'!F170</f>
        <v>366762</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1487</v>
      </c>
      <c r="B7" s="1316">
        <v>4000</v>
      </c>
      <c r="C7" s="1606">
        <f>'Revenues 9-14'!C267</f>
        <v>1059868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4">
        <f>SUM(C4:C7)</f>
        <v>18122546</v>
      </c>
      <c r="D8" s="1594">
        <f t="shared" ref="D8:K8" si="0">SUM(D4:D7)</f>
        <v>1743726</v>
      </c>
      <c r="E8" s="1594">
        <f t="shared" si="0"/>
        <v>2950885</v>
      </c>
      <c r="F8" s="1594">
        <f t="shared" si="0"/>
        <v>859064</v>
      </c>
      <c r="G8" s="1594">
        <f t="shared" si="0"/>
        <v>332429</v>
      </c>
      <c r="H8" s="1594">
        <f t="shared" si="0"/>
        <v>242655</v>
      </c>
      <c r="I8" s="1594">
        <f t="shared" si="0"/>
        <v>110135</v>
      </c>
      <c r="J8" s="1594">
        <f t="shared" si="0"/>
        <v>0</v>
      </c>
      <c r="K8" s="1594">
        <f t="shared" si="0"/>
        <v>2</v>
      </c>
      <c r="L8" s="325"/>
    </row>
    <row r="9" spans="1:13" ht="15.75" thickTop="1" x14ac:dyDescent="0.2">
      <c r="A9" s="449" t="s">
        <v>1636</v>
      </c>
      <c r="B9" s="450">
        <v>3998</v>
      </c>
      <c r="C9" s="1586">
        <f>-_xll.cw_map("BR","10-&gt;4011.120.2")</f>
        <v>5259422</v>
      </c>
      <c r="D9" s="1612">
        <v>0</v>
      </c>
      <c r="E9" s="1586">
        <v>0</v>
      </c>
      <c r="F9" s="1586">
        <v>0</v>
      </c>
      <c r="G9" s="1613">
        <v>0</v>
      </c>
      <c r="H9" s="1586">
        <v>0</v>
      </c>
      <c r="I9" s="1608" t="s">
        <v>1160</v>
      </c>
      <c r="J9" s="1583">
        <v>0</v>
      </c>
      <c r="K9" s="1586">
        <v>0</v>
      </c>
      <c r="L9" s="325"/>
    </row>
    <row r="10" spans="1:13" s="452" customFormat="1" ht="13.5" thickBot="1" x14ac:dyDescent="0.25">
      <c r="A10" s="1426" t="s">
        <v>1164</v>
      </c>
      <c r="B10" s="1407"/>
      <c r="C10" s="1594">
        <f>SUM(C8:C9)</f>
        <v>23381968</v>
      </c>
      <c r="D10" s="1594">
        <f t="shared" ref="D10:K10" si="1">SUM(D8:D9)</f>
        <v>1743726</v>
      </c>
      <c r="E10" s="1594">
        <f t="shared" si="1"/>
        <v>2950885</v>
      </c>
      <c r="F10" s="1594">
        <f t="shared" si="1"/>
        <v>859064</v>
      </c>
      <c r="G10" s="1594">
        <f t="shared" si="1"/>
        <v>332429</v>
      </c>
      <c r="H10" s="1594">
        <f t="shared" si="1"/>
        <v>242655</v>
      </c>
      <c r="I10" s="1594">
        <f t="shared" si="1"/>
        <v>110135</v>
      </c>
      <c r="J10" s="1594">
        <f t="shared" si="1"/>
        <v>0</v>
      </c>
      <c r="K10" s="1594">
        <f t="shared" si="1"/>
        <v>2</v>
      </c>
      <c r="L10" s="451"/>
    </row>
    <row r="11" spans="1:13" s="452" customFormat="1" ht="16.7" customHeight="1" thickTop="1" x14ac:dyDescent="0.2">
      <c r="A11" s="2249" t="s">
        <v>1167</v>
      </c>
      <c r="B11" s="2250"/>
      <c r="C11" s="1601"/>
      <c r="D11" s="1602"/>
      <c r="E11" s="1602"/>
      <c r="F11" s="1602"/>
      <c r="G11" s="1602"/>
      <c r="H11" s="1602"/>
      <c r="I11" s="1602"/>
      <c r="J11" s="1602"/>
      <c r="K11" s="1614"/>
      <c r="L11" s="451"/>
    </row>
    <row r="12" spans="1:13" ht="15.75" customHeight="1" x14ac:dyDescent="0.2">
      <c r="A12" s="1314" t="s">
        <v>452</v>
      </c>
      <c r="B12" s="1316">
        <v>1000</v>
      </c>
      <c r="C12" s="1605">
        <f>'Expenditures 15-22'!K33</f>
        <v>12440390</v>
      </c>
      <c r="D12" s="1615" t="s">
        <v>1160</v>
      </c>
      <c r="E12" s="1575" t="s">
        <v>1160</v>
      </c>
      <c r="F12" s="1575" t="s">
        <v>1160</v>
      </c>
      <c r="G12" s="1605">
        <f>'Expenditures 15-22'!K229</f>
        <v>92946</v>
      </c>
      <c r="H12" s="1616"/>
      <c r="I12" s="1575" t="s">
        <v>1160</v>
      </c>
      <c r="J12" s="1575" t="s">
        <v>1160</v>
      </c>
      <c r="K12" s="1616" t="s">
        <v>1160</v>
      </c>
      <c r="L12" s="325"/>
    </row>
    <row r="13" spans="1:13" ht="15.75" customHeight="1" x14ac:dyDescent="0.2">
      <c r="A13" s="1314" t="s">
        <v>453</v>
      </c>
      <c r="B13" s="1316">
        <v>2000</v>
      </c>
      <c r="C13" s="1606">
        <f>'Expenditures 15-22'!K74</f>
        <v>5705750</v>
      </c>
      <c r="D13" s="1606">
        <f>'Expenditures 15-22'!K129</f>
        <v>1695568</v>
      </c>
      <c r="E13" s="1576" t="s">
        <v>1160</v>
      </c>
      <c r="F13" s="1606">
        <f>'Expenditures 15-22'!K184</f>
        <v>663159</v>
      </c>
      <c r="G13" s="1606">
        <f>'Expenditures 15-22'!K279</f>
        <v>265002</v>
      </c>
      <c r="H13" s="1606">
        <f>'Expenditures 15-22'!K303</f>
        <v>20246914</v>
      </c>
      <c r="I13" s="1575" t="s">
        <v>1160</v>
      </c>
      <c r="J13" s="1606">
        <f>'Expenditures 15-22'!K330</f>
        <v>0</v>
      </c>
      <c r="K13" s="1617">
        <f>'Expenditures 15-22'!K352</f>
        <v>0</v>
      </c>
      <c r="L13" s="325"/>
    </row>
    <row r="14" spans="1:13" ht="15.75" customHeight="1" x14ac:dyDescent="0.2">
      <c r="A14" s="1314" t="s">
        <v>445</v>
      </c>
      <c r="B14" s="1316">
        <v>3000</v>
      </c>
      <c r="C14" s="1606">
        <f>'Expenditures 15-22'!K75</f>
        <v>14941</v>
      </c>
      <c r="D14" s="1606">
        <f>'Expenditures 15-22'!K130</f>
        <v>0</v>
      </c>
      <c r="E14" s="1615" t="s">
        <v>1160</v>
      </c>
      <c r="F14" s="1606">
        <f>'Expenditures 15-22'!K185</f>
        <v>0</v>
      </c>
      <c r="G14" s="1606">
        <f>'Expenditures 15-22'!K280</f>
        <v>0</v>
      </c>
      <c r="H14" s="1611"/>
      <c r="I14" s="1575" t="s">
        <v>1160</v>
      </c>
      <c r="J14" s="1575" t="s">
        <v>1160</v>
      </c>
      <c r="K14" s="1611" t="s">
        <v>1160</v>
      </c>
      <c r="L14" s="325"/>
    </row>
    <row r="15" spans="1:13" ht="15.75" customHeight="1" x14ac:dyDescent="0.2">
      <c r="A15" s="1314" t="s">
        <v>107</v>
      </c>
      <c r="B15" s="1316">
        <v>4000</v>
      </c>
      <c r="C15" s="1606">
        <f>'Expenditures 15-22'!K102</f>
        <v>1722547</v>
      </c>
      <c r="D15" s="1606">
        <f>'Expenditures 15-22'!K139</f>
        <v>0</v>
      </c>
      <c r="E15" s="1606">
        <f>'Expenditures 15-22'!K160</f>
        <v>0</v>
      </c>
      <c r="F15" s="1606">
        <f>'Expenditures 15-22'!K196</f>
        <v>0</v>
      </c>
      <c r="G15" s="1606">
        <f>'Expenditures 15-22'!K285</f>
        <v>0</v>
      </c>
      <c r="H15" s="1606">
        <f>'Expenditures 15-22'!K310</f>
        <v>0</v>
      </c>
      <c r="I15" s="1575"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0</v>
      </c>
      <c r="E16" s="1606">
        <f>'Expenditures 15-22'!K172</f>
        <v>2906753</v>
      </c>
      <c r="F16" s="1606">
        <f>'Expenditures 15-22'!K208</f>
        <v>103266</v>
      </c>
      <c r="G16" s="1606">
        <f>'Expenditures 15-22'!K293</f>
        <v>0</v>
      </c>
      <c r="H16" s="1619"/>
      <c r="I16" s="1575" t="s">
        <v>1160</v>
      </c>
      <c r="J16" s="1620">
        <f>'Expenditures 15-22'!K340</f>
        <v>0</v>
      </c>
      <c r="K16" s="1606">
        <f>'Expenditures 15-22'!K365</f>
        <v>0</v>
      </c>
      <c r="L16" s="325"/>
    </row>
    <row r="17" spans="1:12" ht="13.5" thickBot="1" x14ac:dyDescent="0.25">
      <c r="A17" s="1406" t="s">
        <v>48</v>
      </c>
      <c r="B17" s="1407"/>
      <c r="C17" s="1594">
        <f t="shared" ref="C17:H17" si="2">SUM(C12:C16)</f>
        <v>19883628</v>
      </c>
      <c r="D17" s="1594">
        <f t="shared" si="2"/>
        <v>1695568</v>
      </c>
      <c r="E17" s="1594">
        <f t="shared" si="2"/>
        <v>2906753</v>
      </c>
      <c r="F17" s="1594">
        <f t="shared" si="2"/>
        <v>766425</v>
      </c>
      <c r="G17" s="1594">
        <f t="shared" si="2"/>
        <v>357948</v>
      </c>
      <c r="H17" s="1594">
        <f t="shared" si="2"/>
        <v>20246914</v>
      </c>
      <c r="I17" s="1575"/>
      <c r="J17" s="1594">
        <f>SUM(J12:J16)</f>
        <v>0</v>
      </c>
      <c r="K17" s="1594">
        <f>SUM(K12:K16)</f>
        <v>0</v>
      </c>
      <c r="L17" s="325"/>
    </row>
    <row r="18" spans="1:12" ht="15" customHeight="1" thickTop="1" x14ac:dyDescent="0.2">
      <c r="A18" s="1430" t="s">
        <v>1637</v>
      </c>
      <c r="B18" s="1431">
        <v>4180</v>
      </c>
      <c r="C18" s="1605">
        <f t="shared" ref="C18:H18" si="3">C9</f>
        <v>5259422</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501</v>
      </c>
      <c r="B19" s="1407"/>
      <c r="C19" s="1594">
        <f t="shared" ref="C19:H19" si="4">SUM(C17:C18)</f>
        <v>25143050</v>
      </c>
      <c r="D19" s="1594">
        <f t="shared" si="4"/>
        <v>1695568</v>
      </c>
      <c r="E19" s="1594">
        <f t="shared" si="4"/>
        <v>2906753</v>
      </c>
      <c r="F19" s="1594">
        <f t="shared" si="4"/>
        <v>766425</v>
      </c>
      <c r="G19" s="1594">
        <f t="shared" si="4"/>
        <v>357948</v>
      </c>
      <c r="H19" s="1594">
        <f t="shared" si="4"/>
        <v>20246914</v>
      </c>
      <c r="I19" s="1575"/>
      <c r="J19" s="1594">
        <f>SUM(J17:J18)</f>
        <v>0</v>
      </c>
      <c r="K19" s="1594">
        <f>SUM(K17:K18)</f>
        <v>0</v>
      </c>
      <c r="L19" s="325"/>
    </row>
    <row r="20" spans="1:12" ht="16.5" thickTop="1" thickBot="1" x14ac:dyDescent="0.25">
      <c r="A20" s="2265" t="s">
        <v>1638</v>
      </c>
      <c r="B20" s="2266"/>
      <c r="C20" s="1621">
        <f>C8-C17</f>
        <v>-1761082</v>
      </c>
      <c r="D20" s="1621">
        <f t="shared" ref="D20:K20" si="5">D8-D17</f>
        <v>48158</v>
      </c>
      <c r="E20" s="1621">
        <f t="shared" si="5"/>
        <v>44132</v>
      </c>
      <c r="F20" s="1621">
        <f t="shared" si="5"/>
        <v>92639</v>
      </c>
      <c r="G20" s="1621">
        <f t="shared" si="5"/>
        <v>-25519</v>
      </c>
      <c r="H20" s="1621">
        <f t="shared" si="5"/>
        <v>-20004259</v>
      </c>
      <c r="I20" s="1621">
        <f t="shared" si="5"/>
        <v>110135</v>
      </c>
      <c r="J20" s="1621">
        <f t="shared" si="5"/>
        <v>0</v>
      </c>
      <c r="K20" s="1621">
        <f t="shared" si="5"/>
        <v>2</v>
      </c>
      <c r="L20" s="325"/>
    </row>
    <row r="21" spans="1:12" ht="16.7" customHeight="1" thickTop="1" x14ac:dyDescent="0.2">
      <c r="A21" s="2277" t="s">
        <v>590</v>
      </c>
      <c r="B21" s="2278"/>
      <c r="C21" s="1601"/>
      <c r="D21" s="1602"/>
      <c r="E21" s="1602"/>
      <c r="F21" s="1602"/>
      <c r="G21" s="1602"/>
      <c r="H21" s="1602"/>
      <c r="I21" s="1602"/>
      <c r="J21" s="1602"/>
      <c r="K21" s="1614"/>
      <c r="L21" s="453"/>
    </row>
    <row r="22" spans="1:12" ht="15.75" customHeight="1" collapsed="1" x14ac:dyDescent="0.2">
      <c r="A22" s="2273" t="s">
        <v>591</v>
      </c>
      <c r="B22" s="2274"/>
      <c r="C22" s="1582"/>
      <c r="D22" s="1582"/>
      <c r="E22" s="1582"/>
      <c r="F22" s="1582"/>
      <c r="G22" s="1582"/>
      <c r="H22" s="1582"/>
      <c r="I22" s="1582"/>
      <c r="J22" s="1582"/>
      <c r="K22" s="1582"/>
      <c r="L22" s="325"/>
    </row>
    <row r="23" spans="1:12" s="433" customFormat="1" ht="15.75" customHeight="1" x14ac:dyDescent="0.2">
      <c r="A23" s="2269" t="s">
        <v>289</v>
      </c>
      <c r="B23" s="2270"/>
      <c r="C23" s="1585"/>
      <c r="D23" s="1582"/>
      <c r="E23" s="1582"/>
      <c r="F23" s="1582"/>
      <c r="G23" s="1582"/>
      <c r="H23" s="1582"/>
      <c r="I23" s="1582"/>
      <c r="J23" s="1582"/>
      <c r="K23" s="1582"/>
      <c r="L23" s="453"/>
    </row>
    <row r="24" spans="1:12" s="433" customFormat="1" ht="13.5" customHeight="1" x14ac:dyDescent="0.2">
      <c r="A24" s="1260" t="s">
        <v>1639</v>
      </c>
      <c r="B24" s="454">
        <v>7110</v>
      </c>
      <c r="C24" s="1574">
        <f>-_xll.cw_map("BR","10-&gt;7101.110")</f>
        <v>0</v>
      </c>
      <c r="D24" s="1582"/>
      <c r="E24" s="1582"/>
      <c r="F24" s="1582"/>
      <c r="G24" s="1582"/>
      <c r="H24" s="1582"/>
      <c r="I24" s="1582"/>
      <c r="J24" s="1582"/>
      <c r="K24" s="1582"/>
      <c r="L24" s="453"/>
    </row>
    <row r="25" spans="1:12" s="433" customFormat="1" ht="13.5" customHeight="1" x14ac:dyDescent="0.2">
      <c r="A25" s="1260" t="s">
        <v>1640</v>
      </c>
      <c r="B25" s="454">
        <v>7110</v>
      </c>
      <c r="C25" s="1574">
        <f>-_xll.cw_map("BR","10-&gt;7101.120")</f>
        <v>0</v>
      </c>
      <c r="D25" s="1574">
        <f>-_xll.cw_map("BR","20-&gt;7101.120")</f>
        <v>0</v>
      </c>
      <c r="E25" s="1574">
        <f>-_xll.cw_map("BR","30-&gt;7101.120")</f>
        <v>0</v>
      </c>
      <c r="F25" s="1574">
        <f>-_xll.cw_map("BR","40-&gt;7101.120")</f>
        <v>0</v>
      </c>
      <c r="G25" s="1574">
        <f>-_xll.cw_map("BR","50-&gt;7101.120")</f>
        <v>0</v>
      </c>
      <c r="H25" s="1574">
        <f>-_xll.cw_map("BR","60-&gt;7101.120")</f>
        <v>0</v>
      </c>
      <c r="I25" s="1582"/>
      <c r="J25" s="1574">
        <f>-_xll.cw_map("BR","80-&gt;7101.120")</f>
        <v>0</v>
      </c>
      <c r="K25" s="1574">
        <f>-_xll.cw_map("BR","90-&gt;7101.120")</f>
        <v>0</v>
      </c>
      <c r="L25" s="453"/>
    </row>
    <row r="26" spans="1:12" s="433" customFormat="1" ht="13.5" customHeight="1" x14ac:dyDescent="0.2">
      <c r="A26" s="1260" t="s">
        <v>183</v>
      </c>
      <c r="B26" s="432">
        <v>7120</v>
      </c>
      <c r="C26" s="1574">
        <f>-_xll.cw_map("BR","10-&gt;7101.130")</f>
        <v>0</v>
      </c>
      <c r="D26" s="1574">
        <f>-_xll.cw_map("BR","20-&gt;7101.130")</f>
        <v>275000</v>
      </c>
      <c r="E26" s="1574">
        <f>-_xll.cw_map("BR","30-&gt;7101.130")</f>
        <v>0</v>
      </c>
      <c r="F26" s="1574">
        <f>-_xll.cw_map("BR","40-&gt;7101.130")</f>
        <v>0</v>
      </c>
      <c r="G26" s="1574">
        <f>-_xll.cw_map("BR","50-&gt;7101.130")</f>
        <v>0</v>
      </c>
      <c r="H26" s="1574">
        <f>-_xll.cw_map("BR","60-&gt;7101.130")</f>
        <v>0</v>
      </c>
      <c r="I26" s="1582"/>
      <c r="J26" s="1574">
        <f>-_xll.cw_map("BR","80-&gt;7101.130")</f>
        <v>0</v>
      </c>
      <c r="K26" s="1574">
        <f>-_xll.cw_map("BR","90-&gt;7101.130")</f>
        <v>0</v>
      </c>
      <c r="L26" s="453"/>
    </row>
    <row r="27" spans="1:12" s="433" customFormat="1" ht="13.5" customHeight="1" x14ac:dyDescent="0.2">
      <c r="A27" s="1260" t="s">
        <v>184</v>
      </c>
      <c r="B27" s="432">
        <v>7130</v>
      </c>
      <c r="C27" s="1574">
        <f>-_xll.cw_map("BR","10-&gt;7101.140")</f>
        <v>0</v>
      </c>
      <c r="D27" s="1574">
        <f>-_xll.cw_map("BR","20-&gt;7101.140")</f>
        <v>0</v>
      </c>
      <c r="E27" s="1622"/>
      <c r="F27" s="1574">
        <f>-_xll.cw_map("BR","40-&gt;7101.140")</f>
        <v>0</v>
      </c>
      <c r="G27" s="1585"/>
      <c r="H27" s="1585"/>
      <c r="I27" s="1585"/>
      <c r="J27" s="1585"/>
      <c r="K27" s="1585"/>
      <c r="L27" s="453"/>
    </row>
    <row r="28" spans="1:12" s="433" customFormat="1" ht="13.5" customHeight="1" x14ac:dyDescent="0.2">
      <c r="A28" s="1260" t="s">
        <v>1383</v>
      </c>
      <c r="B28" s="432">
        <v>7140</v>
      </c>
      <c r="C28" s="1574">
        <f>-_xll.cw_map("BR","10-&gt;7101.150")</f>
        <v>0</v>
      </c>
      <c r="D28" s="1574">
        <f>-_xll.cw_map("BR","20-&gt;7101.150")</f>
        <v>0</v>
      </c>
      <c r="E28" s="1574">
        <f>-_xll.cw_map("BR","30-&gt;7101.150")</f>
        <v>0</v>
      </c>
      <c r="F28" s="1574">
        <f>-_xll.cw_map("BR","40-&gt;7101.150")</f>
        <v>0</v>
      </c>
      <c r="G28" s="1574">
        <f>-_xll.cw_map("BR","50-&gt;7101.150")</f>
        <v>0</v>
      </c>
      <c r="H28" s="1574">
        <f>-_xll.cw_map("BR","60-&gt;7101.150")</f>
        <v>0</v>
      </c>
      <c r="I28" s="1574">
        <f>-_xll.cw_map("BR","70-&gt;7101.150")</f>
        <v>0</v>
      </c>
      <c r="J28" s="1574">
        <f>-_xll.cw_map("BR","80-&gt;7101.150")</f>
        <v>0</v>
      </c>
      <c r="K28" s="1574">
        <f>-_xll.cw_map("BR","90-&gt;7101.150")</f>
        <v>0</v>
      </c>
      <c r="L28" s="453"/>
    </row>
    <row r="29" spans="1:12" s="433" customFormat="1" ht="13.5" customHeight="1" x14ac:dyDescent="0.2">
      <c r="A29" s="1260" t="s">
        <v>290</v>
      </c>
      <c r="B29" s="432">
        <v>7150</v>
      </c>
      <c r="C29" s="1580"/>
      <c r="D29" s="1574">
        <f>-_xll.cw_map("BR","20-&gt;7101.160")</f>
        <v>0</v>
      </c>
      <c r="E29" s="1580"/>
      <c r="F29" s="1580"/>
      <c r="G29" s="1580"/>
      <c r="H29" s="1580"/>
      <c r="I29" s="1580"/>
      <c r="J29" s="1580"/>
      <c r="K29" s="1580"/>
      <c r="L29" s="453"/>
    </row>
    <row r="30" spans="1:12" s="433" customFormat="1" ht="26.25" x14ac:dyDescent="0.2">
      <c r="A30" s="1260" t="s">
        <v>1770</v>
      </c>
      <c r="B30" s="455">
        <v>7160</v>
      </c>
      <c r="C30" s="1582"/>
      <c r="D30" s="1574">
        <f>-_xll.cw_map("BR","20-&gt;7101.170")</f>
        <v>0</v>
      </c>
      <c r="E30" s="1582"/>
      <c r="F30" s="1582"/>
      <c r="G30" s="1582"/>
      <c r="H30" s="1582"/>
      <c r="I30" s="1582"/>
      <c r="J30" s="1582"/>
      <c r="K30" s="1582"/>
      <c r="L30" s="453"/>
    </row>
    <row r="31" spans="1:12" s="433" customFormat="1" ht="26.25" x14ac:dyDescent="0.2">
      <c r="A31" s="1260" t="s">
        <v>1774</v>
      </c>
      <c r="B31" s="455">
        <v>7170</v>
      </c>
      <c r="C31" s="1582"/>
      <c r="D31" s="1582"/>
      <c r="E31" s="1579">
        <f>-_xll.cw_map("BR","30-&gt;7101.180")</f>
        <v>0</v>
      </c>
      <c r="F31" s="1582"/>
      <c r="G31" s="1582"/>
      <c r="H31" s="1582"/>
      <c r="I31" s="1582"/>
      <c r="J31" s="1582"/>
      <c r="K31" s="1582"/>
      <c r="L31" s="453"/>
    </row>
    <row r="32" spans="1:12" s="433" customFormat="1" ht="15.75" customHeight="1" x14ac:dyDescent="0.2">
      <c r="A32" s="2271" t="s">
        <v>973</v>
      </c>
      <c r="B32" s="2272"/>
      <c r="C32" s="1582"/>
      <c r="D32" s="1582"/>
      <c r="E32" s="1580"/>
      <c r="F32" s="1582"/>
      <c r="G32" s="1582"/>
      <c r="H32" s="1582"/>
      <c r="I32" s="1582"/>
      <c r="J32" s="1582"/>
      <c r="K32" s="1582"/>
      <c r="L32" s="453"/>
    </row>
    <row r="33" spans="1:12" s="433" customFormat="1" x14ac:dyDescent="0.2">
      <c r="A33" s="1260" t="s">
        <v>408</v>
      </c>
      <c r="B33" s="454">
        <v>7210</v>
      </c>
      <c r="C33" s="1574">
        <f>-_xll.cw_map("BR","10-&gt;6101")</f>
        <v>0</v>
      </c>
      <c r="D33" s="1574">
        <f>-_xll.cw_map("BR","20-&gt;6101")</f>
        <v>0</v>
      </c>
      <c r="E33" s="1574">
        <f>-_xll.cw_map("BR","30-&gt;6101")</f>
        <v>0</v>
      </c>
      <c r="F33" s="1574">
        <f>-_xll.cw_map("BR","40-&gt;6101")</f>
        <v>0</v>
      </c>
      <c r="G33" s="1582"/>
      <c r="H33" s="1574">
        <f>-_xll.cw_map("BR","60-&gt;6101")</f>
        <v>0</v>
      </c>
      <c r="I33" s="1574">
        <f>-_xll.cw_map("BR","70-&gt;6101")</f>
        <v>0</v>
      </c>
      <c r="J33" s="1574">
        <f>-_xll.cw_map("BR","80-&gt;6101")</f>
        <v>0</v>
      </c>
      <c r="K33" s="1574">
        <f>-_xll.cw_map("BR","90-&gt;6101")</f>
        <v>0</v>
      </c>
      <c r="L33" s="453"/>
    </row>
    <row r="34" spans="1:12" s="433" customFormat="1" x14ac:dyDescent="0.2">
      <c r="A34" s="1260" t="s">
        <v>993</v>
      </c>
      <c r="B34" s="454">
        <v>7220</v>
      </c>
      <c r="C34" s="1574">
        <f>-_xll.cw_map("BR","10-&gt;6102")</f>
        <v>0</v>
      </c>
      <c r="D34" s="1574">
        <f>-_xll.cw_map("BR","20-&gt;6102")</f>
        <v>0</v>
      </c>
      <c r="E34" s="1574">
        <f>-_xll.cw_map("BR","30-&gt;6102")</f>
        <v>0</v>
      </c>
      <c r="F34" s="1574">
        <f>-_xll.cw_map("BR","40-&gt;6102")</f>
        <v>0</v>
      </c>
      <c r="G34" s="1582"/>
      <c r="H34" s="1583">
        <f>-_xll.cw_map("BR","60-&gt;6102")</f>
        <v>0</v>
      </c>
      <c r="I34" s="1583">
        <f>-_xll.cw_map("BR","70-&gt;6102")</f>
        <v>0</v>
      </c>
      <c r="J34" s="1583">
        <f>-_xll.cw_map("BR","80-&gt;6102")</f>
        <v>0</v>
      </c>
      <c r="K34" s="1583">
        <f>-_xll.cw_map("BR","90-&gt;6102")</f>
        <v>0</v>
      </c>
      <c r="L34" s="453"/>
    </row>
    <row r="35" spans="1:12" s="433" customFormat="1" x14ac:dyDescent="0.2">
      <c r="A35" s="1260" t="s">
        <v>982</v>
      </c>
      <c r="B35" s="454">
        <v>7230</v>
      </c>
      <c r="C35" s="1574">
        <f>-_xll.cw_map("BR","10-&gt;6103")</f>
        <v>0</v>
      </c>
      <c r="D35" s="1574">
        <f>-_xll.cw_map("BR","20-&gt;6103")</f>
        <v>0</v>
      </c>
      <c r="E35" s="1574">
        <f>-_xll.cw_map("BR","30-&gt;6103")</f>
        <v>0</v>
      </c>
      <c r="F35" s="1574">
        <f>-_xll.cw_map("BR","40-&gt;6103")</f>
        <v>0</v>
      </c>
      <c r="G35" s="1585"/>
      <c r="H35" s="1574">
        <f>-_xll.cw_map("BR","60-&gt;6103")</f>
        <v>0</v>
      </c>
      <c r="I35" s="1574">
        <f>-_xll.cw_map("BR","70-&gt;6103")</f>
        <v>0</v>
      </c>
      <c r="J35" s="1574">
        <f>-_xll.cw_map("BR","80-&gt;6103")</f>
        <v>0</v>
      </c>
      <c r="K35" s="1574">
        <f>-_xll.cw_map("BR","90-&gt;6103")</f>
        <v>0</v>
      </c>
      <c r="L35" s="453"/>
    </row>
    <row r="36" spans="1:12" s="433" customFormat="1" ht="15" x14ac:dyDescent="0.2">
      <c r="A36" s="1260" t="s">
        <v>1641</v>
      </c>
      <c r="B36" s="454">
        <v>7300</v>
      </c>
      <c r="C36" s="1574">
        <f>-_xll.cw_map("BR","10-&gt;6108")</f>
        <v>0</v>
      </c>
      <c r="D36" s="1574">
        <f>-_xll.cw_map("BR","20-&gt;6108")</f>
        <v>0</v>
      </c>
      <c r="E36" s="1574">
        <f>-_xll.cw_map("BR","30-&gt;6108")</f>
        <v>0</v>
      </c>
      <c r="F36" s="1574">
        <f>-_xll.cw_map("BR","40-&gt;6108")</f>
        <v>0</v>
      </c>
      <c r="G36" s="1574">
        <f>-_xll.cw_map("BR","50-&gt;6108")</f>
        <v>0</v>
      </c>
      <c r="H36" s="1574">
        <f>-_xll.cw_map("BR","60-&gt;6108")</f>
        <v>0</v>
      </c>
      <c r="I36" s="1580"/>
      <c r="J36" s="1574">
        <f>-_xll.cw_map("BR","80-&gt;6108")</f>
        <v>0</v>
      </c>
      <c r="K36" s="1574">
        <f>-_xll.cw_map("BR","90-&gt;6108")</f>
        <v>0</v>
      </c>
      <c r="L36" s="453"/>
    </row>
    <row r="37" spans="1:12" s="433" customFormat="1" x14ac:dyDescent="0.2">
      <c r="A37" s="1260" t="s">
        <v>437</v>
      </c>
      <c r="B37" s="454">
        <v>7400</v>
      </c>
      <c r="C37" s="1580"/>
      <c r="D37" s="1580"/>
      <c r="E37" s="1606">
        <f>SUM(C54:D57,H54:H57)</f>
        <v>372176</v>
      </c>
      <c r="F37" s="1580"/>
      <c r="G37" s="1580"/>
      <c r="H37" s="1580"/>
      <c r="I37" s="1582"/>
      <c r="J37" s="1580"/>
      <c r="K37" s="1580"/>
      <c r="L37" s="453"/>
    </row>
    <row r="38" spans="1:12" s="433" customFormat="1" x14ac:dyDescent="0.2">
      <c r="A38" s="1260" t="s">
        <v>438</v>
      </c>
      <c r="B38" s="454">
        <v>7500</v>
      </c>
      <c r="C38" s="1582"/>
      <c r="D38" s="1582"/>
      <c r="E38" s="1606">
        <f>SUM(C58:D61,H58:H61)</f>
        <v>5899</v>
      </c>
      <c r="F38" s="1582"/>
      <c r="G38" s="1582"/>
      <c r="H38" s="1582"/>
      <c r="I38" s="1582"/>
      <c r="J38" s="1582"/>
      <c r="K38" s="1582"/>
      <c r="L38" s="453"/>
    </row>
    <row r="39" spans="1:12" s="433" customFormat="1" x14ac:dyDescent="0.2">
      <c r="A39" s="1260" t="s">
        <v>439</v>
      </c>
      <c r="B39" s="454">
        <v>7600</v>
      </c>
      <c r="C39" s="1582"/>
      <c r="D39" s="1582"/>
      <c r="E39" s="1606">
        <f>SUM(C62:D65)</f>
        <v>0</v>
      </c>
      <c r="F39" s="1582"/>
      <c r="G39" s="1582"/>
      <c r="H39" s="1582"/>
      <c r="I39" s="1582"/>
      <c r="J39" s="1582"/>
      <c r="K39" s="1582"/>
      <c r="L39" s="453"/>
    </row>
    <row r="40" spans="1:12" s="433" customFormat="1" ht="13.5" customHeight="1" x14ac:dyDescent="0.2">
      <c r="A40" s="1260" t="s">
        <v>636</v>
      </c>
      <c r="B40" s="432">
        <v>7700</v>
      </c>
      <c r="C40" s="1582"/>
      <c r="D40" s="1582"/>
      <c r="E40" s="1606">
        <f>SUM(C66:D69)</f>
        <v>0</v>
      </c>
      <c r="F40" s="1582"/>
      <c r="G40" s="1582"/>
      <c r="H40" s="1585"/>
      <c r="I40" s="1582"/>
      <c r="J40" s="1582"/>
      <c r="K40" s="1582"/>
      <c r="L40" s="453"/>
    </row>
    <row r="41" spans="1:12" s="433" customFormat="1" ht="13.5" customHeight="1" x14ac:dyDescent="0.2">
      <c r="A41" s="1260" t="s">
        <v>634</v>
      </c>
      <c r="B41" s="432">
        <v>7800</v>
      </c>
      <c r="C41" s="1585"/>
      <c r="D41" s="1585"/>
      <c r="E41" s="1622"/>
      <c r="F41" s="1585"/>
      <c r="G41" s="1585"/>
      <c r="H41" s="1606">
        <f>SUM(C70:D73)</f>
        <v>525000</v>
      </c>
      <c r="I41" s="1582"/>
      <c r="J41" s="1582"/>
      <c r="K41" s="1585"/>
      <c r="L41" s="453"/>
    </row>
    <row r="42" spans="1:12" s="433" customFormat="1" ht="13.5" customHeight="1" x14ac:dyDescent="0.2">
      <c r="A42" s="1260" t="s">
        <v>635</v>
      </c>
      <c r="B42" s="432">
        <v>7900</v>
      </c>
      <c r="C42" s="1574">
        <f>-_xll.cw_map("BR","10-&gt;6109")</f>
        <v>0</v>
      </c>
      <c r="D42" s="1574">
        <f>-_xll.cw_map("BR","20-&gt;6109")</f>
        <v>0</v>
      </c>
      <c r="E42" s="1574">
        <f>-_xll.cw_map("BR","30-&gt;6109")</f>
        <v>0</v>
      </c>
      <c r="F42" s="1574">
        <f>-_xll.cw_map("BR","40-&gt;6109")</f>
        <v>0</v>
      </c>
      <c r="G42" s="1574">
        <f>-_xll.cw_map("BR","50-&gt;6109")</f>
        <v>0</v>
      </c>
      <c r="H42" s="1574">
        <f>-_xll.cw_map("BR","60-&gt;6109")</f>
        <v>0</v>
      </c>
      <c r="I42" s="1585"/>
      <c r="J42" s="1585"/>
      <c r="K42" s="1574">
        <f>-_xll.cw_map("BR","90-&gt;6109")</f>
        <v>0</v>
      </c>
      <c r="L42" s="453"/>
    </row>
    <row r="43" spans="1:12" s="433" customFormat="1" ht="13.5" customHeight="1" x14ac:dyDescent="0.2">
      <c r="A43" s="1260" t="s">
        <v>369</v>
      </c>
      <c r="B43" s="432">
        <v>7990</v>
      </c>
      <c r="C43" s="1574">
        <f>-_xll.cw_map("BR","10-&gt;6110")</f>
        <v>431339</v>
      </c>
      <c r="D43" s="1574">
        <f>-_xll.cw_map("BR","20-&gt;6110")</f>
        <v>0</v>
      </c>
      <c r="E43" s="1574">
        <f>-_xll.cw_map("BR","30-&gt;6110")</f>
        <v>0</v>
      </c>
      <c r="F43" s="1574">
        <f>-_xll.cw_map("BR","40-&gt;6110")</f>
        <v>0</v>
      </c>
      <c r="G43" s="1574">
        <f>-_xll.cw_map("BR","50-&gt;6110")</f>
        <v>0</v>
      </c>
      <c r="H43" s="1574">
        <f>-_xll.cw_map("BR","60-&gt;6110")</f>
        <v>0</v>
      </c>
      <c r="I43" s="1574">
        <f>-_xll.cw_map("BR","70-&gt;6110")</f>
        <v>0</v>
      </c>
      <c r="J43" s="1574">
        <f>-_xll.cw_map("BR","80-&gt;6110")</f>
        <v>0</v>
      </c>
      <c r="K43" s="1574">
        <f>-_xll.cw_map("BR","90-&gt;6110")</f>
        <v>0</v>
      </c>
      <c r="L43" s="453"/>
    </row>
    <row r="44" spans="1:12" s="433" customFormat="1" ht="13.5" customHeight="1" thickBot="1" x14ac:dyDescent="0.25">
      <c r="A44" s="2279" t="s">
        <v>370</v>
      </c>
      <c r="B44" s="2280"/>
      <c r="C44" s="1623">
        <f>SUM(C24:C43)</f>
        <v>431339</v>
      </c>
      <c r="D44" s="1623">
        <f t="shared" ref="D44:K44" si="6">SUM(D24:D43)</f>
        <v>275000</v>
      </c>
      <c r="E44" s="1623">
        <f t="shared" si="6"/>
        <v>378075</v>
      </c>
      <c r="F44" s="1623">
        <f t="shared" si="6"/>
        <v>0</v>
      </c>
      <c r="G44" s="1623">
        <f t="shared" si="6"/>
        <v>0</v>
      </c>
      <c r="H44" s="1623">
        <f t="shared" si="6"/>
        <v>525000</v>
      </c>
      <c r="I44" s="1623">
        <f t="shared" si="6"/>
        <v>0</v>
      </c>
      <c r="J44" s="1623">
        <f t="shared" si="6"/>
        <v>0</v>
      </c>
      <c r="K44" s="1623">
        <f t="shared" si="6"/>
        <v>0</v>
      </c>
      <c r="L44" s="453"/>
    </row>
    <row r="45" spans="1:12" ht="15.75" customHeight="1" thickTop="1" x14ac:dyDescent="0.2">
      <c r="A45" s="2273" t="s">
        <v>108</v>
      </c>
      <c r="B45" s="2274"/>
      <c r="C45" s="1624"/>
      <c r="D45" s="1624"/>
      <c r="E45" s="1624"/>
      <c r="F45" s="1624"/>
      <c r="G45" s="1624"/>
      <c r="H45" s="1624"/>
      <c r="I45" s="1624"/>
      <c r="J45" s="1624"/>
      <c r="K45" s="1624"/>
      <c r="L45" s="325"/>
    </row>
    <row r="46" spans="1:12" s="433" customFormat="1" ht="15.75" customHeight="1" x14ac:dyDescent="0.2">
      <c r="A46" s="2281" t="s">
        <v>109</v>
      </c>
      <c r="B46" s="2282"/>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6">
        <f>SUM(C24,C25:H25,J25:K25)</f>
        <v>0</v>
      </c>
      <c r="J47" s="1582"/>
      <c r="K47" s="1582"/>
      <c r="L47" s="456"/>
    </row>
    <row r="48" spans="1:12" s="433" customFormat="1" ht="15" x14ac:dyDescent="0.2">
      <c r="A48" s="1261" t="s">
        <v>1643</v>
      </c>
      <c r="B48" s="432">
        <v>8120</v>
      </c>
      <c r="C48" s="1585"/>
      <c r="D48" s="1585"/>
      <c r="E48" s="1582"/>
      <c r="F48" s="1585"/>
      <c r="G48" s="1582"/>
      <c r="H48" s="1582"/>
      <c r="I48" s="1606">
        <f>SUM(C26:H26,J26,K26)</f>
        <v>275000</v>
      </c>
      <c r="J48" s="1582"/>
      <c r="K48" s="1582"/>
      <c r="L48" s="456"/>
    </row>
    <row r="49" spans="1:12" s="433" customFormat="1" x14ac:dyDescent="0.2">
      <c r="A49" s="1261" t="s">
        <v>184</v>
      </c>
      <c r="B49" s="432">
        <v>8130</v>
      </c>
      <c r="C49" s="1574">
        <f>_xll.cw_map("BR","10-&gt;7102.130")</f>
        <v>0</v>
      </c>
      <c r="D49" s="1574">
        <f>_xll.cw_map("BR","20-&gt;7102.130")</f>
        <v>0</v>
      </c>
      <c r="E49" s="1585"/>
      <c r="F49" s="1574">
        <f>_xll.cw_map("BR","40-&gt;7102.130")</f>
        <v>0</v>
      </c>
      <c r="G49" s="1585"/>
      <c r="H49" s="1585"/>
      <c r="I49" s="1582"/>
      <c r="J49" s="1585"/>
      <c r="K49" s="1582"/>
      <c r="L49" s="453"/>
    </row>
    <row r="50" spans="1:12" s="433" customFormat="1" x14ac:dyDescent="0.2">
      <c r="A50" s="1261" t="s">
        <v>1383</v>
      </c>
      <c r="B50" s="432">
        <v>8140</v>
      </c>
      <c r="C50" s="1574">
        <f>_xll.cw_map("BR","10-&gt;7102.140")</f>
        <v>0</v>
      </c>
      <c r="D50" s="1574">
        <f>_xll.cw_map("BR","20-&gt;7102.140")</f>
        <v>0</v>
      </c>
      <c r="E50" s="1574">
        <f>_xll.cw_map("BR","30-&gt;7102.140")</f>
        <v>0</v>
      </c>
      <c r="F50" s="1574">
        <f>_xll.cw_map("BR","40-&gt;7102.140")</f>
        <v>0</v>
      </c>
      <c r="G50" s="1574">
        <f>_xll.cw_map("BR","50-&gt;7102.140")</f>
        <v>0</v>
      </c>
      <c r="H50" s="1574">
        <f>_xll.cw_map("BR","60-&gt;7102.140")</f>
        <v>0</v>
      </c>
      <c r="I50" s="1582"/>
      <c r="J50" s="1574">
        <f>_xll.cw_map("BR","80-&gt;7102.140")</f>
        <v>0</v>
      </c>
      <c r="K50" s="1582"/>
      <c r="L50" s="453"/>
    </row>
    <row r="51" spans="1:12" s="433" customFormat="1" x14ac:dyDescent="0.2">
      <c r="A51" s="1261" t="s">
        <v>290</v>
      </c>
      <c r="B51" s="432">
        <v>8150</v>
      </c>
      <c r="C51" s="1580"/>
      <c r="D51" s="1580"/>
      <c r="E51" s="1580"/>
      <c r="F51" s="1580"/>
      <c r="G51" s="1580"/>
      <c r="H51" s="1606">
        <f>SUM(D29)</f>
        <v>0</v>
      </c>
      <c r="I51" s="1582"/>
      <c r="J51" s="1580"/>
      <c r="K51" s="1585"/>
      <c r="L51" s="453"/>
    </row>
    <row r="52" spans="1:12" s="433" customFormat="1" ht="26.25" x14ac:dyDescent="0.2">
      <c r="A52" s="1261" t="s">
        <v>1773</v>
      </c>
      <c r="B52" s="432">
        <v>8160</v>
      </c>
      <c r="C52" s="1582"/>
      <c r="D52" s="1582"/>
      <c r="E52" s="1582"/>
      <c r="F52" s="1582"/>
      <c r="G52" s="1582"/>
      <c r="H52" s="1582"/>
      <c r="I52" s="1582"/>
      <c r="J52" s="1582"/>
      <c r="K52" s="1606">
        <f>D30</f>
        <v>0</v>
      </c>
      <c r="L52" s="453"/>
    </row>
    <row r="53" spans="1:12" s="433" customFormat="1" ht="26.25" x14ac:dyDescent="0.2">
      <c r="A53" s="1261" t="s">
        <v>1772</v>
      </c>
      <c r="B53" s="432">
        <v>8170</v>
      </c>
      <c r="C53" s="1585"/>
      <c r="D53" s="1585"/>
      <c r="E53" s="1582"/>
      <c r="F53" s="1582"/>
      <c r="G53" s="1582"/>
      <c r="H53" s="1585"/>
      <c r="I53" s="1582"/>
      <c r="J53" s="1582"/>
      <c r="K53" s="1606">
        <f>E31</f>
        <v>0</v>
      </c>
      <c r="L53" s="453"/>
    </row>
    <row r="54" spans="1:12" s="433" customFormat="1" ht="13.5" thickBot="1" x14ac:dyDescent="0.25">
      <c r="A54" s="1261" t="s">
        <v>686</v>
      </c>
      <c r="B54" s="432">
        <v>8410</v>
      </c>
      <c r="C54" s="1625">
        <f>_xll.cw_map("BR","10-&gt;7102.180")</f>
        <v>372176</v>
      </c>
      <c r="D54" s="1625">
        <f>_xll.cw_map("BR","20-&gt;7102.180")</f>
        <v>0</v>
      </c>
      <c r="E54" s="1582"/>
      <c r="F54" s="1582"/>
      <c r="G54" s="1582"/>
      <c r="H54" s="1625">
        <f>_xll.cw_map("BR","60-&gt;7102.180")</f>
        <v>0</v>
      </c>
      <c r="I54" s="1582"/>
      <c r="J54" s="1582"/>
      <c r="K54" s="1580"/>
      <c r="L54" s="453"/>
    </row>
    <row r="55" spans="1:12" s="433" customFormat="1" ht="14.25" thickTop="1" thickBot="1" x14ac:dyDescent="0.25">
      <c r="A55" s="1262" t="s">
        <v>687</v>
      </c>
      <c r="B55" s="432">
        <v>8420</v>
      </c>
      <c r="C55" s="1626">
        <f>_xll.cw_map("BR","10-&gt;7102.190")</f>
        <v>0</v>
      </c>
      <c r="D55" s="1626">
        <f>_xll.cw_map("BR","20-&gt;7102.190")</f>
        <v>0</v>
      </c>
      <c r="E55" s="1582"/>
      <c r="F55" s="1582"/>
      <c r="G55" s="1582"/>
      <c r="H55" s="1625">
        <f>_xll.cw_map("BR","60-&gt;7102.190")</f>
        <v>0</v>
      </c>
      <c r="I55" s="1582"/>
      <c r="J55" s="1582"/>
      <c r="K55" s="1582"/>
      <c r="L55" s="453"/>
    </row>
    <row r="56" spans="1:12" s="433" customFormat="1" ht="14.25" thickTop="1" thickBot="1" x14ac:dyDescent="0.25">
      <c r="A56" s="1261" t="s">
        <v>576</v>
      </c>
      <c r="B56" s="432">
        <v>8430</v>
      </c>
      <c r="C56" s="1626">
        <f>_xll.cw_map("BR","10-&gt;7102.200")</f>
        <v>0</v>
      </c>
      <c r="D56" s="1626">
        <f>_xll.cw_map("BR","20-&gt;7102.200")</f>
        <v>0</v>
      </c>
      <c r="E56" s="1582"/>
      <c r="F56" s="1582"/>
      <c r="G56" s="1582"/>
      <c r="H56" s="1625">
        <f>_xll.cw_map("BR","60-&gt;7102.200")</f>
        <v>0</v>
      </c>
      <c r="I56" s="1582"/>
      <c r="J56" s="1582"/>
      <c r="K56" s="1582"/>
      <c r="L56" s="453"/>
    </row>
    <row r="57" spans="1:12" s="433" customFormat="1" ht="14.25" thickTop="1" thickBot="1" x14ac:dyDescent="0.25">
      <c r="A57" s="1262" t="s">
        <v>573</v>
      </c>
      <c r="B57" s="432">
        <v>8440</v>
      </c>
      <c r="C57" s="1626">
        <f>_xll.cw_map("BR","10-&gt;7102.210")</f>
        <v>0</v>
      </c>
      <c r="D57" s="1626">
        <f>_xll.cw_map("BR","20-&gt;7102.210")</f>
        <v>0</v>
      </c>
      <c r="E57" s="1582"/>
      <c r="F57" s="1582"/>
      <c r="G57" s="1582"/>
      <c r="H57" s="1625">
        <f>_xll.cw_map("BR","60-&gt;7102.210")</f>
        <v>0</v>
      </c>
      <c r="I57" s="1582"/>
      <c r="J57" s="1582"/>
      <c r="K57" s="1582"/>
      <c r="L57" s="453"/>
    </row>
    <row r="58" spans="1:12" s="433" customFormat="1" ht="14.25" thickTop="1" thickBot="1" x14ac:dyDescent="0.25">
      <c r="A58" s="1261" t="s">
        <v>574</v>
      </c>
      <c r="B58" s="432">
        <v>8510</v>
      </c>
      <c r="C58" s="1626">
        <f>_xll.cw_map("BR","10-&gt;7102.220")</f>
        <v>5899</v>
      </c>
      <c r="D58" s="1626">
        <f>_xll.cw_map("BR","20-&gt;7102.220")</f>
        <v>0</v>
      </c>
      <c r="E58" s="1582"/>
      <c r="F58" s="1582"/>
      <c r="G58" s="1582"/>
      <c r="H58" s="1625">
        <f>_xll.cw_map("BR","60-&gt;7102.220")</f>
        <v>0</v>
      </c>
      <c r="I58" s="1582"/>
      <c r="J58" s="1582"/>
      <c r="K58" s="1582"/>
      <c r="L58" s="453"/>
    </row>
    <row r="59" spans="1:12" s="433" customFormat="1" ht="14.25" thickTop="1" thickBot="1" x14ac:dyDescent="0.25">
      <c r="A59" s="1263" t="s">
        <v>688</v>
      </c>
      <c r="B59" s="432">
        <v>8520</v>
      </c>
      <c r="C59" s="1626">
        <f>_xll.cw_map("BR","10-&gt;7102.230")</f>
        <v>0</v>
      </c>
      <c r="D59" s="1626">
        <f>_xll.cw_map("BR","20-&gt;7102.230")</f>
        <v>0</v>
      </c>
      <c r="E59" s="1582"/>
      <c r="F59" s="1582"/>
      <c r="G59" s="1582"/>
      <c r="H59" s="1625">
        <f>_xll.cw_map("BR","60-&gt;7102.230")</f>
        <v>0</v>
      </c>
      <c r="I59" s="1582"/>
      <c r="J59" s="1582"/>
      <c r="K59" s="1582"/>
      <c r="L59" s="453"/>
    </row>
    <row r="60" spans="1:12" s="433" customFormat="1" ht="14.25" thickTop="1" thickBot="1" x14ac:dyDescent="0.25">
      <c r="A60" s="1261" t="s">
        <v>575</v>
      </c>
      <c r="B60" s="432">
        <v>8530</v>
      </c>
      <c r="C60" s="1626">
        <f>_xll.cw_map("BR","10-&gt;7102.240")</f>
        <v>0</v>
      </c>
      <c r="D60" s="1626">
        <f>_xll.cw_map("BR","20-&gt;7102.240")</f>
        <v>0</v>
      </c>
      <c r="E60" s="1582"/>
      <c r="F60" s="1582"/>
      <c r="G60" s="1582"/>
      <c r="H60" s="1625">
        <f>_xll.cw_map("BR","60-&gt;7102.240")</f>
        <v>0</v>
      </c>
      <c r="I60" s="1582"/>
      <c r="J60" s="1582"/>
      <c r="K60" s="1582"/>
      <c r="L60" s="453"/>
    </row>
    <row r="61" spans="1:12" s="433" customFormat="1" ht="14.25" thickTop="1" thickBot="1" x14ac:dyDescent="0.25">
      <c r="A61" s="1262" t="s">
        <v>737</v>
      </c>
      <c r="B61" s="432">
        <v>8540</v>
      </c>
      <c r="C61" s="1626">
        <f>_xll.cw_map("BR","10-&gt;7102.250")</f>
        <v>0</v>
      </c>
      <c r="D61" s="1626">
        <f>_xll.cw_map("BR","20-&gt;7102.250")</f>
        <v>0</v>
      </c>
      <c r="E61" s="1582"/>
      <c r="F61" s="1582"/>
      <c r="G61" s="1582"/>
      <c r="H61" s="1625">
        <f>_xll.cw_map("BR","60-&gt;7102.250")</f>
        <v>0</v>
      </c>
      <c r="I61" s="1582"/>
      <c r="J61" s="1582"/>
      <c r="K61" s="1582"/>
      <c r="L61" s="453"/>
    </row>
    <row r="62" spans="1:12" s="433" customFormat="1" ht="13.5" customHeight="1" thickTop="1" thickBot="1" x14ac:dyDescent="0.25">
      <c r="A62" s="1261" t="s">
        <v>738</v>
      </c>
      <c r="B62" s="432">
        <v>8610</v>
      </c>
      <c r="C62" s="1626">
        <f>_xll.cw_map("BR","10-&gt;7102.260")</f>
        <v>0</v>
      </c>
      <c r="D62" s="1626">
        <f>_xll.cw_map("BR","20-&gt;7102.260")</f>
        <v>0</v>
      </c>
      <c r="E62" s="1582"/>
      <c r="F62" s="1582"/>
      <c r="G62" s="1582"/>
      <c r="H62" s="1582"/>
      <c r="I62" s="1582"/>
      <c r="J62" s="1582"/>
      <c r="K62" s="1582"/>
      <c r="L62" s="453"/>
    </row>
    <row r="63" spans="1:12" s="433" customFormat="1" ht="14.25" thickTop="1" thickBot="1" x14ac:dyDescent="0.25">
      <c r="A63" s="1262" t="s">
        <v>689</v>
      </c>
      <c r="B63" s="432">
        <v>8620</v>
      </c>
      <c r="C63" s="1626">
        <f>_xll.cw_map("BR","10-&gt;7102.270")</f>
        <v>0</v>
      </c>
      <c r="D63" s="1626">
        <f>_xll.cw_map("BR","20-&gt;7102.270")</f>
        <v>0</v>
      </c>
      <c r="E63" s="1582"/>
      <c r="F63" s="1582"/>
      <c r="G63" s="1582"/>
      <c r="H63" s="1582"/>
      <c r="I63" s="1582"/>
      <c r="J63" s="1582"/>
      <c r="K63" s="1582"/>
      <c r="L63" s="453"/>
    </row>
    <row r="64" spans="1:12" s="433" customFormat="1" ht="13.5" customHeight="1" thickTop="1" thickBot="1" x14ac:dyDescent="0.25">
      <c r="A64" s="1261" t="s">
        <v>739</v>
      </c>
      <c r="B64" s="432">
        <v>8630</v>
      </c>
      <c r="C64" s="1626">
        <f>_xll.cw_map("BR","10-&gt;7102.280")</f>
        <v>0</v>
      </c>
      <c r="D64" s="1626">
        <f>_xll.cw_map("BR","20-&gt;7102.280")</f>
        <v>0</v>
      </c>
      <c r="E64" s="1582"/>
      <c r="F64" s="1582"/>
      <c r="G64" s="1582"/>
      <c r="H64" s="1582"/>
      <c r="I64" s="1582"/>
      <c r="J64" s="1582"/>
      <c r="K64" s="1582"/>
      <c r="L64" s="453"/>
    </row>
    <row r="65" spans="1:12" s="433" customFormat="1" ht="14.25" thickTop="1" thickBot="1" x14ac:dyDescent="0.25">
      <c r="A65" s="1262" t="s">
        <v>740</v>
      </c>
      <c r="B65" s="432">
        <v>8640</v>
      </c>
      <c r="C65" s="1626">
        <f>_xll.cw_map("BR","10-&gt;7102.290")</f>
        <v>0</v>
      </c>
      <c r="D65" s="1626">
        <f>_xll.cw_map("BR","20-&gt;7102.290")</f>
        <v>0</v>
      </c>
      <c r="E65" s="1582"/>
      <c r="F65" s="1582"/>
      <c r="G65" s="1582"/>
      <c r="H65" s="1582"/>
      <c r="I65" s="1582"/>
      <c r="J65" s="1582"/>
      <c r="K65" s="1582"/>
      <c r="L65" s="453"/>
    </row>
    <row r="66" spans="1:12" s="433" customFormat="1" ht="14.25" thickTop="1" thickBot="1" x14ac:dyDescent="0.25">
      <c r="A66" s="1261" t="s">
        <v>741</v>
      </c>
      <c r="B66" s="432">
        <v>8710</v>
      </c>
      <c r="C66" s="1626">
        <f>_xll.cw_map("BR","10-&gt;7102.300")</f>
        <v>0</v>
      </c>
      <c r="D66" s="1626">
        <f>_xll.cw_map("BR","20-&gt;7102.300")</f>
        <v>0</v>
      </c>
      <c r="E66" s="1582"/>
      <c r="F66" s="1582"/>
      <c r="G66" s="1582"/>
      <c r="H66" s="1582"/>
      <c r="I66" s="1582"/>
      <c r="J66" s="1582"/>
      <c r="K66" s="1582"/>
      <c r="L66" s="453"/>
    </row>
    <row r="67" spans="1:12" s="433" customFormat="1" ht="14.25" thickTop="1" thickBot="1" x14ac:dyDescent="0.25">
      <c r="A67" s="1262" t="s">
        <v>690</v>
      </c>
      <c r="B67" s="432">
        <v>8720</v>
      </c>
      <c r="C67" s="1626">
        <f>_xll.cw_map("BR","10-&gt;7102.310")</f>
        <v>0</v>
      </c>
      <c r="D67" s="1626">
        <f>_xll.cw_map("BR","20-&gt;7102.310")</f>
        <v>0</v>
      </c>
      <c r="E67" s="1582"/>
      <c r="F67" s="1582"/>
      <c r="G67" s="1582"/>
      <c r="H67" s="1582"/>
      <c r="I67" s="1582"/>
      <c r="J67" s="1582"/>
      <c r="K67" s="1582"/>
      <c r="L67" s="453"/>
    </row>
    <row r="68" spans="1:12" s="433" customFormat="1" ht="14.25" thickTop="1" thickBot="1" x14ac:dyDescent="0.25">
      <c r="A68" s="1263" t="s">
        <v>742</v>
      </c>
      <c r="B68" s="432">
        <v>8730</v>
      </c>
      <c r="C68" s="1626">
        <f>_xll.cw_map("BR","10-&gt;7102.320")</f>
        <v>0</v>
      </c>
      <c r="D68" s="1626">
        <f>_xll.cw_map("BR","20-&gt;7102.320")</f>
        <v>0</v>
      </c>
      <c r="E68" s="1582"/>
      <c r="F68" s="1582"/>
      <c r="G68" s="1582"/>
      <c r="H68" s="1582"/>
      <c r="I68" s="1582"/>
      <c r="J68" s="1582"/>
      <c r="K68" s="1582"/>
      <c r="L68" s="453"/>
    </row>
    <row r="69" spans="1:12" s="433" customFormat="1" ht="14.25" thickTop="1" thickBot="1" x14ac:dyDescent="0.25">
      <c r="A69" s="1262" t="s">
        <v>743</v>
      </c>
      <c r="B69" s="432">
        <v>8740</v>
      </c>
      <c r="C69" s="1626">
        <f>_xll.cw_map("BR","10-&gt;7102.330")</f>
        <v>0</v>
      </c>
      <c r="D69" s="1626">
        <f>_xll.cw_map("BR","20-&gt;7102.330")</f>
        <v>0</v>
      </c>
      <c r="E69" s="1582"/>
      <c r="F69" s="1582"/>
      <c r="G69" s="1582"/>
      <c r="H69" s="1582"/>
      <c r="I69" s="1582"/>
      <c r="J69" s="1582"/>
      <c r="K69" s="1582"/>
      <c r="L69" s="453"/>
    </row>
    <row r="70" spans="1:12" s="433" customFormat="1" ht="14.25" thickTop="1" thickBot="1" x14ac:dyDescent="0.25">
      <c r="A70" s="1261" t="s">
        <v>744</v>
      </c>
      <c r="B70" s="432">
        <v>8810</v>
      </c>
      <c r="C70" s="1626">
        <f>_xll.cw_map("BR","10-&gt;7102.340")</f>
        <v>0</v>
      </c>
      <c r="D70" s="1626">
        <f>_xll.cw_map("BR","20-&gt;7102.340")</f>
        <v>525000</v>
      </c>
      <c r="E70" s="1582"/>
      <c r="F70" s="1582"/>
      <c r="G70" s="1582"/>
      <c r="H70" s="1582"/>
      <c r="I70" s="1582"/>
      <c r="J70" s="1582"/>
      <c r="K70" s="1582"/>
      <c r="L70" s="453"/>
    </row>
    <row r="71" spans="1:12" s="433" customFormat="1" ht="14.25" thickTop="1" thickBot="1" x14ac:dyDescent="0.25">
      <c r="A71" s="1261" t="s">
        <v>748</v>
      </c>
      <c r="B71" s="432">
        <v>8820</v>
      </c>
      <c r="C71" s="1626">
        <f>_xll.cw_map("BR","10-&gt;7102.350")</f>
        <v>0</v>
      </c>
      <c r="D71" s="1626">
        <f>_xll.cw_map("BR","20-&gt;7102.350")</f>
        <v>0</v>
      </c>
      <c r="E71" s="1582"/>
      <c r="F71" s="1582"/>
      <c r="G71" s="1582"/>
      <c r="H71" s="1582"/>
      <c r="I71" s="1582"/>
      <c r="J71" s="1582"/>
      <c r="K71" s="1582"/>
      <c r="L71" s="453"/>
    </row>
    <row r="72" spans="1:12" s="433" customFormat="1" ht="14.25" thickTop="1" thickBot="1" x14ac:dyDescent="0.25">
      <c r="A72" s="1261" t="s">
        <v>745</v>
      </c>
      <c r="B72" s="432">
        <v>8830</v>
      </c>
      <c r="C72" s="1626">
        <f>_xll.cw_map("BR","10-&gt;7102.360")</f>
        <v>0</v>
      </c>
      <c r="D72" s="1626">
        <f>_xll.cw_map("BR","20-&gt;7102.360")</f>
        <v>0</v>
      </c>
      <c r="E72" s="1582"/>
      <c r="F72" s="1582"/>
      <c r="G72" s="1582"/>
      <c r="H72" s="1582"/>
      <c r="I72" s="1582"/>
      <c r="J72" s="1582"/>
      <c r="K72" s="1582"/>
      <c r="L72" s="453"/>
    </row>
    <row r="73" spans="1:12" s="433" customFormat="1" ht="14.25" thickTop="1" thickBot="1" x14ac:dyDescent="0.25">
      <c r="A73" s="1261" t="s">
        <v>746</v>
      </c>
      <c r="B73" s="432">
        <v>8840</v>
      </c>
      <c r="C73" s="1626">
        <f>_xll.cw_map("BR","10-&gt;7102.370")</f>
        <v>0</v>
      </c>
      <c r="D73" s="1626">
        <f>_xll.cw_map("BR","20-&gt;7102.370")</f>
        <v>0</v>
      </c>
      <c r="E73" s="1582"/>
      <c r="F73" s="1582"/>
      <c r="G73" s="1582"/>
      <c r="H73" s="1582"/>
      <c r="I73" s="1582"/>
      <c r="J73" s="1582"/>
      <c r="K73" s="1585"/>
      <c r="L73" s="453"/>
    </row>
    <row r="74" spans="1:12" s="433" customFormat="1" ht="14.25" thickTop="1" thickBot="1" x14ac:dyDescent="0.25">
      <c r="A74" s="1261" t="s">
        <v>371</v>
      </c>
      <c r="B74" s="432">
        <v>8910</v>
      </c>
      <c r="C74" s="1626">
        <f>_xll.cw_map("BR","10-&gt;7102.380")</f>
        <v>0</v>
      </c>
      <c r="D74" s="1626">
        <f>_xll.cw_map("BR","20-&gt;7102.380")</f>
        <v>0</v>
      </c>
      <c r="E74" s="1585"/>
      <c r="F74" s="1625">
        <f>_xll.cw_map("BR","40-&gt;7102.380")</f>
        <v>0</v>
      </c>
      <c r="G74" s="1625">
        <f>_xll.cw_map("BR","50-&gt;7102.380")</f>
        <v>0</v>
      </c>
      <c r="H74" s="1625">
        <f>_xll.cw_map("BR","60-&gt;7102.380")</f>
        <v>0</v>
      </c>
      <c r="I74" s="1585"/>
      <c r="J74" s="1585"/>
      <c r="K74" s="1625">
        <f>_xll.cw_map("BR","90-&gt;7102.380")</f>
        <v>0</v>
      </c>
      <c r="L74" s="453"/>
    </row>
    <row r="75" spans="1:12" s="433" customFormat="1" ht="14.25" thickTop="1" thickBot="1" x14ac:dyDescent="0.25">
      <c r="A75" s="1264" t="s">
        <v>435</v>
      </c>
      <c r="B75" s="432">
        <v>8990</v>
      </c>
      <c r="C75" s="1626">
        <f>_xll.cw_map("BR","10-&gt;7102.390")</f>
        <v>0</v>
      </c>
      <c r="D75" s="1626">
        <f>_xll.cw_map("BR","20-&gt;7102.390")</f>
        <v>0</v>
      </c>
      <c r="E75" s="1625">
        <f>_xll.cw_map("BR","30-&gt;7102.390")</f>
        <v>0</v>
      </c>
      <c r="F75" s="1627">
        <f>_xll.cw_map("BR","40-&gt;7102.390")</f>
        <v>0</v>
      </c>
      <c r="G75" s="1627">
        <f>_xll.cw_map("BR","50-&gt;7102.390")</f>
        <v>0</v>
      </c>
      <c r="H75" s="1627">
        <f>_xll.cw_map("BR","60-&gt;7102.390")</f>
        <v>0</v>
      </c>
      <c r="I75" s="1625">
        <f>_xll.cw_map("BR","70-&gt;7102.390")</f>
        <v>0</v>
      </c>
      <c r="J75" s="1625">
        <f>_xll.cw_map("BR","80-&gt;7102.390")</f>
        <v>0</v>
      </c>
      <c r="K75" s="1627">
        <f>_xll.cw_map("BR","90-&gt;7102.390")</f>
        <v>0</v>
      </c>
      <c r="L75" s="453"/>
    </row>
    <row r="76" spans="1:12" s="433" customFormat="1" ht="14.25" thickTop="1" thickBot="1" x14ac:dyDescent="0.25">
      <c r="A76" s="2255" t="s">
        <v>436</v>
      </c>
      <c r="B76" s="2256"/>
      <c r="C76" s="1623">
        <f t="shared" ref="C76:K76" si="7">SUM(C47:C75)</f>
        <v>378075</v>
      </c>
      <c r="D76" s="1623">
        <f t="shared" si="7"/>
        <v>525000</v>
      </c>
      <c r="E76" s="1623">
        <f t="shared" si="7"/>
        <v>0</v>
      </c>
      <c r="F76" s="1623">
        <f t="shared" si="7"/>
        <v>0</v>
      </c>
      <c r="G76" s="1623">
        <f t="shared" si="7"/>
        <v>0</v>
      </c>
      <c r="H76" s="1623">
        <f t="shared" si="7"/>
        <v>0</v>
      </c>
      <c r="I76" s="1623">
        <f t="shared" si="7"/>
        <v>275000</v>
      </c>
      <c r="J76" s="1623">
        <f t="shared" si="7"/>
        <v>0</v>
      </c>
      <c r="K76" s="1623">
        <f t="shared" si="7"/>
        <v>0</v>
      </c>
      <c r="L76" s="453"/>
    </row>
    <row r="77" spans="1:12" ht="14.25" thickTop="1" thickBot="1" x14ac:dyDescent="0.25">
      <c r="A77" s="2257" t="s">
        <v>1168</v>
      </c>
      <c r="B77" s="2258"/>
      <c r="C77" s="1623">
        <f t="shared" ref="C77:K77" si="8">C44-C76</f>
        <v>53264</v>
      </c>
      <c r="D77" s="1623">
        <f t="shared" si="8"/>
        <v>-250000</v>
      </c>
      <c r="E77" s="1623">
        <f t="shared" si="8"/>
        <v>378075</v>
      </c>
      <c r="F77" s="1623">
        <f t="shared" si="8"/>
        <v>0</v>
      </c>
      <c r="G77" s="1623">
        <f t="shared" si="8"/>
        <v>0</v>
      </c>
      <c r="H77" s="1623">
        <f t="shared" si="8"/>
        <v>525000</v>
      </c>
      <c r="I77" s="1623">
        <f t="shared" si="8"/>
        <v>-275000</v>
      </c>
      <c r="J77" s="1623">
        <f t="shared" si="8"/>
        <v>0</v>
      </c>
      <c r="K77" s="1623">
        <f t="shared" si="8"/>
        <v>0</v>
      </c>
      <c r="L77" s="325"/>
    </row>
    <row r="78" spans="1:12" ht="21.75" customHeight="1" thickTop="1" thickBot="1" x14ac:dyDescent="0.25">
      <c r="A78" s="2261" t="s">
        <v>592</v>
      </c>
      <c r="B78" s="2262"/>
      <c r="C78" s="1628">
        <f t="shared" ref="C78:K78" si="9">C20+C77</f>
        <v>-1707818</v>
      </c>
      <c r="D78" s="1628">
        <f t="shared" si="9"/>
        <v>-201842</v>
      </c>
      <c r="E78" s="1628">
        <f t="shared" si="9"/>
        <v>422207</v>
      </c>
      <c r="F78" s="1628">
        <f t="shared" si="9"/>
        <v>92639</v>
      </c>
      <c r="G78" s="1628">
        <f t="shared" si="9"/>
        <v>-25519</v>
      </c>
      <c r="H78" s="1628">
        <f t="shared" si="9"/>
        <v>-19479259</v>
      </c>
      <c r="I78" s="1628">
        <f t="shared" si="9"/>
        <v>-164865</v>
      </c>
      <c r="J78" s="1628">
        <f t="shared" si="9"/>
        <v>0</v>
      </c>
      <c r="K78" s="1628">
        <f t="shared" si="9"/>
        <v>2</v>
      </c>
      <c r="L78" s="457"/>
    </row>
    <row r="79" spans="1:12" ht="13.5" thickTop="1" x14ac:dyDescent="0.2">
      <c r="A79" s="1843" t="str">
        <f>"Fund Balances - July 1, "&amp;'AFR20'!E2-1</f>
        <v>Fund Balances - July 1, 2019</v>
      </c>
      <c r="B79" s="458"/>
      <c r="C79" s="1583">
        <f>-_xll.cw_map("BR","10-&gt;3200")</f>
        <v>8874330</v>
      </c>
      <c r="D79" s="1629">
        <f>-_xll.cw_map("BR","20-&gt;3200")</f>
        <v>651817</v>
      </c>
      <c r="E79" s="1629">
        <f>-_xll.cw_map("BR","30-&gt;3200")</f>
        <v>722119</v>
      </c>
      <c r="F79" s="1629">
        <f>-_xll.cw_map("BR","40-&gt;3200")</f>
        <v>340490</v>
      </c>
      <c r="G79" s="1629">
        <f>-_xll.cw_map("BR","50-&gt;3200")</f>
        <v>231873</v>
      </c>
      <c r="H79" s="1629">
        <f>-_xll.cw_map("BR","60-&gt;3200")</f>
        <v>19482698</v>
      </c>
      <c r="I79" s="1629">
        <f>-_xll.cw_map("BR","70-&gt;3200")</f>
        <v>2411914</v>
      </c>
      <c r="J79" s="1629">
        <f>-_xll.cw_map("BR","80-&gt;3200")</f>
        <v>10</v>
      </c>
      <c r="K79" s="1629">
        <f>-_xll.cw_map("BR","90-&gt;3200")</f>
        <v>137</v>
      </c>
      <c r="L79" s="325"/>
    </row>
    <row r="80" spans="1:12" x14ac:dyDescent="0.2">
      <c r="A80" s="2267" t="s">
        <v>1771</v>
      </c>
      <c r="B80" s="2268"/>
      <c r="C80" s="1574"/>
      <c r="D80" s="1574"/>
      <c r="E80" s="1574"/>
      <c r="F80" s="1574"/>
      <c r="G80" s="1574"/>
      <c r="H80" s="1574"/>
      <c r="I80" s="1574"/>
      <c r="J80" s="1574"/>
      <c r="K80" s="1574"/>
      <c r="L80" s="325"/>
    </row>
    <row r="81" spans="1:12" ht="13.5" thickBot="1" x14ac:dyDescent="0.25">
      <c r="A81" s="2259" t="str">
        <f>"Fund Balances - June 30, "&amp;'AFR20'!E2</f>
        <v>Fund Balances - June 30, 2020</v>
      </c>
      <c r="B81" s="2260"/>
      <c r="C81" s="1594">
        <f>(SUM(C78:C80))</f>
        <v>7166512</v>
      </c>
      <c r="D81" s="1594">
        <f>SUM(D78:D80)</f>
        <v>449975</v>
      </c>
      <c r="E81" s="1594">
        <f t="shared" ref="E81:K81" si="10">SUM(E78:E80)</f>
        <v>1144326</v>
      </c>
      <c r="F81" s="1594">
        <f t="shared" si="10"/>
        <v>433129</v>
      </c>
      <c r="G81" s="1594">
        <f t="shared" si="10"/>
        <v>206354</v>
      </c>
      <c r="H81" s="1594">
        <f t="shared" si="10"/>
        <v>3439</v>
      </c>
      <c r="I81" s="1594">
        <f t="shared" si="10"/>
        <v>2247049</v>
      </c>
      <c r="J81" s="1594">
        <f t="shared" si="10"/>
        <v>10</v>
      </c>
      <c r="K81" s="1594">
        <f t="shared" si="10"/>
        <v>139</v>
      </c>
      <c r="L81" s="325"/>
    </row>
    <row r="82" spans="1:12" ht="0.75" customHeight="1" thickTop="1" thickBot="1" x14ac:dyDescent="0.25">
      <c r="A82" s="459" t="s">
        <v>339</v>
      </c>
      <c r="B82" s="460"/>
      <c r="C82" s="461">
        <f>(C81-C79)</f>
        <v>-1707818</v>
      </c>
      <c r="D82" s="461">
        <f t="shared" ref="D82:K82" si="11">(D81-D79)</f>
        <v>-201842</v>
      </c>
      <c r="E82" s="461">
        <f t="shared" si="11"/>
        <v>422207</v>
      </c>
      <c r="F82" s="461">
        <f t="shared" si="11"/>
        <v>92639</v>
      </c>
      <c r="G82" s="461">
        <f t="shared" si="11"/>
        <v>-25519</v>
      </c>
      <c r="H82" s="461">
        <f t="shared" si="11"/>
        <v>-19479259</v>
      </c>
      <c r="I82" s="461">
        <f t="shared" si="11"/>
        <v>-164865</v>
      </c>
      <c r="J82" s="461">
        <f t="shared" si="11"/>
        <v>0</v>
      </c>
      <c r="K82" s="461">
        <f t="shared" si="11"/>
        <v>2</v>
      </c>
    </row>
    <row r="83" spans="1:12" ht="14.25" hidden="1" thickTop="1" thickBot="1" x14ac:dyDescent="0.25">
      <c r="A83" s="462" t="s">
        <v>340</v>
      </c>
      <c r="B83" s="428"/>
      <c r="C83" s="463">
        <f>C82/C81</f>
        <v>-0.2383053290080307</v>
      </c>
      <c r="D83" s="463">
        <f t="shared" ref="D83:K83" si="12">D82/D81</f>
        <v>-0.44856269792766262</v>
      </c>
      <c r="E83" s="463">
        <f t="shared" si="12"/>
        <v>0.36895692311456701</v>
      </c>
      <c r="F83" s="463">
        <f t="shared" si="12"/>
        <v>0.21388316182938572</v>
      </c>
      <c r="G83" s="463">
        <f t="shared" si="12"/>
        <v>-0.12366612714073873</v>
      </c>
      <c r="H83" s="463">
        <f t="shared" si="12"/>
        <v>-5664.2218668217502</v>
      </c>
      <c r="I83" s="463">
        <f t="shared" si="12"/>
        <v>-7.3369561589444646E-2</v>
      </c>
      <c r="J83" s="463">
        <f t="shared" si="12"/>
        <v>0</v>
      </c>
      <c r="K83" s="463">
        <f t="shared" si="12"/>
        <v>1.4388489208633094E-2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6" activePane="bottomLeft" state="frozen"/>
      <selection pane="bottomLeft" activeCell="C206" sqref="C20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63" t="s">
        <v>1778</v>
      </c>
      <c r="B1" s="416"/>
      <c r="C1" s="417" t="s">
        <v>421</v>
      </c>
      <c r="D1" s="417" t="s">
        <v>422</v>
      </c>
      <c r="E1" s="417" t="s">
        <v>423</v>
      </c>
      <c r="F1" s="417" t="s">
        <v>424</v>
      </c>
      <c r="G1" s="417" t="s">
        <v>425</v>
      </c>
      <c r="H1" s="417" t="s">
        <v>426</v>
      </c>
      <c r="I1" s="417" t="s">
        <v>427</v>
      </c>
      <c r="J1" s="417" t="s">
        <v>428</v>
      </c>
      <c r="K1" s="417" t="s">
        <v>750</v>
      </c>
    </row>
    <row r="2" spans="1:12" ht="36" x14ac:dyDescent="0.2">
      <c r="A2" s="2264"/>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f>-_xll.cw_map("BR","10-&gt;4021.110.1")</f>
        <v>14904405</v>
      </c>
      <c r="D5" s="1645">
        <f>-_xll.cw_map("BR","20-&gt;4021.110.1")</f>
        <v>1605382</v>
      </c>
      <c r="E5" s="1645">
        <f>-_xll.cw_map("BR","30-&gt;4021.110.1")</f>
        <v>2920283</v>
      </c>
      <c r="F5" s="1645">
        <f>-_xll.cw_map("BR","40-&gt;4021.110.1")</f>
        <v>313634</v>
      </c>
      <c r="G5" s="1645">
        <f>-_xll.cw_map("BR","50-&gt;4021.110.1")</f>
        <v>192467</v>
      </c>
      <c r="H5" s="1645">
        <f>-_xll.cw_map("BR","60-&gt;4021.110.1")</f>
        <v>0</v>
      </c>
      <c r="I5" s="1645">
        <f>-_xll.cw_map("BR","70-&gt;4021.110.1")</f>
        <v>64474</v>
      </c>
      <c r="J5" s="1645">
        <f>-_xll.cw_map("BR","80-&gt;4021.110.1")</f>
        <v>0</v>
      </c>
      <c r="K5" s="1645">
        <f>-_xll.cw_map("BR","90-&gt;4021.110.1")</f>
        <v>0</v>
      </c>
    </row>
    <row r="6" spans="1:12" ht="15" x14ac:dyDescent="0.2">
      <c r="A6" s="427" t="s">
        <v>1645</v>
      </c>
      <c r="B6" s="429">
        <v>1130</v>
      </c>
      <c r="C6" s="1645">
        <f>-_xll.cw_map("BR","10-&gt;4021.110.2")</f>
        <v>0</v>
      </c>
      <c r="D6" s="1645">
        <f>-_xll.cw_map("BR","20-&gt;4021.110.2")</f>
        <v>0</v>
      </c>
      <c r="E6" s="1580"/>
      <c r="F6" s="1580"/>
      <c r="G6" s="1575"/>
      <c r="H6" s="1575"/>
      <c r="I6" s="1575"/>
      <c r="J6" s="1575"/>
      <c r="K6" s="1575"/>
    </row>
    <row r="7" spans="1:12" x14ac:dyDescent="0.2">
      <c r="A7" s="427" t="s">
        <v>110</v>
      </c>
      <c r="B7" s="471">
        <v>1140</v>
      </c>
      <c r="C7" s="1645">
        <f>-_xll.cw_map("BR","10-&gt;4021.110.3")</f>
        <v>0</v>
      </c>
      <c r="D7" s="1645">
        <f>-_xll.cw_map("BR","20-&gt;4021.110.3")</f>
        <v>0</v>
      </c>
      <c r="E7" s="1575"/>
      <c r="F7" s="1574">
        <f>-_xll.cw_map("BR","40-&gt;4021.110.3")</f>
        <v>0</v>
      </c>
      <c r="G7" s="1574">
        <f>-_xll.cw_map("BR","50-&gt;4021.110.3")</f>
        <v>0</v>
      </c>
      <c r="H7" s="1574">
        <f>-_xll.cw_map("BR","60-&gt;4021.110.3")</f>
        <v>0</v>
      </c>
      <c r="I7" s="1575"/>
      <c r="J7" s="1575"/>
      <c r="K7" s="1575"/>
    </row>
    <row r="8" spans="1:12" x14ac:dyDescent="0.2">
      <c r="A8" s="427" t="s">
        <v>409</v>
      </c>
      <c r="B8" s="429">
        <v>1150</v>
      </c>
      <c r="C8" s="1580"/>
      <c r="D8" s="1580"/>
      <c r="E8" s="1582"/>
      <c r="F8" s="1582"/>
      <c r="G8" s="1586">
        <f>-_xll.cw_map("BR","50-&gt;4021.110.4")</f>
        <v>127066</v>
      </c>
      <c r="H8" s="1575"/>
      <c r="I8" s="1575"/>
      <c r="J8" s="1575"/>
      <c r="K8" s="1575"/>
    </row>
    <row r="9" spans="1:12" x14ac:dyDescent="0.2">
      <c r="A9" s="430" t="s">
        <v>111</v>
      </c>
      <c r="B9" s="429">
        <v>1160</v>
      </c>
      <c r="C9" s="1575"/>
      <c r="D9" s="1574">
        <f>-_xll.cw_map("BR","20-&gt;4021.110.5")</f>
        <v>0</v>
      </c>
      <c r="E9" s="1574">
        <f>-_xll.cw_map("BR","30-&gt;4021.110.5")</f>
        <v>0</v>
      </c>
      <c r="F9" s="1576"/>
      <c r="G9" s="1580"/>
      <c r="H9" s="1574">
        <f>-_xll.cw_map("BR","60-&gt;4021.110.5")</f>
        <v>0</v>
      </c>
      <c r="I9" s="1575"/>
      <c r="J9" s="1575"/>
      <c r="K9" s="1575"/>
    </row>
    <row r="10" spans="1:12" x14ac:dyDescent="0.2">
      <c r="A10" s="430" t="s">
        <v>112</v>
      </c>
      <c r="B10" s="429">
        <v>1170</v>
      </c>
      <c r="C10" s="1574">
        <f>-_xll.cw_map("BR","10-&gt;4021.110.6")</f>
        <v>0</v>
      </c>
      <c r="D10" s="1622"/>
      <c r="E10" s="1622"/>
      <c r="F10" s="1576"/>
      <c r="G10" s="1575"/>
      <c r="H10" s="1575"/>
      <c r="I10" s="1575"/>
      <c r="J10" s="1575"/>
      <c r="K10" s="1575"/>
    </row>
    <row r="11" spans="1:12" x14ac:dyDescent="0.2">
      <c r="A11" s="430" t="s">
        <v>410</v>
      </c>
      <c r="B11" s="472">
        <v>1190</v>
      </c>
      <c r="C11" s="1631">
        <f>-_xll.cw_map("BR","10-&gt;4021.110.7")</f>
        <v>0</v>
      </c>
      <c r="D11" s="1573">
        <f>-_xll.cw_map("BR","20-&gt;4021.110.7")</f>
        <v>0</v>
      </c>
      <c r="E11" s="1573">
        <f>-_xll.cw_map("BR","30-&gt;4021.110.7")</f>
        <v>0</v>
      </c>
      <c r="F11" s="1573">
        <f>-_xll.cw_map("BR","40-&gt;4021.110.7")</f>
        <v>0</v>
      </c>
      <c r="G11" s="1573">
        <f>-_xll.cw_map("BR","50-&gt;4021.110.7")</f>
        <v>0</v>
      </c>
      <c r="H11" s="1573">
        <f>-_xll.cw_map("BR","60-&gt;4021.110.7")</f>
        <v>0</v>
      </c>
      <c r="I11" s="1573">
        <f>-_xll.cw_map("BR","70-&gt;4021.110.7")</f>
        <v>0</v>
      </c>
      <c r="J11" s="1574">
        <f>-_xll.cw_map("BR","80-&gt;4021.110.7")</f>
        <v>0</v>
      </c>
      <c r="K11" s="1573">
        <f>-_xll.cw_map("BR","90-&gt;4021.110.7")</f>
        <v>0</v>
      </c>
      <c r="L11" s="473"/>
    </row>
    <row r="12" spans="1:12" ht="12.75" customHeight="1" thickBot="1" x14ac:dyDescent="0.25">
      <c r="A12" s="1404" t="s">
        <v>29</v>
      </c>
      <c r="B12" s="1405"/>
      <c r="C12" s="1632">
        <f t="shared" ref="C12:K12" si="0">SUM(C5:C11)</f>
        <v>14904405</v>
      </c>
      <c r="D12" s="1632">
        <f t="shared" si="0"/>
        <v>1605382</v>
      </c>
      <c r="E12" s="1632">
        <f t="shared" si="0"/>
        <v>2920283</v>
      </c>
      <c r="F12" s="1632">
        <f t="shared" si="0"/>
        <v>313634</v>
      </c>
      <c r="G12" s="1632">
        <f t="shared" si="0"/>
        <v>319533</v>
      </c>
      <c r="H12" s="1632">
        <f t="shared" si="0"/>
        <v>0</v>
      </c>
      <c r="I12" s="1632">
        <f t="shared" si="0"/>
        <v>64474</v>
      </c>
      <c r="J12" s="1632">
        <f t="shared" si="0"/>
        <v>0</v>
      </c>
      <c r="K12" s="1594">
        <f t="shared" si="0"/>
        <v>0</v>
      </c>
    </row>
    <row r="13" spans="1:12" ht="15.75" customHeight="1" thickTop="1" x14ac:dyDescent="0.2">
      <c r="A13" s="1330" t="s">
        <v>447</v>
      </c>
      <c r="B13" s="1331">
        <v>1200</v>
      </c>
      <c r="C13" s="1633"/>
      <c r="D13" s="1633"/>
      <c r="E13" s="1633"/>
      <c r="F13" s="1633"/>
      <c r="G13" s="1633"/>
      <c r="H13" s="1633"/>
      <c r="I13" s="1633"/>
      <c r="J13" s="1633"/>
      <c r="K13" s="1575"/>
    </row>
    <row r="14" spans="1:12" x14ac:dyDescent="0.2">
      <c r="A14" s="427" t="s">
        <v>3</v>
      </c>
      <c r="B14" s="429">
        <v>1210</v>
      </c>
      <c r="C14" s="1631">
        <f>-_xll.cw_map("BR","10-&gt;4021.120.1")</f>
        <v>0</v>
      </c>
      <c r="D14" s="1573">
        <f>-_xll.cw_map("BR","20-&gt;4021.120.1")</f>
        <v>0</v>
      </c>
      <c r="E14" s="1573">
        <f>-_xll.cw_map("BR","30-&gt;4021.120.1")</f>
        <v>0</v>
      </c>
      <c r="F14" s="1573">
        <f>-_xll.cw_map("BR","40-&gt;4021.120.1")</f>
        <v>0</v>
      </c>
      <c r="G14" s="1573">
        <f>-_xll.cw_map("BR","50-&gt;4021.120.1")</f>
        <v>0</v>
      </c>
      <c r="H14" s="1573">
        <f>-_xll.cw_map("BR","60-&gt;4021.120.1")</f>
        <v>0</v>
      </c>
      <c r="I14" s="1573">
        <f>-_xll.cw_map("BR","70-&gt;4021.120.1")</f>
        <v>0</v>
      </c>
      <c r="J14" s="1574">
        <f>-_xll.cw_map("BR","80-&gt;4021.120.1")</f>
        <v>0</v>
      </c>
      <c r="K14" s="1573">
        <f>-_xll.cw_map("BR","90-&gt;4021.120.1")</f>
        <v>0</v>
      </c>
    </row>
    <row r="15" spans="1:12" ht="12.75" customHeight="1" x14ac:dyDescent="0.2">
      <c r="A15" s="427" t="s">
        <v>95</v>
      </c>
      <c r="B15" s="429">
        <v>1220</v>
      </c>
      <c r="C15" s="1631">
        <f>-_xll.cw_map("BR","10-&gt;4021.120.2")</f>
        <v>0</v>
      </c>
      <c r="D15" s="1573">
        <f>-_xll.cw_map("BR","20-&gt;4021.120.2")</f>
        <v>0</v>
      </c>
      <c r="E15" s="1573">
        <f>-_xll.cw_map("BR","30-&gt;4021.120.2")</f>
        <v>0</v>
      </c>
      <c r="F15" s="1573">
        <f>-_xll.cw_map("BR","40-&gt;4021.120.2")</f>
        <v>0</v>
      </c>
      <c r="G15" s="1573">
        <f>-_xll.cw_map("BR","50-&gt;4021.120.2")</f>
        <v>0</v>
      </c>
      <c r="H15" s="1573">
        <f>-_xll.cw_map("BR","60-&gt;4021.120.2")</f>
        <v>0</v>
      </c>
      <c r="I15" s="1573">
        <f>-_xll.cw_map("BR","70-&gt;4021.120.2")</f>
        <v>0</v>
      </c>
      <c r="J15" s="1574">
        <f>-_xll.cw_map("BR","80-&gt;4021.120.2")</f>
        <v>0</v>
      </c>
      <c r="K15" s="1573">
        <f>-_xll.cw_map("BR","90-&gt;4021.120.2")</f>
        <v>0</v>
      </c>
    </row>
    <row r="16" spans="1:12" ht="15" customHeight="1" x14ac:dyDescent="0.2">
      <c r="A16" s="427" t="s">
        <v>1646</v>
      </c>
      <c r="B16" s="471">
        <v>1230</v>
      </c>
      <c r="C16" s="1631">
        <f>-_xll.cw_map("BR","10-&gt;4022")</f>
        <v>74691</v>
      </c>
      <c r="D16" s="1573">
        <f>-_xll.cw_map("BR","20-&gt;4022")</f>
        <v>0</v>
      </c>
      <c r="E16" s="1573">
        <f>-_xll.cw_map("BR","30-&gt;4022")</f>
        <v>0</v>
      </c>
      <c r="F16" s="1573">
        <f>-_xll.cw_map("BR","40-&gt;4022")</f>
        <v>0</v>
      </c>
      <c r="G16" s="1573">
        <f>-_xll.cw_map("BR","50-&gt;4022")</f>
        <v>11000</v>
      </c>
      <c r="H16" s="1573">
        <f>-_xll.cw_map("BR","60-&gt;4022")</f>
        <v>0</v>
      </c>
      <c r="I16" s="1573">
        <f>-_xll.cw_map("BR","70-&gt;4022")</f>
        <v>0</v>
      </c>
      <c r="J16" s="1574">
        <f>-_xll.cw_map("BR","80-&gt;4022")</f>
        <v>0</v>
      </c>
      <c r="K16" s="1573">
        <f>-_xll.cw_map("BR","90-&gt;4022")</f>
        <v>0</v>
      </c>
    </row>
    <row r="17" spans="1:11" ht="12.75" customHeight="1" x14ac:dyDescent="0.2">
      <c r="A17" s="427" t="s">
        <v>801</v>
      </c>
      <c r="B17" s="429">
        <v>1290</v>
      </c>
      <c r="C17" s="1631">
        <f>-_xll.cw_map("BR","10-&gt;4021.120.4")</f>
        <v>0</v>
      </c>
      <c r="D17" s="1573">
        <f>-_xll.cw_map("BR","20-&gt;4021.120.4")</f>
        <v>0</v>
      </c>
      <c r="E17" s="1573">
        <f>-_xll.cw_map("BR","30-&gt;4021.120.4")</f>
        <v>0</v>
      </c>
      <c r="F17" s="1573">
        <f>-_xll.cw_map("BR","40-&gt;4021.120.4")</f>
        <v>0</v>
      </c>
      <c r="G17" s="1573">
        <f>-_xll.cw_map("BR","50-&gt;4021.120.4")</f>
        <v>0</v>
      </c>
      <c r="H17" s="1573">
        <f>-_xll.cw_map("BR","60-&gt;4021.120.4")</f>
        <v>0</v>
      </c>
      <c r="I17" s="1573">
        <f>-_xll.cw_map("BR","70-&gt;4021.120.4")</f>
        <v>0</v>
      </c>
      <c r="J17" s="1574">
        <f>-_xll.cw_map("BR","80-&gt;4021.120.4")</f>
        <v>0</v>
      </c>
      <c r="K17" s="1573">
        <f>-_xll.cw_map("BR","90-&gt;4021.120.4")</f>
        <v>0</v>
      </c>
    </row>
    <row r="18" spans="1:11" ht="12.75" customHeight="1" thickBot="1" x14ac:dyDescent="0.25">
      <c r="A18" s="1406" t="s">
        <v>533</v>
      </c>
      <c r="B18" s="1407"/>
      <c r="C18" s="1634">
        <f>SUM(C14:C17)</f>
        <v>74691</v>
      </c>
      <c r="D18" s="1634">
        <f t="shared" ref="D18:K18" si="1">SUM(D14:D17)</f>
        <v>0</v>
      </c>
      <c r="E18" s="1634">
        <f t="shared" si="1"/>
        <v>0</v>
      </c>
      <c r="F18" s="1634">
        <f t="shared" si="1"/>
        <v>0</v>
      </c>
      <c r="G18" s="1634">
        <f t="shared" si="1"/>
        <v>11000</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3">
        <f>-_xll.cw_map("BR","10-&gt;4023.110.1")</f>
        <v>67047</v>
      </c>
      <c r="D20" s="1575"/>
      <c r="E20" s="1575"/>
      <c r="F20" s="1575"/>
      <c r="G20" s="1575"/>
      <c r="H20" s="1575"/>
      <c r="I20" s="1575"/>
      <c r="J20" s="1575"/>
      <c r="K20" s="1575"/>
    </row>
    <row r="21" spans="1:11" ht="12.75" customHeight="1" x14ac:dyDescent="0.2">
      <c r="A21" s="427" t="s">
        <v>826</v>
      </c>
      <c r="B21" s="429">
        <v>1312</v>
      </c>
      <c r="C21" s="1631">
        <f>-_xll.cw_map("BR","10-&gt;4023.110.2")</f>
        <v>0</v>
      </c>
      <c r="D21" s="1575"/>
      <c r="E21" s="1575"/>
      <c r="F21" s="1575"/>
      <c r="G21" s="1575"/>
      <c r="H21" s="1575"/>
      <c r="I21" s="1575"/>
      <c r="J21" s="1575"/>
      <c r="K21" s="1575"/>
    </row>
    <row r="22" spans="1:11" ht="12.75" customHeight="1" x14ac:dyDescent="0.2">
      <c r="A22" s="427" t="s">
        <v>1066</v>
      </c>
      <c r="B22" s="429">
        <v>1313</v>
      </c>
      <c r="C22" s="1631">
        <f>-_xll.cw_map("BR","10-&gt;4023.110.3")</f>
        <v>0</v>
      </c>
      <c r="D22" s="1575"/>
      <c r="E22" s="1575"/>
      <c r="F22" s="1575"/>
      <c r="G22" s="1575"/>
      <c r="H22" s="1575"/>
      <c r="I22" s="1575"/>
      <c r="J22" s="1575"/>
      <c r="K22" s="1575"/>
    </row>
    <row r="23" spans="1:11" ht="12.75" customHeight="1" x14ac:dyDescent="0.2">
      <c r="A23" s="427" t="s">
        <v>1067</v>
      </c>
      <c r="B23" s="429">
        <v>1314</v>
      </c>
      <c r="C23" s="1597">
        <f>-_xll.cw_map("BR","10-&gt;4023.110.4")</f>
        <v>0</v>
      </c>
      <c r="D23" s="1575"/>
      <c r="E23" s="1575"/>
      <c r="F23" s="1575"/>
      <c r="G23" s="1575"/>
      <c r="H23" s="1575"/>
      <c r="I23" s="1575"/>
      <c r="J23" s="1575"/>
      <c r="K23" s="1575"/>
    </row>
    <row r="24" spans="1:11" ht="12.75" customHeight="1" x14ac:dyDescent="0.2">
      <c r="A24" s="427" t="s">
        <v>1019</v>
      </c>
      <c r="B24" s="429">
        <v>1321</v>
      </c>
      <c r="C24" s="1631">
        <f>-_xll.cw_map("BR","10-&gt;4023.111.1")</f>
        <v>0</v>
      </c>
      <c r="D24" s="1575"/>
      <c r="E24" s="1575"/>
      <c r="F24" s="1575"/>
      <c r="G24" s="1575"/>
      <c r="H24" s="1575"/>
      <c r="I24" s="1575"/>
      <c r="J24" s="1575"/>
      <c r="K24" s="1575"/>
    </row>
    <row r="25" spans="1:11" ht="12.75" customHeight="1" x14ac:dyDescent="0.2">
      <c r="A25" s="427" t="s">
        <v>827</v>
      </c>
      <c r="B25" s="429">
        <v>1322</v>
      </c>
      <c r="C25" s="1631">
        <f>-_xll.cw_map("BR","10-&gt;4023.111.2")</f>
        <v>0</v>
      </c>
      <c r="D25" s="1575"/>
      <c r="E25" s="1575"/>
      <c r="F25" s="1575"/>
      <c r="G25" s="1575"/>
      <c r="H25" s="1575"/>
      <c r="I25" s="1575"/>
      <c r="J25" s="1575"/>
      <c r="K25" s="1575"/>
    </row>
    <row r="26" spans="1:11" ht="12.75" customHeight="1" x14ac:dyDescent="0.2">
      <c r="A26" s="427" t="s">
        <v>1093</v>
      </c>
      <c r="B26" s="429">
        <v>1323</v>
      </c>
      <c r="C26" s="1631">
        <f>-_xll.cw_map("BR","10-&gt;4023.111.3")</f>
        <v>0</v>
      </c>
      <c r="D26" s="1575"/>
      <c r="E26" s="1575"/>
      <c r="F26" s="1575"/>
      <c r="G26" s="1575"/>
      <c r="H26" s="1575"/>
      <c r="I26" s="1575"/>
      <c r="J26" s="1575"/>
      <c r="K26" s="1575"/>
    </row>
    <row r="27" spans="1:11" ht="12.75" customHeight="1" x14ac:dyDescent="0.2">
      <c r="A27" s="427" t="s">
        <v>1015</v>
      </c>
      <c r="B27" s="429">
        <v>1324</v>
      </c>
      <c r="C27" s="1597">
        <f>-_xll.cw_map("BR","10-&gt;4023.111.4")</f>
        <v>0</v>
      </c>
      <c r="D27" s="1575"/>
      <c r="E27" s="1575"/>
      <c r="F27" s="1575"/>
      <c r="G27" s="1575"/>
      <c r="H27" s="1575"/>
      <c r="I27" s="1575"/>
      <c r="J27" s="1575"/>
      <c r="K27" s="1575"/>
    </row>
    <row r="28" spans="1:11" ht="12.75" customHeight="1" x14ac:dyDescent="0.2">
      <c r="A28" s="427" t="s">
        <v>1016</v>
      </c>
      <c r="B28" s="429">
        <v>1331</v>
      </c>
      <c r="C28" s="1631">
        <f>-_xll.cw_map("BR","10-&gt;4023.112.1")</f>
        <v>0</v>
      </c>
      <c r="D28" s="1575"/>
      <c r="E28" s="1575"/>
      <c r="F28" s="1575"/>
      <c r="G28" s="1575"/>
      <c r="H28" s="1575"/>
      <c r="I28" s="1575"/>
      <c r="J28" s="1575"/>
      <c r="K28" s="1575"/>
    </row>
    <row r="29" spans="1:11" ht="12.75" customHeight="1" x14ac:dyDescent="0.2">
      <c r="A29" s="427" t="s">
        <v>828</v>
      </c>
      <c r="B29" s="429">
        <v>1332</v>
      </c>
      <c r="C29" s="1631">
        <f>-_xll.cw_map("BR","10-&gt;4023.112.2")</f>
        <v>0</v>
      </c>
      <c r="D29" s="1575"/>
      <c r="E29" s="1575"/>
      <c r="F29" s="1575"/>
      <c r="G29" s="1575"/>
      <c r="H29" s="1575"/>
      <c r="I29" s="1575"/>
      <c r="J29" s="1575"/>
      <c r="K29" s="1575"/>
    </row>
    <row r="30" spans="1:11" ht="12.75" customHeight="1" x14ac:dyDescent="0.2">
      <c r="A30" s="427" t="s">
        <v>1018</v>
      </c>
      <c r="B30" s="429">
        <v>1333</v>
      </c>
      <c r="C30" s="1631">
        <f>-_xll.cw_map("BR","10-&gt;4023.112.3")</f>
        <v>0</v>
      </c>
      <c r="D30" s="1575"/>
      <c r="E30" s="1575"/>
      <c r="F30" s="1575"/>
      <c r="G30" s="1575"/>
      <c r="H30" s="1575"/>
      <c r="I30" s="1575"/>
      <c r="J30" s="1575"/>
      <c r="K30" s="1575"/>
    </row>
    <row r="31" spans="1:11" ht="12.75" customHeight="1" x14ac:dyDescent="0.2">
      <c r="A31" s="427" t="s">
        <v>1017</v>
      </c>
      <c r="B31" s="429">
        <v>1334</v>
      </c>
      <c r="C31" s="1597">
        <f>-_xll.cw_map("BR","10-&gt;4023.112.4")</f>
        <v>0</v>
      </c>
      <c r="D31" s="1575"/>
      <c r="E31" s="1575"/>
      <c r="F31" s="1575"/>
      <c r="G31" s="1575"/>
      <c r="H31" s="1575"/>
      <c r="I31" s="1575"/>
      <c r="J31" s="1575"/>
      <c r="K31" s="1575"/>
    </row>
    <row r="32" spans="1:11" ht="12.75" customHeight="1" x14ac:dyDescent="0.2">
      <c r="A32" s="427" t="s">
        <v>490</v>
      </c>
      <c r="B32" s="429">
        <v>1341</v>
      </c>
      <c r="C32" s="1631">
        <f>-_xll.cw_map("BR","10-&gt;4023.113.1")</f>
        <v>0</v>
      </c>
      <c r="D32" s="1575"/>
      <c r="E32" s="1575"/>
      <c r="F32" s="1575"/>
      <c r="G32" s="1575"/>
      <c r="H32" s="1575"/>
      <c r="I32" s="1575"/>
      <c r="J32" s="1575"/>
      <c r="K32" s="1575"/>
    </row>
    <row r="33" spans="1:11" ht="12.75" customHeight="1" x14ac:dyDescent="0.2">
      <c r="A33" s="427" t="s">
        <v>829</v>
      </c>
      <c r="B33" s="429">
        <v>1342</v>
      </c>
      <c r="C33" s="1631">
        <f>-_xll.cw_map("BR","10-&gt;4023.113.2")</f>
        <v>1324</v>
      </c>
      <c r="D33" s="1575"/>
      <c r="E33" s="1575"/>
      <c r="F33" s="1575"/>
      <c r="G33" s="1575"/>
      <c r="H33" s="1575"/>
      <c r="I33" s="1575"/>
      <c r="J33" s="1575"/>
      <c r="K33" s="1575"/>
    </row>
    <row r="34" spans="1:11" ht="12.75" customHeight="1" x14ac:dyDescent="0.2">
      <c r="A34" s="427" t="s">
        <v>491</v>
      </c>
      <c r="B34" s="429">
        <v>1343</v>
      </c>
      <c r="C34" s="1631">
        <f>-_xll.cw_map("BR","10-&gt;4023.113.3")</f>
        <v>0</v>
      </c>
      <c r="D34" s="1575"/>
      <c r="E34" s="1575"/>
      <c r="F34" s="1575"/>
      <c r="G34" s="1575"/>
      <c r="H34" s="1575"/>
      <c r="I34" s="1575"/>
      <c r="J34" s="1575"/>
      <c r="K34" s="1575"/>
    </row>
    <row r="35" spans="1:11" ht="12.75" customHeight="1" x14ac:dyDescent="0.2">
      <c r="A35" s="427" t="s">
        <v>489</v>
      </c>
      <c r="B35" s="429">
        <v>1344</v>
      </c>
      <c r="C35" s="1597">
        <f>-_xll.cw_map("BR","10-&gt;4023.113.4")</f>
        <v>0</v>
      </c>
      <c r="D35" s="1575"/>
      <c r="E35" s="1575"/>
      <c r="F35" s="1575"/>
      <c r="G35" s="1575"/>
      <c r="H35" s="1575"/>
      <c r="I35" s="1575"/>
      <c r="J35" s="1575"/>
      <c r="K35" s="1575"/>
    </row>
    <row r="36" spans="1:11" ht="12.75" customHeight="1" x14ac:dyDescent="0.2">
      <c r="A36" s="427" t="s">
        <v>825</v>
      </c>
      <c r="B36" s="429">
        <v>1351</v>
      </c>
      <c r="C36" s="1631">
        <f>-_xll.cw_map("BR","10-&gt;4023.114.1")</f>
        <v>0</v>
      </c>
      <c r="D36" s="1575"/>
      <c r="E36" s="1575"/>
      <c r="F36" s="1575"/>
      <c r="G36" s="1575"/>
      <c r="H36" s="1575"/>
      <c r="I36" s="1575"/>
      <c r="J36" s="1575"/>
      <c r="K36" s="1575"/>
    </row>
    <row r="37" spans="1:11" ht="12.75" customHeight="1" x14ac:dyDescent="0.2">
      <c r="A37" s="427" t="s">
        <v>830</v>
      </c>
      <c r="B37" s="429">
        <v>1352</v>
      </c>
      <c r="C37" s="1631">
        <f>-_xll.cw_map("BR","10-&gt;4023.114.2")</f>
        <v>0</v>
      </c>
      <c r="D37" s="1575"/>
      <c r="E37" s="1575"/>
      <c r="F37" s="1575"/>
      <c r="G37" s="1575"/>
      <c r="H37" s="1575"/>
      <c r="I37" s="1575"/>
      <c r="J37" s="1575"/>
      <c r="K37" s="1575"/>
    </row>
    <row r="38" spans="1:11" ht="12.75" customHeight="1" x14ac:dyDescent="0.2">
      <c r="A38" s="427" t="s">
        <v>588</v>
      </c>
      <c r="B38" s="429">
        <v>1353</v>
      </c>
      <c r="C38" s="1631">
        <f>-_xll.cw_map("BR","10-&gt;4023.114.3")</f>
        <v>0</v>
      </c>
      <c r="D38" s="1575"/>
      <c r="E38" s="1575"/>
      <c r="F38" s="1575"/>
      <c r="G38" s="1575"/>
      <c r="H38" s="1575"/>
      <c r="I38" s="1575"/>
      <c r="J38" s="1575"/>
      <c r="K38" s="1575"/>
    </row>
    <row r="39" spans="1:11" ht="12.75" customHeight="1" x14ac:dyDescent="0.2">
      <c r="A39" s="1265" t="s">
        <v>589</v>
      </c>
      <c r="B39" s="474">
        <v>1354</v>
      </c>
      <c r="C39" s="1597">
        <f>-_xll.cw_map("BR","10-&gt;4023.114.4")</f>
        <v>0</v>
      </c>
      <c r="D39" s="1575"/>
      <c r="E39" s="1575"/>
      <c r="F39" s="1575"/>
      <c r="G39" s="1575"/>
      <c r="H39" s="1575"/>
      <c r="I39" s="1575"/>
      <c r="J39" s="1575"/>
      <c r="K39" s="1575"/>
    </row>
    <row r="40" spans="1:11" ht="12.75" customHeight="1" thickBot="1" x14ac:dyDescent="0.25">
      <c r="A40" s="1406" t="s">
        <v>534</v>
      </c>
      <c r="B40" s="1407"/>
      <c r="C40" s="1594">
        <f>SUM(C20:C39)</f>
        <v>68371</v>
      </c>
      <c r="D40" s="1575"/>
      <c r="E40" s="1575"/>
      <c r="F40" s="1575"/>
      <c r="G40" s="1575"/>
      <c r="H40" s="1575"/>
      <c r="I40" s="1575"/>
      <c r="J40" s="1575"/>
      <c r="K40" s="1575"/>
    </row>
    <row r="41" spans="1:11" ht="15.75" customHeight="1" thickTop="1" x14ac:dyDescent="0.2">
      <c r="A41" s="1330" t="s">
        <v>271</v>
      </c>
      <c r="B41" s="1331">
        <v>1400</v>
      </c>
      <c r="C41" s="1575"/>
      <c r="D41" s="1575"/>
      <c r="E41" s="1575"/>
      <c r="F41" s="1616"/>
      <c r="G41" s="1575"/>
      <c r="H41" s="1575"/>
      <c r="I41" s="1575"/>
      <c r="J41" s="1575"/>
      <c r="K41" s="1575"/>
    </row>
    <row r="42" spans="1:11" ht="12.75" customHeight="1" x14ac:dyDescent="0.2">
      <c r="A42" s="427" t="s">
        <v>1068</v>
      </c>
      <c r="B42" s="429">
        <v>1411</v>
      </c>
      <c r="C42" s="1575"/>
      <c r="D42" s="1575"/>
      <c r="E42" s="1575"/>
      <c r="F42" s="1586">
        <f>-_xll.cw_map("BR","40-&gt;4023.140.1")</f>
        <v>143648</v>
      </c>
      <c r="G42" s="1575"/>
      <c r="H42" s="1575"/>
      <c r="I42" s="1575"/>
      <c r="J42" s="1575"/>
      <c r="K42" s="1575"/>
    </row>
    <row r="43" spans="1:11" ht="12.75" customHeight="1" x14ac:dyDescent="0.2">
      <c r="A43" s="427" t="s">
        <v>831</v>
      </c>
      <c r="B43" s="429">
        <v>1412</v>
      </c>
      <c r="C43" s="1575"/>
      <c r="D43" s="1575"/>
      <c r="E43" s="1575"/>
      <c r="F43" s="1573">
        <f>-_xll.cw_map("BR","40-&gt;4023.140.2")</f>
        <v>0</v>
      </c>
      <c r="G43" s="1575"/>
      <c r="H43" s="1575"/>
      <c r="I43" s="1575"/>
      <c r="J43" s="1575"/>
      <c r="K43" s="1575"/>
    </row>
    <row r="44" spans="1:11" ht="12.75" customHeight="1" x14ac:dyDescent="0.2">
      <c r="A44" s="427" t="s">
        <v>380</v>
      </c>
      <c r="B44" s="429">
        <v>1413</v>
      </c>
      <c r="C44" s="1575"/>
      <c r="D44" s="1575"/>
      <c r="E44" s="1575"/>
      <c r="F44" s="1573">
        <f>-_xll.cw_map("BR","40-&gt;4023.140.3")</f>
        <v>0</v>
      </c>
      <c r="G44" s="1575"/>
      <c r="H44" s="1575"/>
      <c r="I44" s="1575"/>
      <c r="J44" s="1575"/>
      <c r="K44" s="1575"/>
    </row>
    <row r="45" spans="1:11" ht="12.75" customHeight="1" x14ac:dyDescent="0.2">
      <c r="A45" s="427" t="s">
        <v>238</v>
      </c>
      <c r="B45" s="429">
        <v>1415</v>
      </c>
      <c r="C45" s="1575"/>
      <c r="D45" s="1575"/>
      <c r="E45" s="1575"/>
      <c r="F45" s="1573">
        <f>-_xll.cw_map("BR","40-&gt;4023.140.4")</f>
        <v>0</v>
      </c>
      <c r="G45" s="1575"/>
      <c r="H45" s="1575"/>
      <c r="I45" s="1575"/>
      <c r="J45" s="1575"/>
      <c r="K45" s="1575"/>
    </row>
    <row r="46" spans="1:11" ht="12.75" customHeight="1" x14ac:dyDescent="0.2">
      <c r="A46" s="427" t="s">
        <v>1165</v>
      </c>
      <c r="B46" s="429">
        <v>1416</v>
      </c>
      <c r="C46" s="1575"/>
      <c r="D46" s="1575"/>
      <c r="E46" s="1575"/>
      <c r="F46" s="1574">
        <f>-_xll.cw_map("BR","40-&gt;4023.140.5")</f>
        <v>0</v>
      </c>
      <c r="G46" s="1575"/>
      <c r="H46" s="1575"/>
      <c r="I46" s="1575"/>
      <c r="J46" s="1575"/>
      <c r="K46" s="1575"/>
    </row>
    <row r="47" spans="1:11" ht="12.75" customHeight="1" x14ac:dyDescent="0.2">
      <c r="A47" s="427" t="s">
        <v>57</v>
      </c>
      <c r="B47" s="429">
        <v>1421</v>
      </c>
      <c r="C47" s="1575"/>
      <c r="D47" s="1575"/>
      <c r="E47" s="1575"/>
      <c r="F47" s="1573">
        <f>-_xll.cw_map("BR","40-&gt;4023.141.1")</f>
        <v>0</v>
      </c>
      <c r="G47" s="1575"/>
      <c r="H47" s="1575"/>
      <c r="I47" s="1575"/>
      <c r="J47" s="1575"/>
      <c r="K47" s="1575"/>
    </row>
    <row r="48" spans="1:11" ht="12.75" customHeight="1" x14ac:dyDescent="0.2">
      <c r="A48" s="427" t="s">
        <v>832</v>
      </c>
      <c r="B48" s="429">
        <v>1422</v>
      </c>
      <c r="C48" s="1575"/>
      <c r="D48" s="1575"/>
      <c r="E48" s="1575"/>
      <c r="F48" s="1573">
        <f>-_xll.cw_map("BR","40-&gt;4023.141.2")</f>
        <v>0</v>
      </c>
      <c r="G48" s="1575"/>
      <c r="H48" s="1575"/>
      <c r="I48" s="1575"/>
      <c r="J48" s="1575"/>
      <c r="K48" s="1575"/>
    </row>
    <row r="49" spans="1:11" ht="12.75" customHeight="1" x14ac:dyDescent="0.2">
      <c r="A49" s="427" t="s">
        <v>58</v>
      </c>
      <c r="B49" s="429">
        <v>1423</v>
      </c>
      <c r="C49" s="1575"/>
      <c r="D49" s="1575"/>
      <c r="E49" s="1575"/>
      <c r="F49" s="1573">
        <f>-_xll.cw_map("BR","40-&gt;4023.141.3")</f>
        <v>0</v>
      </c>
      <c r="G49" s="1575"/>
      <c r="H49" s="1575"/>
      <c r="I49" s="1575"/>
      <c r="J49" s="1575"/>
      <c r="K49" s="1575"/>
    </row>
    <row r="50" spans="1:11" ht="12.75" customHeight="1" x14ac:dyDescent="0.2">
      <c r="A50" s="427" t="s">
        <v>59</v>
      </c>
      <c r="B50" s="429">
        <v>1424</v>
      </c>
      <c r="C50" s="1575"/>
      <c r="D50" s="1575"/>
      <c r="E50" s="1575"/>
      <c r="F50" s="1574">
        <f>-_xll.cw_map("BR","40-&gt;4023.141.5")</f>
        <v>0</v>
      </c>
      <c r="G50" s="1575"/>
      <c r="H50" s="1575"/>
      <c r="I50" s="1575"/>
      <c r="J50" s="1575"/>
      <c r="K50" s="1575"/>
    </row>
    <row r="51" spans="1:11" ht="12.75" customHeight="1" x14ac:dyDescent="0.2">
      <c r="A51" s="1266" t="s">
        <v>60</v>
      </c>
      <c r="B51" s="475">
        <v>1431</v>
      </c>
      <c r="C51" s="1575"/>
      <c r="D51" s="1575"/>
      <c r="E51" s="1575"/>
      <c r="F51" s="1573">
        <f>-_xll.cw_map("BR","40-&gt;4023.142.1")</f>
        <v>0</v>
      </c>
      <c r="G51" s="1575"/>
      <c r="H51" s="1575"/>
      <c r="I51" s="1575"/>
      <c r="J51" s="1575"/>
      <c r="K51" s="1575"/>
    </row>
    <row r="52" spans="1:11" ht="12.75" customHeight="1" x14ac:dyDescent="0.2">
      <c r="A52" s="1266" t="s">
        <v>1098</v>
      </c>
      <c r="B52" s="475">
        <v>1432</v>
      </c>
      <c r="C52" s="1575"/>
      <c r="D52" s="1575"/>
      <c r="E52" s="1575"/>
      <c r="F52" s="1573">
        <f>-_xll.cw_map("BR","40-&gt;4023.142.2")</f>
        <v>0</v>
      </c>
      <c r="G52" s="1575"/>
      <c r="H52" s="1575"/>
      <c r="I52" s="1575"/>
      <c r="J52" s="1575"/>
      <c r="K52" s="1575"/>
    </row>
    <row r="53" spans="1:11" ht="12.75" customHeight="1" x14ac:dyDescent="0.2">
      <c r="A53" s="1266" t="s">
        <v>61</v>
      </c>
      <c r="B53" s="475">
        <v>1433</v>
      </c>
      <c r="C53" s="1575"/>
      <c r="D53" s="1575"/>
      <c r="E53" s="1575"/>
      <c r="F53" s="1573">
        <f>-_xll.cw_map("BR","40-&gt;4023.142.3")</f>
        <v>0</v>
      </c>
      <c r="G53" s="1575"/>
      <c r="H53" s="1575"/>
      <c r="I53" s="1575"/>
      <c r="J53" s="1575"/>
      <c r="K53" s="1575"/>
    </row>
    <row r="54" spans="1:11" ht="12.75" customHeight="1" x14ac:dyDescent="0.2">
      <c r="A54" s="1266" t="s">
        <v>62</v>
      </c>
      <c r="B54" s="475">
        <v>1434</v>
      </c>
      <c r="C54" s="1575"/>
      <c r="D54" s="1575"/>
      <c r="E54" s="1575"/>
      <c r="F54" s="1574">
        <f>-_xll.cw_map("BR","40-&gt;4023.142.5")</f>
        <v>0</v>
      </c>
      <c r="G54" s="1575"/>
      <c r="H54" s="1575"/>
      <c r="I54" s="1575"/>
      <c r="J54" s="1575"/>
      <c r="K54" s="1575"/>
    </row>
    <row r="55" spans="1:11" ht="12.75" customHeight="1" x14ac:dyDescent="0.2">
      <c r="A55" s="1266" t="s">
        <v>63</v>
      </c>
      <c r="B55" s="475">
        <v>1441</v>
      </c>
      <c r="C55" s="1575"/>
      <c r="D55" s="1575"/>
      <c r="E55" s="1575"/>
      <c r="F55" s="1573">
        <f>-_xll.cw_map("BR","40-&gt;4023.143.1")</f>
        <v>0</v>
      </c>
      <c r="G55" s="1575"/>
      <c r="H55" s="1575"/>
      <c r="I55" s="1575"/>
      <c r="J55" s="1575"/>
      <c r="K55" s="1575"/>
    </row>
    <row r="56" spans="1:11" ht="12.75" customHeight="1" x14ac:dyDescent="0.2">
      <c r="A56" s="1266" t="s">
        <v>1099</v>
      </c>
      <c r="B56" s="475">
        <v>1442</v>
      </c>
      <c r="C56" s="1575"/>
      <c r="D56" s="1575"/>
      <c r="E56" s="1575"/>
      <c r="F56" s="1573">
        <f>-_xll.cw_map("BR","40-&gt;4023.143.2")</f>
        <v>0</v>
      </c>
      <c r="G56" s="1575"/>
      <c r="H56" s="1575"/>
      <c r="I56" s="1575"/>
      <c r="J56" s="1575"/>
      <c r="K56" s="1575"/>
    </row>
    <row r="57" spans="1:11" ht="12.75" customHeight="1" x14ac:dyDescent="0.2">
      <c r="A57" s="1266" t="s">
        <v>485</v>
      </c>
      <c r="B57" s="475">
        <v>1443</v>
      </c>
      <c r="C57" s="1575"/>
      <c r="D57" s="1575"/>
      <c r="E57" s="1575"/>
      <c r="F57" s="1573">
        <f>-_xll.cw_map("BR","40-&gt;4023.143.3")</f>
        <v>0</v>
      </c>
      <c r="G57" s="1575"/>
      <c r="H57" s="1575"/>
      <c r="I57" s="1575"/>
      <c r="J57" s="1575"/>
      <c r="K57" s="1575"/>
    </row>
    <row r="58" spans="1:11" ht="12.75" customHeight="1" x14ac:dyDescent="0.2">
      <c r="A58" s="1266" t="s">
        <v>65</v>
      </c>
      <c r="B58" s="475">
        <v>1444</v>
      </c>
      <c r="C58" s="1575"/>
      <c r="D58" s="1575"/>
      <c r="E58" s="1575"/>
      <c r="F58" s="1573">
        <f>-_xll.cw_map("BR","40-&gt;4023.143.5")</f>
        <v>0</v>
      </c>
      <c r="G58" s="1575"/>
      <c r="H58" s="1575"/>
      <c r="I58" s="1575"/>
      <c r="J58" s="1575"/>
      <c r="K58" s="1575"/>
    </row>
    <row r="59" spans="1:11" ht="12.75" customHeight="1" x14ac:dyDescent="0.2">
      <c r="A59" s="1266" t="s">
        <v>872</v>
      </c>
      <c r="B59" s="475">
        <v>1451</v>
      </c>
      <c r="C59" s="1575"/>
      <c r="D59" s="1575"/>
      <c r="E59" s="1575"/>
      <c r="F59" s="1573">
        <f>-_xll.cw_map("BR","40-&gt;4023.144.1")</f>
        <v>0</v>
      </c>
      <c r="G59" s="1575"/>
      <c r="H59" s="1575"/>
      <c r="I59" s="1575"/>
      <c r="J59" s="1575"/>
      <c r="K59" s="1575"/>
    </row>
    <row r="60" spans="1:11" ht="12.75" customHeight="1" x14ac:dyDescent="0.2">
      <c r="A60" s="1266" t="s">
        <v>1100</v>
      </c>
      <c r="B60" s="475">
        <v>1452</v>
      </c>
      <c r="C60" s="1575"/>
      <c r="D60" s="1575"/>
      <c r="E60" s="1575"/>
      <c r="F60" s="1573">
        <f>-_xll.cw_map("BR","40-&gt;4023.144.2")</f>
        <v>0</v>
      </c>
      <c r="G60" s="1575"/>
      <c r="H60" s="1575"/>
      <c r="I60" s="1575"/>
      <c r="J60" s="1575"/>
      <c r="K60" s="1575"/>
    </row>
    <row r="61" spans="1:11" ht="12.75" customHeight="1" x14ac:dyDescent="0.2">
      <c r="A61" s="479" t="s">
        <v>873</v>
      </c>
      <c r="B61" s="475">
        <v>1453</v>
      </c>
      <c r="C61" s="1575"/>
      <c r="D61" s="1575"/>
      <c r="E61" s="1575"/>
      <c r="F61" s="1573">
        <f>-_xll.cw_map("BR","40-&gt;4023.144.3")</f>
        <v>0</v>
      </c>
      <c r="G61" s="1575"/>
      <c r="H61" s="1575"/>
      <c r="I61" s="1575"/>
      <c r="J61" s="1575"/>
      <c r="K61" s="1575"/>
    </row>
    <row r="62" spans="1:11" ht="12.75" customHeight="1" x14ac:dyDescent="0.2">
      <c r="A62" s="1267" t="s">
        <v>874</v>
      </c>
      <c r="B62" s="476">
        <v>1454</v>
      </c>
      <c r="C62" s="1575"/>
      <c r="D62" s="1575"/>
      <c r="E62" s="1575"/>
      <c r="F62" s="1574">
        <f>-_xll.cw_map("BR","40-&gt;4023.144.5")</f>
        <v>0</v>
      </c>
      <c r="G62" s="1575"/>
      <c r="H62" s="1575"/>
      <c r="I62" s="1575"/>
      <c r="J62" s="1575"/>
      <c r="K62" s="1575"/>
    </row>
    <row r="63" spans="1:11" ht="12.75" customHeight="1" thickBot="1" x14ac:dyDescent="0.25">
      <c r="A63" s="1406" t="s">
        <v>481</v>
      </c>
      <c r="B63" s="1407"/>
      <c r="C63" s="1575"/>
      <c r="D63" s="1575"/>
      <c r="E63" s="1575"/>
      <c r="F63" s="1594">
        <f>SUM(F42:F62)</f>
        <v>143648</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f>-_xll.cw_map("BR","10-&gt;4028.110")</f>
        <v>128836</v>
      </c>
      <c r="D65" s="1573">
        <f>-_xll.cw_map("BR","20-&gt;4028.110")</f>
        <v>6715</v>
      </c>
      <c r="E65" s="1573">
        <f>-_xll.cw_map("BR","30-&gt;4028.110")</f>
        <v>30602</v>
      </c>
      <c r="F65" s="1574">
        <f>-_xll.cw_map("BR","40-&gt;4028.110")</f>
        <v>11776</v>
      </c>
      <c r="G65" s="1573">
        <f>-_xll.cw_map("BR","50-&gt;4028.110")</f>
        <v>1896</v>
      </c>
      <c r="H65" s="1573">
        <f>-_xll.cw_map("BR","60-&gt;4028.110")</f>
        <v>242655</v>
      </c>
      <c r="I65" s="1573">
        <f>-_xll.cw_map("BR","70-&gt;4028.110")</f>
        <v>45661</v>
      </c>
      <c r="J65" s="1574">
        <f>-_xll.cw_map("BR","80-&gt;4028.110")</f>
        <v>0</v>
      </c>
      <c r="K65" s="1573">
        <f>-_xll.cw_map("BR","90-&gt;4028.110")</f>
        <v>2</v>
      </c>
    </row>
    <row r="66" spans="1:11" ht="12.75" customHeight="1" x14ac:dyDescent="0.2">
      <c r="A66" s="427" t="s">
        <v>673</v>
      </c>
      <c r="B66" s="429">
        <v>1520</v>
      </c>
      <c r="C66" s="1573">
        <f>-_xll.cw_map("BR","10-&gt;4028.120")</f>
        <v>0</v>
      </c>
      <c r="D66" s="1573">
        <f>-_xll.cw_map("BR","20-&gt;4028.120")</f>
        <v>0</v>
      </c>
      <c r="E66" s="1573">
        <f>-_xll.cw_map("BR","30-&gt;4028.120")</f>
        <v>0</v>
      </c>
      <c r="F66" s="1573">
        <f>-_xll.cw_map("BR","40-&gt;4028.120")</f>
        <v>0</v>
      </c>
      <c r="G66" s="1573">
        <f>-_xll.cw_map("BR","50-&gt;4028.120")</f>
        <v>0</v>
      </c>
      <c r="H66" s="1573">
        <f>-_xll.cw_map("BR","60-&gt;4028.120")</f>
        <v>0</v>
      </c>
      <c r="I66" s="1573">
        <f>-_xll.cw_map("BR","70-&gt;4028.120")</f>
        <v>0</v>
      </c>
      <c r="J66" s="1574">
        <f>-_xll.cw_map("BR","80-&gt;4028.120")</f>
        <v>0</v>
      </c>
      <c r="K66" s="1573">
        <f>-_xll.cw_map("BR","90-&gt;4028.120")</f>
        <v>0</v>
      </c>
    </row>
    <row r="67" spans="1:11" ht="12.75" customHeight="1" thickBot="1" x14ac:dyDescent="0.25">
      <c r="A67" s="1406" t="s">
        <v>482</v>
      </c>
      <c r="B67" s="1407"/>
      <c r="C67" s="1594">
        <f>SUM(C65:C66)</f>
        <v>128836</v>
      </c>
      <c r="D67" s="1594">
        <f t="shared" ref="D67:K67" si="2">SUM(D65:D66)</f>
        <v>6715</v>
      </c>
      <c r="E67" s="1594">
        <f t="shared" si="2"/>
        <v>30602</v>
      </c>
      <c r="F67" s="1594">
        <f t="shared" si="2"/>
        <v>11776</v>
      </c>
      <c r="G67" s="1594">
        <f t="shared" si="2"/>
        <v>1896</v>
      </c>
      <c r="H67" s="1594">
        <f t="shared" si="2"/>
        <v>242655</v>
      </c>
      <c r="I67" s="1594">
        <f t="shared" si="2"/>
        <v>45661</v>
      </c>
      <c r="J67" s="1594">
        <f t="shared" si="2"/>
        <v>0</v>
      </c>
      <c r="K67" s="1594">
        <f t="shared" si="2"/>
        <v>2</v>
      </c>
    </row>
    <row r="68" spans="1:11" ht="15.75" customHeight="1" thickTop="1" x14ac:dyDescent="0.2">
      <c r="A68" s="1330" t="s">
        <v>451</v>
      </c>
      <c r="B68" s="1332">
        <v>1600</v>
      </c>
      <c r="C68" s="1633"/>
      <c r="D68" s="1575"/>
      <c r="E68" s="1575"/>
      <c r="F68" s="1575"/>
      <c r="G68" s="1575"/>
      <c r="H68" s="1575"/>
      <c r="I68" s="1575"/>
      <c r="J68" s="1575"/>
      <c r="K68" s="1575"/>
    </row>
    <row r="69" spans="1:11" ht="12.75" customHeight="1" x14ac:dyDescent="0.2">
      <c r="A69" s="427" t="s">
        <v>660</v>
      </c>
      <c r="B69" s="429">
        <v>1611</v>
      </c>
      <c r="C69" s="1573">
        <f>-_xll.cw_map("BR","10-&gt;4023.120.1")</f>
        <v>162507</v>
      </c>
      <c r="D69" s="1575"/>
      <c r="E69" s="1575"/>
      <c r="F69" s="1575"/>
      <c r="G69" s="1575"/>
      <c r="H69" s="1575"/>
      <c r="I69" s="1575"/>
      <c r="J69" s="1575"/>
      <c r="K69" s="1575"/>
    </row>
    <row r="70" spans="1:11" ht="12.75" customHeight="1" x14ac:dyDescent="0.2">
      <c r="A70" s="427" t="s">
        <v>989</v>
      </c>
      <c r="B70" s="429">
        <v>1612</v>
      </c>
      <c r="C70" s="1631">
        <f>-_xll.cw_map("BR","10-&gt;4023.120.2")</f>
        <v>0</v>
      </c>
      <c r="D70" s="1575"/>
      <c r="E70" s="1575"/>
      <c r="F70" s="1575"/>
      <c r="G70" s="1575"/>
      <c r="H70" s="1575"/>
      <c r="I70" s="1575"/>
      <c r="J70" s="1575"/>
      <c r="K70" s="1575"/>
    </row>
    <row r="71" spans="1:11" ht="12.75" customHeight="1" x14ac:dyDescent="0.2">
      <c r="A71" s="427" t="s">
        <v>270</v>
      </c>
      <c r="B71" s="429">
        <v>1613</v>
      </c>
      <c r="C71" s="1631">
        <f>-_xll.cw_map("BR","10-&gt;4023.120.3")</f>
        <v>0</v>
      </c>
      <c r="D71" s="1575"/>
      <c r="E71" s="1575"/>
      <c r="F71" s="1575"/>
      <c r="G71" s="1575"/>
      <c r="H71" s="1575"/>
      <c r="I71" s="1575"/>
      <c r="J71" s="1575"/>
      <c r="K71" s="1575"/>
    </row>
    <row r="72" spans="1:11" ht="12.75" customHeight="1" x14ac:dyDescent="0.2">
      <c r="A72" s="427" t="s">
        <v>24</v>
      </c>
      <c r="B72" s="429">
        <v>1614</v>
      </c>
      <c r="C72" s="1631">
        <f>-_xll.cw_map("BR","10-&gt;4023.120.4")</f>
        <v>0</v>
      </c>
      <c r="D72" s="1575"/>
      <c r="E72" s="1575"/>
      <c r="F72" s="1575"/>
      <c r="G72" s="1575"/>
      <c r="H72" s="1575"/>
      <c r="I72" s="1575"/>
      <c r="J72" s="1575"/>
      <c r="K72" s="1575"/>
    </row>
    <row r="73" spans="1:11" ht="12.75" customHeight="1" x14ac:dyDescent="0.2">
      <c r="A73" s="427" t="s">
        <v>990</v>
      </c>
      <c r="B73" s="429">
        <v>1620</v>
      </c>
      <c r="C73" s="1631">
        <f>-_xll.cw_map("BR","10-&gt;4023.120.5")</f>
        <v>0</v>
      </c>
      <c r="D73" s="1575"/>
      <c r="E73" s="1575"/>
      <c r="F73" s="1575"/>
      <c r="G73" s="1575"/>
      <c r="H73" s="1575"/>
      <c r="I73" s="1575"/>
      <c r="J73" s="1575"/>
      <c r="K73" s="1575"/>
    </row>
    <row r="74" spans="1:11" ht="12.75" customHeight="1" x14ac:dyDescent="0.2">
      <c r="A74" s="427" t="s">
        <v>25</v>
      </c>
      <c r="B74" s="429">
        <v>1690</v>
      </c>
      <c r="C74" s="1631">
        <f>-_xll.cw_map("BR","10-&gt;4023.120.6")</f>
        <v>0</v>
      </c>
      <c r="D74" s="1575"/>
      <c r="E74" s="1575"/>
      <c r="F74" s="1575"/>
      <c r="G74" s="1575"/>
      <c r="H74" s="1575"/>
      <c r="I74" s="1575"/>
      <c r="J74" s="1575"/>
      <c r="K74" s="1575"/>
    </row>
    <row r="75" spans="1:11" ht="12.75" customHeight="1" thickBot="1" x14ac:dyDescent="0.25">
      <c r="A75" s="1406" t="s">
        <v>543</v>
      </c>
      <c r="B75" s="1407"/>
      <c r="C75" s="1594">
        <f>SUM(C69:C74)</f>
        <v>162507</v>
      </c>
      <c r="D75" s="1575"/>
      <c r="E75" s="1575"/>
      <c r="F75" s="1575"/>
      <c r="G75" s="1575"/>
      <c r="H75" s="1575"/>
      <c r="I75" s="1575"/>
      <c r="J75" s="1575"/>
      <c r="K75" s="1575"/>
    </row>
    <row r="76" spans="1:11" ht="15.75" customHeight="1" thickTop="1" x14ac:dyDescent="0.2">
      <c r="A76" s="1330" t="s">
        <v>875</v>
      </c>
      <c r="B76" s="1332">
        <v>1700</v>
      </c>
      <c r="C76" s="1633"/>
      <c r="D76" s="1575"/>
      <c r="E76" s="1575"/>
      <c r="F76" s="1575"/>
      <c r="G76" s="1575"/>
      <c r="H76" s="1575"/>
      <c r="I76" s="1575"/>
      <c r="J76" s="1575"/>
      <c r="K76" s="1575"/>
    </row>
    <row r="77" spans="1:11" ht="12.75" customHeight="1" x14ac:dyDescent="0.2">
      <c r="A77" s="427" t="s">
        <v>544</v>
      </c>
      <c r="B77" s="429">
        <v>1711</v>
      </c>
      <c r="C77" s="1612">
        <f>-_xll.cw_map("BR","10-&gt;4023.150.1")</f>
        <v>0</v>
      </c>
      <c r="D77" s="1573">
        <f>-_xll.cw_map("BR","20-&gt;4023.150.1")</f>
        <v>0</v>
      </c>
      <c r="E77" s="1575"/>
      <c r="F77" s="1575"/>
      <c r="G77" s="1575"/>
      <c r="H77" s="1575"/>
      <c r="I77" s="1575"/>
      <c r="J77" s="1575"/>
      <c r="K77" s="1575"/>
    </row>
    <row r="78" spans="1:11" ht="12.75" customHeight="1" x14ac:dyDescent="0.2">
      <c r="A78" s="427" t="s">
        <v>76</v>
      </c>
      <c r="B78" s="429">
        <v>1719</v>
      </c>
      <c r="C78" s="1631">
        <f>-_xll.cw_map("BR","10-&gt;4023.150.2")</f>
        <v>0</v>
      </c>
      <c r="D78" s="1573">
        <f>-_xll.cw_map("BR","20-&gt;4023.150.2")</f>
        <v>0</v>
      </c>
      <c r="E78" s="1575"/>
      <c r="F78" s="1575"/>
      <c r="G78" s="1575"/>
      <c r="H78" s="1575"/>
      <c r="I78" s="1575"/>
      <c r="J78" s="1575"/>
      <c r="K78" s="1575"/>
    </row>
    <row r="79" spans="1:11" ht="12.75" customHeight="1" x14ac:dyDescent="0.2">
      <c r="A79" s="427" t="s">
        <v>545</v>
      </c>
      <c r="B79" s="429">
        <v>1720</v>
      </c>
      <c r="C79" s="1631">
        <f>-_xll.cw_map("BR","10-&gt;4023.150.3")</f>
        <v>49319</v>
      </c>
      <c r="D79" s="1573">
        <f>-_xll.cw_map("BR","20-&gt;4023.150.3")</f>
        <v>0</v>
      </c>
      <c r="E79" s="1575"/>
      <c r="F79" s="1575"/>
      <c r="G79" s="1575"/>
      <c r="H79" s="1575"/>
      <c r="I79" s="1575"/>
      <c r="J79" s="1575"/>
      <c r="K79" s="1575"/>
    </row>
    <row r="80" spans="1:11" ht="12.75" customHeight="1" x14ac:dyDescent="0.2">
      <c r="A80" s="427" t="s">
        <v>546</v>
      </c>
      <c r="B80" s="429">
        <v>1730</v>
      </c>
      <c r="C80" s="1631">
        <f>-_xll.cw_map("BR","10-&gt;4023.150.4")</f>
        <v>4540</v>
      </c>
      <c r="D80" s="1573">
        <f>-_xll.cw_map("BR","20-&gt;4023.150.4")</f>
        <v>0</v>
      </c>
      <c r="E80" s="1575"/>
      <c r="F80" s="1575"/>
      <c r="G80" s="1575"/>
      <c r="H80" s="1575"/>
      <c r="I80" s="1575"/>
      <c r="J80" s="1575"/>
      <c r="K80" s="1575"/>
    </row>
    <row r="81" spans="1:11" ht="12.75" customHeight="1" x14ac:dyDescent="0.2">
      <c r="A81" s="427" t="s">
        <v>26</v>
      </c>
      <c r="B81" s="429">
        <v>1790</v>
      </c>
      <c r="C81" s="1631">
        <f>-_xll.cw_map("BR","10-&gt;4023.150.5")</f>
        <v>0</v>
      </c>
      <c r="D81" s="1573">
        <f>-_xll.cw_map("BR","20-&gt;4023.150.5")</f>
        <v>0</v>
      </c>
      <c r="E81" s="1575"/>
      <c r="F81" s="1575"/>
      <c r="G81" s="1575"/>
      <c r="H81" s="1575"/>
      <c r="I81" s="1575"/>
      <c r="J81" s="1575"/>
      <c r="K81" s="1575"/>
    </row>
    <row r="82" spans="1:11" ht="12.75" customHeight="1" thickBot="1" x14ac:dyDescent="0.25">
      <c r="A82" s="1406" t="s">
        <v>239</v>
      </c>
      <c r="B82" s="1407"/>
      <c r="C82" s="1632">
        <f>SUM(C77:C81)</f>
        <v>53859</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547</v>
      </c>
      <c r="B84" s="429">
        <v>1811</v>
      </c>
      <c r="C84" s="1573">
        <f>-_xll.cw_map("BR","10-&gt;4023.130.1")</f>
        <v>163639</v>
      </c>
      <c r="D84" s="1575"/>
      <c r="E84" s="1575"/>
      <c r="F84" s="1575"/>
      <c r="G84" s="1575"/>
      <c r="H84" s="1575"/>
      <c r="I84" s="1575"/>
      <c r="J84" s="1575"/>
      <c r="K84" s="1575"/>
    </row>
    <row r="85" spans="1:11" ht="12.75" customHeight="1" x14ac:dyDescent="0.2">
      <c r="A85" s="427" t="s">
        <v>548</v>
      </c>
      <c r="B85" s="429">
        <v>1812</v>
      </c>
      <c r="C85" s="1631">
        <f>-_xll.cw_map("BR","10-&gt;4023.130.2")</f>
        <v>0</v>
      </c>
      <c r="D85" s="1575"/>
      <c r="E85" s="1575"/>
      <c r="F85" s="1575"/>
      <c r="G85" s="1575"/>
      <c r="H85" s="1575"/>
      <c r="I85" s="1575"/>
      <c r="J85" s="1575"/>
      <c r="K85" s="1575"/>
    </row>
    <row r="86" spans="1:11" ht="12.75" customHeight="1" x14ac:dyDescent="0.2">
      <c r="A86" s="427" t="s">
        <v>991</v>
      </c>
      <c r="B86" s="429">
        <v>1813</v>
      </c>
      <c r="C86" s="1631">
        <f>-_xll.cw_map("BR","10-&gt;4023.130.3")</f>
        <v>0</v>
      </c>
      <c r="D86" s="1575"/>
      <c r="E86" s="1575"/>
      <c r="F86" s="1575"/>
      <c r="G86" s="1575"/>
      <c r="H86" s="1575"/>
      <c r="I86" s="1575"/>
      <c r="J86" s="1575"/>
      <c r="K86" s="1575"/>
    </row>
    <row r="87" spans="1:11" ht="12.75" customHeight="1" x14ac:dyDescent="0.2">
      <c r="A87" s="427" t="s">
        <v>77</v>
      </c>
      <c r="B87" s="429">
        <v>1819</v>
      </c>
      <c r="C87" s="1631">
        <f>-_xll.cw_map("BR","10-&gt;4023.130.4")</f>
        <v>0</v>
      </c>
      <c r="D87" s="1575"/>
      <c r="E87" s="1575"/>
      <c r="F87" s="1575"/>
      <c r="G87" s="1575"/>
      <c r="H87" s="1575"/>
      <c r="I87" s="1575"/>
      <c r="J87" s="1575"/>
      <c r="K87" s="1575"/>
    </row>
    <row r="88" spans="1:11" ht="12.75" customHeight="1" x14ac:dyDescent="0.2">
      <c r="A88" s="427" t="s">
        <v>549</v>
      </c>
      <c r="B88" s="429">
        <v>1821</v>
      </c>
      <c r="C88" s="1631">
        <f>-_xll.cw_map("BR","10-&gt;4023.130.5")</f>
        <v>0</v>
      </c>
      <c r="D88" s="1575"/>
      <c r="E88" s="1575"/>
      <c r="F88" s="1575"/>
      <c r="G88" s="1575"/>
      <c r="H88" s="1575"/>
      <c r="I88" s="1575"/>
      <c r="J88" s="1575"/>
      <c r="K88" s="1575"/>
    </row>
    <row r="89" spans="1:11" ht="12.75" customHeight="1" x14ac:dyDescent="0.2">
      <c r="A89" s="427" t="s">
        <v>708</v>
      </c>
      <c r="B89" s="429">
        <v>1822</v>
      </c>
      <c r="C89" s="1631">
        <f>-_xll.cw_map("BR","10-&gt;4023.130.6")</f>
        <v>0</v>
      </c>
      <c r="D89" s="1575"/>
      <c r="E89" s="1575"/>
      <c r="F89" s="1575"/>
      <c r="G89" s="1575"/>
      <c r="H89" s="1575"/>
      <c r="I89" s="1575"/>
      <c r="J89" s="1575"/>
      <c r="K89" s="1575"/>
    </row>
    <row r="90" spans="1:11" ht="12.75" customHeight="1" x14ac:dyDescent="0.2">
      <c r="A90" s="427" t="s">
        <v>138</v>
      </c>
      <c r="B90" s="429">
        <v>1823</v>
      </c>
      <c r="C90" s="1631">
        <f>-_xll.cw_map("BR","10-&gt;4023.130.7")</f>
        <v>0</v>
      </c>
      <c r="D90" s="1575"/>
      <c r="E90" s="1575"/>
      <c r="F90" s="1575"/>
      <c r="G90" s="1575"/>
      <c r="H90" s="1575"/>
      <c r="I90" s="1575"/>
      <c r="J90" s="1575"/>
      <c r="K90" s="1575"/>
    </row>
    <row r="91" spans="1:11" ht="12.75" customHeight="1" x14ac:dyDescent="0.2">
      <c r="A91" s="427" t="s">
        <v>27</v>
      </c>
      <c r="B91" s="429">
        <v>1829</v>
      </c>
      <c r="C91" s="1631">
        <f>-_xll.cw_map("BR","10-&gt;4023.130.8")</f>
        <v>0</v>
      </c>
      <c r="D91" s="1575"/>
      <c r="E91" s="1575"/>
      <c r="F91" s="1575"/>
      <c r="G91" s="1575"/>
      <c r="H91" s="1575"/>
      <c r="I91" s="1575"/>
      <c r="J91" s="1575"/>
      <c r="K91" s="1575"/>
    </row>
    <row r="92" spans="1:11" ht="12.75" customHeight="1" x14ac:dyDescent="0.2">
      <c r="A92" s="427" t="s">
        <v>756</v>
      </c>
      <c r="B92" s="429">
        <v>1890</v>
      </c>
      <c r="C92" s="1631">
        <f>-_xll.cw_map("BR","10-&gt;4023.130.9")</f>
        <v>0</v>
      </c>
      <c r="D92" s="1575"/>
      <c r="E92" s="1575"/>
      <c r="F92" s="1575"/>
      <c r="G92" s="1575"/>
      <c r="H92" s="1575"/>
      <c r="I92" s="1575"/>
      <c r="J92" s="1575"/>
      <c r="K92" s="1575"/>
    </row>
    <row r="93" spans="1:11" ht="12.75" customHeight="1" thickBot="1" x14ac:dyDescent="0.25">
      <c r="A93" s="1406" t="s">
        <v>241</v>
      </c>
      <c r="B93" s="1407"/>
      <c r="C93" s="1594">
        <f>SUM(C84:C92)</f>
        <v>163639</v>
      </c>
      <c r="D93" s="1575"/>
      <c r="E93" s="1575"/>
      <c r="F93" s="1575"/>
      <c r="G93" s="1575"/>
      <c r="H93" s="1575"/>
      <c r="I93" s="1575"/>
      <c r="J93" s="1575"/>
      <c r="K93" s="1575"/>
    </row>
    <row r="94" spans="1:11" ht="15.75" customHeight="1" thickTop="1" x14ac:dyDescent="0.2">
      <c r="A94" s="1330" t="s">
        <v>1128</v>
      </c>
      <c r="B94" s="1332">
        <v>1900</v>
      </c>
      <c r="C94" s="1633"/>
      <c r="D94" s="1616"/>
      <c r="E94" s="1575"/>
      <c r="F94" s="1575"/>
      <c r="G94" s="1575"/>
      <c r="H94" s="1575"/>
      <c r="I94" s="1575"/>
      <c r="J94" s="1575"/>
      <c r="K94" s="1575"/>
    </row>
    <row r="95" spans="1:11" ht="12.75" customHeight="1" x14ac:dyDescent="0.2">
      <c r="A95" s="427" t="s">
        <v>1056</v>
      </c>
      <c r="B95" s="429">
        <v>1910</v>
      </c>
      <c r="C95" s="1573">
        <f>-_xll.cw_map("BR","10-&gt;4029.100")</f>
        <v>0</v>
      </c>
      <c r="D95" s="1631">
        <f>-_xll.cw_map("BR","20-&gt;4029.100")</f>
        <v>29005</v>
      </c>
      <c r="E95" s="1616"/>
      <c r="F95" s="1616"/>
      <c r="G95" s="1616"/>
      <c r="H95" s="1616"/>
      <c r="I95" s="1616"/>
      <c r="J95" s="1616"/>
      <c r="K95" s="1616"/>
    </row>
    <row r="96" spans="1:11" ht="12.75" customHeight="1" x14ac:dyDescent="0.2">
      <c r="A96" s="427" t="s">
        <v>387</v>
      </c>
      <c r="B96" s="429">
        <v>1920</v>
      </c>
      <c r="C96" s="1631">
        <f>-_xll.cw_map("BR","10-&gt;4029.105")</f>
        <v>5382</v>
      </c>
      <c r="D96" s="1631">
        <f>-_xll.cw_map("BR","20-&gt;4029.105")</f>
        <v>0</v>
      </c>
      <c r="E96" s="1584">
        <f>-_xll.cw_map("BR","30-&gt;4029.105")</f>
        <v>0</v>
      </c>
      <c r="F96" s="1583">
        <f>-_xll.cw_map("BR","40-&gt;4029.105")</f>
        <v>0</v>
      </c>
      <c r="G96" s="1583">
        <f>-_xll.cw_map("BR","50-&gt;4029.105")</f>
        <v>0</v>
      </c>
      <c r="H96" s="1583">
        <f>-_xll.cw_map("BR","60-&gt;4029.105")</f>
        <v>0</v>
      </c>
      <c r="I96" s="1583">
        <f>-_xll.cw_map("BR","70-&gt;4029.105")</f>
        <v>0</v>
      </c>
      <c r="J96" s="1583">
        <f>-_xll.cw_map("BR","80-&gt;4029.105")</f>
        <v>0</v>
      </c>
      <c r="K96" s="1583">
        <f>-_xll.cw_map("BR","90-&gt;4029.105")</f>
        <v>0</v>
      </c>
    </row>
    <row r="97" spans="1:12" ht="12.75" customHeight="1" x14ac:dyDescent="0.2">
      <c r="A97" s="1265" t="s">
        <v>242</v>
      </c>
      <c r="B97" s="477">
        <v>1930</v>
      </c>
      <c r="C97" s="1597">
        <f>-_xll.cw_map("BR","10-&gt;4029.110")</f>
        <v>0</v>
      </c>
      <c r="D97" s="1574">
        <f>-_xll.cw_map("BR","20-&gt;4029.110")</f>
        <v>0</v>
      </c>
      <c r="E97" s="1579">
        <f>-_xll.cw_map("BR","30-&gt;4029.110")</f>
        <v>0</v>
      </c>
      <c r="F97" s="1574">
        <f>-_xll.cw_map("BR","40-&gt;4029.110")</f>
        <v>0</v>
      </c>
      <c r="G97" s="1574">
        <f>-_xll.cw_map("BR","50-&gt;4029.110")</f>
        <v>0</v>
      </c>
      <c r="H97" s="1574">
        <f>-_xll.cw_map("BR","60-&gt;4029.110")</f>
        <v>0</v>
      </c>
      <c r="I97" s="1574">
        <f>-_xll.cw_map("BR","70-&gt;4029.110")</f>
        <v>0</v>
      </c>
      <c r="J97" s="1574">
        <f>-_xll.cw_map("BR","80-&gt;4029.110")</f>
        <v>0</v>
      </c>
      <c r="K97" s="1574">
        <f>-_xll.cw_map("BR","70-&gt;4029.110")</f>
        <v>0</v>
      </c>
    </row>
    <row r="98" spans="1:12" ht="12.75" customHeight="1" x14ac:dyDescent="0.2">
      <c r="A98" s="427" t="s">
        <v>188</v>
      </c>
      <c r="B98" s="429">
        <v>1940</v>
      </c>
      <c r="C98" s="1597">
        <f>-_xll.cw_map("BR","10-&gt;4029.115")</f>
        <v>0</v>
      </c>
      <c r="D98" s="1573">
        <f>-_xll.cw_map("BR","20-&gt;4029.115")</f>
        <v>0</v>
      </c>
      <c r="E98" s="1611"/>
      <c r="F98" s="1573">
        <f>-_xll.cw_map("BR","40-&gt;4029.115")</f>
        <v>0</v>
      </c>
      <c r="G98" s="1611"/>
      <c r="H98" s="1611"/>
      <c r="I98" s="1609"/>
      <c r="J98" s="1611"/>
      <c r="K98" s="1611"/>
    </row>
    <row r="99" spans="1:12" ht="12.75" customHeight="1" x14ac:dyDescent="0.2">
      <c r="A99" s="427" t="s">
        <v>815</v>
      </c>
      <c r="B99" s="429">
        <v>1950</v>
      </c>
      <c r="C99" s="1597">
        <f>-_xll.cw_map("BR","10-&gt;4029.120")</f>
        <v>2124</v>
      </c>
      <c r="D99" s="1573">
        <f>-_xll.cw_map("BR","20-&gt;4029.120")</f>
        <v>0</v>
      </c>
      <c r="E99" s="1573">
        <f>-_xll.cw_map("BR","30-&gt;4029.120")</f>
        <v>0</v>
      </c>
      <c r="F99" s="1573">
        <f>-_xll.cw_map("BR","40-&gt;4029.120")</f>
        <v>0</v>
      </c>
      <c r="G99" s="1573">
        <f>-_xll.cw_map("BR","50-&gt;4029.120")</f>
        <v>0</v>
      </c>
      <c r="H99" s="1573">
        <f>-_xll.cw_map("BR","60-&gt;4029.120")</f>
        <v>0</v>
      </c>
      <c r="I99" s="1575"/>
      <c r="J99" s="1574">
        <f>-_xll.cw_map("BR","80-&gt;4029.120")</f>
        <v>0</v>
      </c>
      <c r="K99" s="1573">
        <f>-_xll.cw_map("BR","90-&gt;4029.120")</f>
        <v>0</v>
      </c>
    </row>
    <row r="100" spans="1:12" ht="12.75" customHeight="1" x14ac:dyDescent="0.2">
      <c r="A100" s="427" t="s">
        <v>243</v>
      </c>
      <c r="B100" s="429">
        <v>1960</v>
      </c>
      <c r="C100" s="1597">
        <f>-_xll.cw_map("BR","10-&gt;4029.125")</f>
        <v>0</v>
      </c>
      <c r="D100" s="1597">
        <f>-_xll.cw_map("BR","20-&gt;4029.125")</f>
        <v>0</v>
      </c>
      <c r="E100" s="1597">
        <f>-_xll.cw_map("BR","30-&gt;4029.125")</f>
        <v>0</v>
      </c>
      <c r="F100" s="1597">
        <f>-_xll.cw_map("BR","40-&gt;4029.125")</f>
        <v>0</v>
      </c>
      <c r="G100" s="1597">
        <f>-_xll.cw_map("BR","50-&gt;4029.125")</f>
        <v>0</v>
      </c>
      <c r="H100" s="1597">
        <f>-_xll.cw_map("BR","60-&gt;4029.125")</f>
        <v>0</v>
      </c>
      <c r="I100" s="1574">
        <f>-_xll.cw_map("BR","70-&gt;4029.125")</f>
        <v>0</v>
      </c>
      <c r="J100" s="1597">
        <f>-_xll.cw_map("BR","80-&gt;4029.125")</f>
        <v>0</v>
      </c>
      <c r="K100" s="1574">
        <f>-_xll.cw_map("BR","90-&gt;4029.125")</f>
        <v>0</v>
      </c>
    </row>
    <row r="101" spans="1:12" ht="12.75" customHeight="1" x14ac:dyDescent="0.2">
      <c r="A101" s="427" t="s">
        <v>244</v>
      </c>
      <c r="B101" s="429">
        <v>1970</v>
      </c>
      <c r="C101" s="1597">
        <f>-_xll.cw_map("BR","10-&gt;4029.130")</f>
        <v>0</v>
      </c>
      <c r="D101" s="1622"/>
      <c r="E101" s="1585"/>
      <c r="F101" s="1622"/>
      <c r="G101" s="1580"/>
      <c r="H101" s="1622"/>
      <c r="I101" s="1575"/>
      <c r="J101" s="1580"/>
      <c r="K101" s="1580"/>
    </row>
    <row r="102" spans="1:12" ht="12.75" customHeight="1" x14ac:dyDescent="0.2">
      <c r="A102" s="427" t="s">
        <v>245</v>
      </c>
      <c r="B102" s="429">
        <v>1980</v>
      </c>
      <c r="C102" s="1597">
        <f>-_xll.cw_map("BR","10-&gt;4029.135")</f>
        <v>0</v>
      </c>
      <c r="D102" s="1597">
        <f>-_xll.cw_map("BR","20-&gt;4029.135")</f>
        <v>0</v>
      </c>
      <c r="E102" s="1597">
        <f>-_xll.cw_map("BR","30-&gt;4029.135")</f>
        <v>0</v>
      </c>
      <c r="F102" s="1597">
        <f>-_xll.cw_map("BR","40-&gt;4029.135")</f>
        <v>0</v>
      </c>
      <c r="G102" s="1597">
        <f>-_xll.cw_map("BR","50-&gt;4029.135")</f>
        <v>0</v>
      </c>
      <c r="H102" s="1597">
        <f>-_xll.cw_map("BR","60-&gt;4029.135")</f>
        <v>0</v>
      </c>
      <c r="I102" s="1574">
        <f>-_xll.cw_map("BR","70-&gt;4029.135")</f>
        <v>0</v>
      </c>
      <c r="J102" s="1597">
        <f>-_xll.cw_map("BR","80-&gt;4029.135")</f>
        <v>0</v>
      </c>
      <c r="K102" s="1574">
        <f>-_xll.cw_map("BR","90-&gt;4029.135")</f>
        <v>0</v>
      </c>
    </row>
    <row r="103" spans="1:12" ht="12.75" customHeight="1" x14ac:dyDescent="0.2">
      <c r="A103" s="427" t="s">
        <v>341</v>
      </c>
      <c r="B103" s="429">
        <v>1983</v>
      </c>
      <c r="C103" s="1575"/>
      <c r="D103" s="1575"/>
      <c r="E103" s="1638">
        <f>-_xll.cw_map("BR","30-&gt;4029.140")</f>
        <v>0</v>
      </c>
      <c r="F103" s="1575"/>
      <c r="G103" s="1575"/>
      <c r="H103" s="1597">
        <f>-_xll.cw_map("BR","60-&gt;4029.140")</f>
        <v>0</v>
      </c>
      <c r="I103" s="1575"/>
      <c r="J103" s="1609"/>
      <c r="K103" s="1609"/>
    </row>
    <row r="104" spans="1:12" ht="12.75" customHeight="1" x14ac:dyDescent="0.2">
      <c r="A104" s="427" t="s">
        <v>824</v>
      </c>
      <c r="B104" s="429">
        <v>1991</v>
      </c>
      <c r="C104" s="1597">
        <f>-_xll.cw_map("BR","10-&gt;4029.150")</f>
        <v>0</v>
      </c>
      <c r="D104" s="1573">
        <f>-_xll.cw_map("BR","20-&gt;4029.150")</f>
        <v>0</v>
      </c>
      <c r="E104" s="1586">
        <f>-_xll.cw_map("BR","30-&gt;4029.150")</f>
        <v>0</v>
      </c>
      <c r="F104" s="1574">
        <f>-_xll.cw_map("BR","40-&gt;4029.150")</f>
        <v>23244</v>
      </c>
      <c r="G104" s="1574">
        <f>-_xll.cw_map("BR","50-&gt;4029.150")</f>
        <v>0</v>
      </c>
      <c r="H104" s="1573">
        <f>-_xll.cw_map("BR","60-&gt;4029.150")</f>
        <v>0</v>
      </c>
      <c r="I104" s="1575"/>
      <c r="J104" s="1575"/>
      <c r="K104" s="1575"/>
    </row>
    <row r="105" spans="1:12" ht="12.75" customHeight="1" x14ac:dyDescent="0.2">
      <c r="A105" s="427" t="s">
        <v>816</v>
      </c>
      <c r="B105" s="429">
        <v>1992</v>
      </c>
      <c r="C105" s="1573">
        <f>-_xll.cw_map("BR","10-&gt;4029.155")</f>
        <v>0</v>
      </c>
      <c r="D105" s="1639"/>
      <c r="E105" s="1575"/>
      <c r="F105" s="1575"/>
      <c r="G105" s="1575"/>
      <c r="H105" s="1609"/>
      <c r="I105" s="1575"/>
      <c r="J105" s="1575"/>
      <c r="K105" s="1575"/>
    </row>
    <row r="106" spans="1:12" ht="12.75" customHeight="1" x14ac:dyDescent="0.2">
      <c r="A106" s="427" t="s">
        <v>1415</v>
      </c>
      <c r="B106" s="429">
        <v>1993</v>
      </c>
      <c r="C106" s="1573">
        <f>-_xll.cw_map("BR","10-&gt;4029.160")</f>
        <v>0</v>
      </c>
      <c r="D106" s="1597">
        <f>-_xll.cw_map("BR","20-&gt;4029.160")</f>
        <v>0</v>
      </c>
      <c r="E106" s="1574">
        <f>-_xll.cw_map("BR","30-&gt;4029.160")</f>
        <v>0</v>
      </c>
      <c r="F106" s="1574">
        <f>-_xll.cw_map("BR","40-&gt;4029.160")</f>
        <v>0</v>
      </c>
      <c r="G106" s="1574">
        <f>-_xll.cw_map("BR","50-&gt;4029.160")</f>
        <v>0</v>
      </c>
      <c r="H106" s="1574">
        <f>-_xll.cw_map("BR","60-&gt;4029.160")</f>
        <v>0</v>
      </c>
      <c r="I106" s="1616"/>
      <c r="J106" s="1574">
        <f>-_xll.cw_map("BR","80-&gt;4029.160")</f>
        <v>0</v>
      </c>
      <c r="K106" s="1574">
        <f>-_xll.cw_map("BR","90-&gt;4029.160")</f>
        <v>0</v>
      </c>
    </row>
    <row r="107" spans="1:12" ht="12.75" customHeight="1" x14ac:dyDescent="0.2">
      <c r="A107" s="427" t="s">
        <v>78</v>
      </c>
      <c r="B107" s="429">
        <v>1999</v>
      </c>
      <c r="C107" s="1631">
        <f>-_xll.cw_map("BR","10-&gt;4029.165")</f>
        <v>40534</v>
      </c>
      <c r="D107" s="1573">
        <f>-_xll.cw_map("BR","20-&gt;4029.165")</f>
        <v>52624</v>
      </c>
      <c r="E107" s="1573">
        <f>-_xll.cw_map("BR","30-&gt;4029.165")</f>
        <v>0</v>
      </c>
      <c r="F107" s="1573">
        <f>-_xll.cw_map("BR","40-&gt;4029.165")</f>
        <v>0</v>
      </c>
      <c r="G107" s="1573">
        <f>-_xll.cw_map("BR","50-&gt;4029.165")</f>
        <v>0</v>
      </c>
      <c r="H107" s="1573">
        <f>-_xll.cw_map("BR","60-&gt;4029.165")</f>
        <v>0</v>
      </c>
      <c r="I107" s="1573">
        <f>-_xll.cw_map("BR","70-&gt;4029.165")</f>
        <v>0</v>
      </c>
      <c r="J107" s="1574">
        <f>-_xll.cw_map("BR","80-&gt;4029.165")</f>
        <v>0</v>
      </c>
      <c r="K107" s="1573">
        <f>-_xll.cw_map("BR","90-&gt;4029.165")</f>
        <v>0</v>
      </c>
    </row>
    <row r="108" spans="1:12" ht="12.75" customHeight="1" thickBot="1" x14ac:dyDescent="0.25">
      <c r="A108" s="1406" t="s">
        <v>483</v>
      </c>
      <c r="B108" s="1408"/>
      <c r="C108" s="1632">
        <f>SUM(C95:C107)</f>
        <v>48040</v>
      </c>
      <c r="D108" s="1632">
        <f t="shared" ref="D108:K108" si="3">SUM(D95:D107)</f>
        <v>81629</v>
      </c>
      <c r="E108" s="1632">
        <f t="shared" si="3"/>
        <v>0</v>
      </c>
      <c r="F108" s="1632">
        <f t="shared" si="3"/>
        <v>23244</v>
      </c>
      <c r="G108" s="1632">
        <f t="shared" si="3"/>
        <v>0</v>
      </c>
      <c r="H108" s="1632">
        <f t="shared" si="3"/>
        <v>0</v>
      </c>
      <c r="I108" s="1632">
        <f t="shared" si="3"/>
        <v>0</v>
      </c>
      <c r="J108" s="1632">
        <f t="shared" si="3"/>
        <v>0</v>
      </c>
      <c r="K108" s="1594">
        <f t="shared" si="3"/>
        <v>0</v>
      </c>
    </row>
    <row r="109" spans="1:12" ht="14.25" thickTop="1" thickBot="1" x14ac:dyDescent="0.25">
      <c r="A109" s="1409" t="s">
        <v>246</v>
      </c>
      <c r="B109" s="1410" t="s">
        <v>565</v>
      </c>
      <c r="C109" s="1640">
        <f t="shared" ref="C109:K109" si="4">SUM(C12,C18,C40,C63,C67,C75,C82,C93,C108,)</f>
        <v>15604348</v>
      </c>
      <c r="D109" s="1640">
        <f t="shared" si="4"/>
        <v>1693726</v>
      </c>
      <c r="E109" s="1640">
        <f t="shared" si="4"/>
        <v>2950885</v>
      </c>
      <c r="F109" s="1640">
        <f t="shared" si="4"/>
        <v>492302</v>
      </c>
      <c r="G109" s="1640">
        <f t="shared" si="4"/>
        <v>332429</v>
      </c>
      <c r="H109" s="1640">
        <f t="shared" si="4"/>
        <v>242655</v>
      </c>
      <c r="I109" s="1640">
        <f t="shared" si="4"/>
        <v>110135</v>
      </c>
      <c r="J109" s="1640">
        <f t="shared" si="4"/>
        <v>0</v>
      </c>
      <c r="K109" s="1628">
        <f t="shared" si="4"/>
        <v>2</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f>-_xll.cw_map("BR","10-&gt;4012.110")</f>
        <v>0</v>
      </c>
      <c r="D111" s="1586">
        <f>-_xll.cw_map("BR","20-&gt;4012.110")</f>
        <v>0</v>
      </c>
      <c r="E111" s="1639"/>
      <c r="F111" s="1586">
        <f>-_xll.cw_map("BR","40-&gt;4012.110")</f>
        <v>0</v>
      </c>
      <c r="G111" s="1586">
        <f>-_xll.cw_map("BR","50-&gt;4012.110")</f>
        <v>0</v>
      </c>
      <c r="H111" s="1639"/>
      <c r="I111" s="1575"/>
      <c r="J111" s="1575"/>
      <c r="K111" s="1575"/>
    </row>
    <row r="112" spans="1:12" ht="12.75" customHeight="1" x14ac:dyDescent="0.2">
      <c r="A112" s="427" t="s">
        <v>818</v>
      </c>
      <c r="B112" s="429">
        <v>2200</v>
      </c>
      <c r="C112" s="1631">
        <f>-_xll.cw_map("BR","10-&gt;4012.120")</f>
        <v>0</v>
      </c>
      <c r="D112" s="1573">
        <f>-_xll.cw_map("BR","20-&gt;4012.120")</f>
        <v>0</v>
      </c>
      <c r="E112" s="1639"/>
      <c r="F112" s="1573">
        <f>-_xll.cw_map("BR","40-&gt;4012.120")</f>
        <v>0</v>
      </c>
      <c r="G112" s="1573">
        <f>-_xll.cw_map("BR","50-&gt;4012.120")</f>
        <v>0</v>
      </c>
      <c r="H112" s="1639"/>
      <c r="I112" s="1575"/>
      <c r="J112" s="1575"/>
      <c r="K112" s="1575"/>
      <c r="L112" s="473"/>
    </row>
    <row r="113" spans="1:11" ht="12.75" customHeight="1" x14ac:dyDescent="0.2">
      <c r="A113" s="427" t="s">
        <v>28</v>
      </c>
      <c r="B113" s="429">
        <v>2300</v>
      </c>
      <c r="C113" s="1631">
        <f>-_xll.cw_map("BR","10-&gt;4012.130")</f>
        <v>0</v>
      </c>
      <c r="D113" s="1573">
        <f>-_xll.cw_map("BR","20-&gt;4012.130")</f>
        <v>0</v>
      </c>
      <c r="E113" s="1639"/>
      <c r="F113" s="1573">
        <f>-_xll.cw_map("BR","40-&gt;4012.130")</f>
        <v>0</v>
      </c>
      <c r="G113" s="1573">
        <f>-_xll.cw_map("BR","50-&gt;4012.130")</f>
        <v>0</v>
      </c>
      <c r="H113" s="1639"/>
      <c r="I113" s="1575"/>
      <c r="J113" s="1575"/>
      <c r="K113" s="1575"/>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5"/>
      <c r="J114" s="1575"/>
      <c r="K114" s="1575"/>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5"/>
      <c r="J116" s="1616"/>
      <c r="K116" s="1616"/>
    </row>
    <row r="117" spans="1:11" ht="12.75" customHeight="1" x14ac:dyDescent="0.2">
      <c r="A117" s="427" t="s">
        <v>1650</v>
      </c>
      <c r="B117" s="478">
        <v>3001</v>
      </c>
      <c r="C117" s="1612">
        <f>-_xll.cw_map("BR","10-&gt;4011.110.1.1")</f>
        <v>1396017</v>
      </c>
      <c r="D117" s="1586">
        <f>-_xll.cw_map("BR","20-&gt;4011.110.1.1")</f>
        <v>0</v>
      </c>
      <c r="E117" s="1573">
        <f>-_xll.cw_map("BR","30-&gt;4011.110.1.1")</f>
        <v>0</v>
      </c>
      <c r="F117" s="1586">
        <f>-_xll.cw_map("BR","40-&gt;4011.110.1.1")</f>
        <v>0</v>
      </c>
      <c r="G117" s="1586">
        <f>-_xll.cw_map("BR","50-&gt;4011.110.1.1")</f>
        <v>0</v>
      </c>
      <c r="H117" s="1573">
        <f>-_xll.cw_map("BR","60-&gt;4011.110.1.1")</f>
        <v>0</v>
      </c>
      <c r="I117" s="1575"/>
      <c r="J117" s="1574">
        <f>-_xll.cw_map("BR","80-&gt;4011.110.1.1")</f>
        <v>0</v>
      </c>
      <c r="K117" s="1573">
        <f>-_xll.cw_map("BR","90-&gt;4011.110.1.1")</f>
        <v>0</v>
      </c>
    </row>
    <row r="118" spans="1:11" ht="12.75" customHeight="1" x14ac:dyDescent="0.2">
      <c r="A118" s="427" t="s">
        <v>1775</v>
      </c>
      <c r="B118" s="478">
        <v>3002</v>
      </c>
      <c r="C118" s="1631">
        <f>-_xll.cw_map("BR","10-&gt;4011.110.1.2")</f>
        <v>0</v>
      </c>
      <c r="D118" s="1573">
        <f>-_xll.cw_map("BR","20-&gt;4011.110.1.2")</f>
        <v>0</v>
      </c>
      <c r="E118" s="1573">
        <f>-_xll.cw_map("BR","30-&gt;4011.110.1.2")</f>
        <v>0</v>
      </c>
      <c r="F118" s="1573">
        <f>-_xll.cw_map("BR","40-&gt;4011.110.1.2")</f>
        <v>0</v>
      </c>
      <c r="G118" s="1573">
        <f>-_xll.cw_map("BR","50-&gt;4011.110.1.2")</f>
        <v>0</v>
      </c>
      <c r="H118" s="1573">
        <f>-_xll.cw_map("BR","60-&gt;4011.110.1.2")</f>
        <v>0</v>
      </c>
      <c r="I118" s="1575"/>
      <c r="J118" s="1574">
        <f>-_xll.cw_map("BR","80-&gt;4011.110.1.2")</f>
        <v>0</v>
      </c>
      <c r="K118" s="1573">
        <f>-_xll.cw_map("BR","90-&gt;4011.110.1.2")</f>
        <v>0</v>
      </c>
    </row>
    <row r="119" spans="1:11" ht="12.75" customHeight="1" x14ac:dyDescent="0.2">
      <c r="A119" s="427" t="s">
        <v>1776</v>
      </c>
      <c r="B119" s="478">
        <v>3005</v>
      </c>
      <c r="C119" s="1631">
        <f>-_xll.cw_map("BR","10-&gt;4011.110.1.3")</f>
        <v>0</v>
      </c>
      <c r="D119" s="1573">
        <f>-_xll.cw_map("BR","20-&gt;4011.110.1.3")</f>
        <v>0</v>
      </c>
      <c r="E119" s="1573">
        <f>-_xll.cw_map("BR","30-&gt;4011.110.1.3")</f>
        <v>0</v>
      </c>
      <c r="F119" s="1573">
        <f>-_xll.cw_map("BR","40-&gt;4011.110.1.3")</f>
        <v>0</v>
      </c>
      <c r="G119" s="1573">
        <f>-_xll.cw_map("BR","50-&gt;4011.110.1.3")</f>
        <v>0</v>
      </c>
      <c r="H119" s="1573">
        <f>-_xll.cw_map("BR","60-&gt;4011.110.1.3")</f>
        <v>0</v>
      </c>
      <c r="I119" s="1575"/>
      <c r="J119" s="1574">
        <f>-_xll.cw_map("BR","80-&gt;4011.110.1.3")</f>
        <v>0</v>
      </c>
      <c r="K119" s="1573">
        <f>-_xll.cw_map("BR","90-&gt;4011.110.1.3")</f>
        <v>0</v>
      </c>
    </row>
    <row r="120" spans="1:11" ht="12.75" customHeight="1" x14ac:dyDescent="0.2">
      <c r="A120" s="1539" t="s">
        <v>1894</v>
      </c>
      <c r="B120" s="478">
        <v>3030</v>
      </c>
      <c r="C120" s="1631">
        <f>-_xll.cw_map("BR","10-&gt;4011.110.1.4")</f>
        <v>0</v>
      </c>
      <c r="D120" s="1573">
        <f>-_xll.cw_map("BR","20-&gt;4011.110.1.4")</f>
        <v>0</v>
      </c>
      <c r="E120" s="1573">
        <f>-_xll.cw_map("BR","30-&gt;4011.110.1.4")</f>
        <v>0</v>
      </c>
      <c r="F120" s="1573">
        <f>-_xll.cw_map("BR","40-&gt;4011.110.1.4")</f>
        <v>0</v>
      </c>
      <c r="G120" s="1573">
        <f>-_xll.cw_map("BR","50-&gt;4011.110.1.4")</f>
        <v>0</v>
      </c>
      <c r="H120" s="1573">
        <f>-_xll.cw_map("BR","60-&gt;4011.110.1.4")</f>
        <v>0</v>
      </c>
      <c r="I120" s="1575"/>
      <c r="J120" s="1574">
        <f>-_xll.cw_map("BR","80-&gt;4011.110.1.4")</f>
        <v>0</v>
      </c>
      <c r="K120" s="1573">
        <f>-_xll.cw_map("BR","90-&gt;4011.110.1.4")</f>
        <v>0</v>
      </c>
    </row>
    <row r="121" spans="1:11" x14ac:dyDescent="0.2">
      <c r="A121" s="1266" t="s">
        <v>1777</v>
      </c>
      <c r="B121" s="480">
        <v>3099</v>
      </c>
      <c r="C121" s="1631">
        <f>-_xll.cw_map("BR","10-&gt;4011.110.1.5")</f>
        <v>0</v>
      </c>
      <c r="D121" s="1573">
        <f>-_xll.cw_map("BR","20-&gt;4011.110.1.5")</f>
        <v>0</v>
      </c>
      <c r="E121" s="1573">
        <f>-_xll.cw_map("BR","30-&gt;4011.110.1.5")</f>
        <v>0</v>
      </c>
      <c r="F121" s="1573">
        <f>-_xll.cw_map("BR","40-&gt;4011.110.1.5")</f>
        <v>0</v>
      </c>
      <c r="G121" s="1573">
        <f>-_xll.cw_map("BR","50-&gt;4011.110.1.5")</f>
        <v>0</v>
      </c>
      <c r="H121" s="1573">
        <f>-_xll.cw_map("BR","60-&gt;4011.110.1.5")</f>
        <v>0</v>
      </c>
      <c r="I121" s="1575"/>
      <c r="J121" s="1574">
        <f>-_xll.cw_map("BR","80-&gt;4011.110.1.5")</f>
        <v>0</v>
      </c>
      <c r="K121" s="1573">
        <f>-_xll.cw_map("BR","90-&gt;4011.110.1.5")</f>
        <v>0</v>
      </c>
    </row>
    <row r="122" spans="1:11" ht="12.6" customHeight="1" thickBot="1" x14ac:dyDescent="0.25">
      <c r="A122" s="1406" t="s">
        <v>484</v>
      </c>
      <c r="B122" s="1413"/>
      <c r="C122" s="1632">
        <f t="shared" ref="C122:H122" si="5">SUM(C117:C121)</f>
        <v>1396017</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1475</v>
      </c>
      <c r="B123" s="1335"/>
      <c r="C123" s="1643"/>
      <c r="D123" s="1608"/>
      <c r="E123" s="1575"/>
      <c r="F123" s="1644"/>
      <c r="G123" s="1575"/>
      <c r="H123" s="1575"/>
      <c r="I123" s="1575"/>
      <c r="J123" s="1575"/>
      <c r="K123" s="1575"/>
    </row>
    <row r="124" spans="1:11" ht="15" customHeight="1" x14ac:dyDescent="0.2">
      <c r="A124" s="1336" t="s">
        <v>661</v>
      </c>
      <c r="B124" s="1337"/>
      <c r="C124" s="1616"/>
      <c r="D124" s="1608"/>
      <c r="E124" s="1575"/>
      <c r="F124" s="1616"/>
      <c r="G124" s="1575"/>
      <c r="H124" s="1575"/>
      <c r="I124" s="1575"/>
      <c r="J124" s="1575"/>
      <c r="K124" s="1575"/>
    </row>
    <row r="125" spans="1:11" ht="12.75" customHeight="1" x14ac:dyDescent="0.2">
      <c r="A125" s="427" t="s">
        <v>860</v>
      </c>
      <c r="B125" s="481">
        <v>3100</v>
      </c>
      <c r="C125" s="1586">
        <f>-_xll.cw_map("BR","10-&gt;4011.120.1.1A")</f>
        <v>60067</v>
      </c>
      <c r="D125" s="1639"/>
      <c r="E125" s="1575"/>
      <c r="F125" s="1630">
        <f>-_xll.cw_map("BR","40-&gt;4011.120.1.1A")</f>
        <v>0</v>
      </c>
      <c r="G125" s="1575"/>
      <c r="H125" s="1575"/>
      <c r="I125" s="1575"/>
      <c r="J125" s="1575"/>
      <c r="K125" s="1575"/>
    </row>
    <row r="126" spans="1:11" ht="12.75" customHeight="1" x14ac:dyDescent="0.2">
      <c r="A126" s="427" t="s">
        <v>1431</v>
      </c>
      <c r="B126" s="478">
        <v>3105</v>
      </c>
      <c r="C126" s="1573">
        <f>-_xll.cw_map("BR","10-&gt;4011.120.1.1B")</f>
        <v>0</v>
      </c>
      <c r="D126" s="1639"/>
      <c r="E126" s="1575"/>
      <c r="F126" s="1573">
        <f>-_xll.cw_map("BR","40-&gt;4011.120.1.1B")</f>
        <v>0</v>
      </c>
      <c r="G126" s="1575"/>
      <c r="H126" s="1575"/>
      <c r="I126" s="1575"/>
      <c r="J126" s="1575"/>
      <c r="K126" s="1575"/>
    </row>
    <row r="127" spans="1:11" ht="12.75" customHeight="1" x14ac:dyDescent="0.2">
      <c r="A127" s="427" t="s">
        <v>861</v>
      </c>
      <c r="B127" s="478">
        <v>3110</v>
      </c>
      <c r="C127" s="1631">
        <f>-_xll.cw_map("BR","10-&gt;4011.120.1.1C")</f>
        <v>0</v>
      </c>
      <c r="D127" s="1573">
        <f>-_xll.cw_map("BR","20-&gt;4011.120.1.1C")</f>
        <v>0</v>
      </c>
      <c r="E127" s="1575"/>
      <c r="F127" s="1573">
        <f>-_xll.cw_map("BR","40-&gt;4011.120.1.1C")</f>
        <v>0</v>
      </c>
      <c r="G127" s="1575"/>
      <c r="H127" s="1575"/>
      <c r="I127" s="1575"/>
      <c r="J127" s="1575"/>
      <c r="K127" s="1575"/>
    </row>
    <row r="128" spans="1:11" ht="12.75" customHeight="1" x14ac:dyDescent="0.2">
      <c r="A128" s="427" t="s">
        <v>105</v>
      </c>
      <c r="B128" s="478">
        <v>3120</v>
      </c>
      <c r="C128" s="1573">
        <f>-_xll.cw_map("BR","10-&gt;4011.120.1.1D")</f>
        <v>0</v>
      </c>
      <c r="D128" s="1639"/>
      <c r="E128" s="1575"/>
      <c r="F128" s="1573">
        <f>-_xll.cw_map("BR","40-&gt;4011.120.1.1D")</f>
        <v>0</v>
      </c>
      <c r="G128" s="1575"/>
      <c r="H128" s="1575"/>
      <c r="I128" s="1575"/>
      <c r="J128" s="1575"/>
      <c r="K128" s="1575"/>
    </row>
    <row r="129" spans="1:11" ht="12.75" customHeight="1" x14ac:dyDescent="0.2">
      <c r="A129" s="427" t="s">
        <v>1432</v>
      </c>
      <c r="B129" s="478">
        <v>3130</v>
      </c>
      <c r="C129" s="1573">
        <f>-_xll.cw_map("BR","10-&gt;4011.120.1.1E")</f>
        <v>0</v>
      </c>
      <c r="D129" s="1639"/>
      <c r="E129" s="1575"/>
      <c r="F129" s="1573">
        <f>-_xll.cw_map("BR","40-&gt;4011.120.1.1E")</f>
        <v>0</v>
      </c>
      <c r="G129" s="1575"/>
      <c r="H129" s="1575"/>
      <c r="I129" s="1575"/>
      <c r="J129" s="1575"/>
      <c r="K129" s="1575"/>
    </row>
    <row r="130" spans="1:11" ht="12.75" customHeight="1" x14ac:dyDescent="0.2">
      <c r="A130" s="427" t="s">
        <v>136</v>
      </c>
      <c r="B130" s="478">
        <v>3145</v>
      </c>
      <c r="C130" s="1573">
        <f>-_xll.cw_map("BR","10-&gt;4011.120.1.1F")</f>
        <v>0</v>
      </c>
      <c r="D130" s="1639"/>
      <c r="E130" s="1575"/>
      <c r="F130" s="1573">
        <f>-_xll.cw_map("BR","40-&gt;4011.120.1.1F")</f>
        <v>0</v>
      </c>
      <c r="G130" s="1575"/>
      <c r="H130" s="1575"/>
      <c r="I130" s="1575"/>
      <c r="J130" s="1575"/>
      <c r="K130" s="1575"/>
    </row>
    <row r="131" spans="1:11" ht="12.75" customHeight="1" x14ac:dyDescent="0.2">
      <c r="A131" s="427" t="s">
        <v>66</v>
      </c>
      <c r="B131" s="478">
        <v>3199</v>
      </c>
      <c r="C131" s="1631">
        <f>-_xll.cw_map("BR","10-&gt;4011.120.1.1G")</f>
        <v>0</v>
      </c>
      <c r="D131" s="1574">
        <f>-_xll.cw_map("BR","20-&gt;4011.120.1.1G")</f>
        <v>0</v>
      </c>
      <c r="E131" s="1575"/>
      <c r="F131" s="1573">
        <f>-_xll.cw_map("BR","40-&gt;4011.120.1.1G")</f>
        <v>0</v>
      </c>
      <c r="G131" s="1575"/>
      <c r="H131" s="1575"/>
      <c r="I131" s="1575"/>
      <c r="J131" s="1575"/>
      <c r="K131" s="1575"/>
    </row>
    <row r="132" spans="1:11" ht="12.75" customHeight="1" thickBot="1" x14ac:dyDescent="0.25">
      <c r="A132" s="1406" t="s">
        <v>1024</v>
      </c>
      <c r="B132" s="1414"/>
      <c r="C132" s="1632">
        <f>SUM(C125:C131)</f>
        <v>60067</v>
      </c>
      <c r="D132" s="1632">
        <f>SUM(D125:D131)</f>
        <v>0</v>
      </c>
      <c r="E132" s="1576" t="s">
        <v>1160</v>
      </c>
      <c r="F132" s="1632">
        <f>SUM(F125:F131)</f>
        <v>0</v>
      </c>
      <c r="G132" s="1575" t="s">
        <v>1160</v>
      </c>
      <c r="H132" s="1575" t="s">
        <v>1160</v>
      </c>
      <c r="I132" s="1575" t="s">
        <v>1160</v>
      </c>
      <c r="J132" s="1575" t="s">
        <v>1160</v>
      </c>
      <c r="K132" s="1575" t="s">
        <v>1160</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594</v>
      </c>
      <c r="B134" s="478">
        <v>3200</v>
      </c>
      <c r="C134" s="1631">
        <f>-_xll.cw_map("BR","10-&gt;4011.120.1.2A")</f>
        <v>0</v>
      </c>
      <c r="D134" s="1573">
        <f>-_xll.cw_map("BR","20-&gt;4011.120.1.2A")</f>
        <v>0</v>
      </c>
      <c r="E134" s="1639"/>
      <c r="F134" s="1575"/>
      <c r="G134" s="1573">
        <f>-_xll.cw_map("BR","50-&gt;4011.120.1.2A")</f>
        <v>0</v>
      </c>
      <c r="H134" s="1575"/>
      <c r="I134" s="1575"/>
      <c r="J134" s="1575"/>
      <c r="K134" s="1575"/>
    </row>
    <row r="135" spans="1:11" ht="12.75" customHeight="1" x14ac:dyDescent="0.2">
      <c r="A135" s="427" t="s">
        <v>663</v>
      </c>
      <c r="B135" s="478">
        <v>3220</v>
      </c>
      <c r="C135" s="1631">
        <f>-_xll.cw_map("BR","10-&gt;4011.120.1.2B")</f>
        <v>0</v>
      </c>
      <c r="D135" s="1573">
        <f>-_xll.cw_map("BR","20-&gt;4011.120.1.2B")</f>
        <v>0</v>
      </c>
      <c r="E135" s="1639"/>
      <c r="F135" s="1575"/>
      <c r="G135" s="1574">
        <f>-_xll.cw_map("BR","50-&gt;4011.120.1.2B")</f>
        <v>0</v>
      </c>
      <c r="H135" s="1575"/>
      <c r="I135" s="1575"/>
      <c r="J135" s="1575"/>
      <c r="K135" s="1575"/>
    </row>
    <row r="136" spans="1:11" ht="12.75" customHeight="1" x14ac:dyDescent="0.2">
      <c r="A136" s="427" t="s">
        <v>247</v>
      </c>
      <c r="B136" s="478">
        <v>3225</v>
      </c>
      <c r="C136" s="1631">
        <f>-_xll.cw_map("BR","10-&gt;4011.120.1.2C")</f>
        <v>0</v>
      </c>
      <c r="D136" s="1573">
        <f>-_xll.cw_map("BR","20-&gt;4011.120.1.2C")</f>
        <v>0</v>
      </c>
      <c r="E136" s="1639"/>
      <c r="F136" s="1575"/>
      <c r="G136" s="1574">
        <f>-_xll.cw_map("BR","50-&gt;4011.120.1.2C")</f>
        <v>0</v>
      </c>
      <c r="H136" s="1575"/>
      <c r="I136" s="1575"/>
      <c r="J136" s="1575"/>
      <c r="K136" s="1575"/>
    </row>
    <row r="137" spans="1:11" ht="12.75" customHeight="1" x14ac:dyDescent="0.2">
      <c r="A137" s="427" t="s">
        <v>595</v>
      </c>
      <c r="B137" s="478">
        <v>3235</v>
      </c>
      <c r="C137" s="1597">
        <f>-_xll.cw_map("BR","10-&gt;4011.120.1.2D")</f>
        <v>0</v>
      </c>
      <c r="D137" s="1574">
        <f>-_xll.cw_map("BR","20-&gt;4011.120.1.2D")</f>
        <v>0</v>
      </c>
      <c r="E137" s="1639"/>
      <c r="F137" s="1575"/>
      <c r="G137" s="1574">
        <f>-_xll.cw_map("BR","50-&gt;4011.120.1.2D")</f>
        <v>0</v>
      </c>
      <c r="H137" s="1575"/>
      <c r="I137" s="1575"/>
      <c r="J137" s="1575"/>
      <c r="K137" s="1575"/>
    </row>
    <row r="138" spans="1:11" ht="12.75" customHeight="1" x14ac:dyDescent="0.2">
      <c r="A138" s="427" t="s">
        <v>596</v>
      </c>
      <c r="B138" s="478">
        <v>3240</v>
      </c>
      <c r="C138" s="1597">
        <f>-_xll.cw_map("BR","10-&gt;4011.120.1.2E")</f>
        <v>0</v>
      </c>
      <c r="D138" s="1574">
        <f>-_xll.cw_map("BR","20-&gt;4011.120.1.2E")</f>
        <v>0</v>
      </c>
      <c r="E138" s="1639"/>
      <c r="F138" s="1575"/>
      <c r="G138" s="1574">
        <f>-_xll.cw_map("BR","50-&gt;4011.120.1.2E")</f>
        <v>0</v>
      </c>
      <c r="H138" s="1575"/>
      <c r="I138" s="1575"/>
      <c r="J138" s="1575"/>
      <c r="K138" s="1575"/>
    </row>
    <row r="139" spans="1:11" ht="12.75" customHeight="1" x14ac:dyDescent="0.2">
      <c r="A139" s="427" t="s">
        <v>597</v>
      </c>
      <c r="B139" s="478">
        <v>3270</v>
      </c>
      <c r="C139" s="1597">
        <f>-_xll.cw_map("BR","10-&gt;4011.120.1.2F")</f>
        <v>0</v>
      </c>
      <c r="D139" s="1574">
        <f>-_xll.cw_map("BR","20-&gt;4011.120.1.2F")</f>
        <v>0</v>
      </c>
      <c r="E139" s="1639"/>
      <c r="F139" s="1575"/>
      <c r="G139" s="1574">
        <f>-_xll.cw_map("BR","50-&gt;4011.120.1.2F")</f>
        <v>0</v>
      </c>
      <c r="H139" s="1575"/>
      <c r="I139" s="1575"/>
      <c r="J139" s="1575"/>
      <c r="K139" s="1575"/>
    </row>
    <row r="140" spans="1:11" ht="12.75" customHeight="1" x14ac:dyDescent="0.2">
      <c r="A140" s="427" t="s">
        <v>67</v>
      </c>
      <c r="B140" s="478">
        <v>3299</v>
      </c>
      <c r="C140" s="1631">
        <f>-_xll.cw_map("BR","10-&gt;4011.120.1.2G")</f>
        <v>0</v>
      </c>
      <c r="D140" s="1573">
        <f>-_xll.cw_map("BR","20-&gt;4011.120.1.2G")</f>
        <v>0</v>
      </c>
      <c r="E140" s="1639"/>
      <c r="F140" s="1582"/>
      <c r="G140" s="1574">
        <f>-_xll.cw_map("BR","50-&gt;4011.120.1.2G")</f>
        <v>0</v>
      </c>
      <c r="H140" s="1575"/>
      <c r="I140" s="1575"/>
      <c r="J140" s="1575"/>
      <c r="K140" s="1575"/>
    </row>
    <row r="141" spans="1:11" ht="12.75" customHeight="1" thickBot="1" x14ac:dyDescent="0.25">
      <c r="A141" s="1406" t="s">
        <v>598</v>
      </c>
      <c r="B141" s="1414"/>
      <c r="C141" s="1632">
        <f>SUM(C134:C140)</f>
        <v>0</v>
      </c>
      <c r="D141" s="1632">
        <f>SUM(D134:D140)</f>
        <v>0</v>
      </c>
      <c r="E141" s="1639" t="s">
        <v>1160</v>
      </c>
      <c r="F141" s="1582"/>
      <c r="G141" s="1632">
        <f>SUM(G134:G140)</f>
        <v>0</v>
      </c>
      <c r="H141" s="1575" t="s">
        <v>1160</v>
      </c>
      <c r="I141" s="1575" t="s">
        <v>1160</v>
      </c>
      <c r="J141" s="1575" t="s">
        <v>1160</v>
      </c>
      <c r="K141" s="1575" t="s">
        <v>1160</v>
      </c>
    </row>
    <row r="142" spans="1:11" ht="15.75" customHeight="1" thickTop="1" x14ac:dyDescent="0.2">
      <c r="A142" s="1338" t="s">
        <v>664</v>
      </c>
      <c r="B142" s="1339"/>
      <c r="C142" s="1633"/>
      <c r="D142" s="1644"/>
      <c r="E142" s="1639"/>
      <c r="F142" s="1633"/>
      <c r="G142" s="1633"/>
      <c r="H142" s="1575"/>
      <c r="I142" s="1575"/>
      <c r="J142" s="1575"/>
      <c r="K142" s="1575"/>
    </row>
    <row r="143" spans="1:11" ht="12.75" customHeight="1" x14ac:dyDescent="0.2">
      <c r="A143" s="427" t="s">
        <v>599</v>
      </c>
      <c r="B143" s="478">
        <v>3305</v>
      </c>
      <c r="C143" s="1573">
        <f>-_xll.cw_map("BR","10-&gt;4011.120.1.3A")</f>
        <v>0</v>
      </c>
      <c r="D143" s="1575"/>
      <c r="E143" s="1639"/>
      <c r="F143" s="1575"/>
      <c r="G143" s="1573">
        <f>-_xll.cw_map("BR","50-&gt;4011.120.1.3A")</f>
        <v>0</v>
      </c>
      <c r="H143" s="1575"/>
      <c r="I143" s="1575"/>
      <c r="J143" s="1575"/>
      <c r="K143" s="1575"/>
    </row>
    <row r="144" spans="1:11" ht="12.75" customHeight="1" x14ac:dyDescent="0.2">
      <c r="A144" s="427" t="s">
        <v>343</v>
      </c>
      <c r="B144" s="478">
        <v>3310</v>
      </c>
      <c r="C144" s="1631">
        <f>-_xll.cw_map("BR","10-&gt;4011.120.1.3B")</f>
        <v>0</v>
      </c>
      <c r="D144" s="1575"/>
      <c r="E144" s="1639"/>
      <c r="F144" s="1575"/>
      <c r="G144" s="1573">
        <f>-_xll.cw_map("BR","50-&gt;4011.120.1.3B")</f>
        <v>0</v>
      </c>
      <c r="H144" s="1575"/>
      <c r="I144" s="1575"/>
      <c r="J144" s="1575"/>
      <c r="K144" s="1575"/>
    </row>
    <row r="145" spans="1:11" s="197" customFormat="1" ht="13.5" thickBot="1" x14ac:dyDescent="0.25">
      <c r="A145" s="1406" t="s">
        <v>392</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1048</v>
      </c>
      <c r="B146" s="482">
        <v>3360</v>
      </c>
      <c r="C146" s="1645">
        <f>-_xll.cw_map("BR","10-&gt;4011.120.1.5A")</f>
        <v>2246</v>
      </c>
      <c r="D146" s="1646"/>
      <c r="E146" s="1608"/>
      <c r="F146" s="1575"/>
      <c r="G146" s="1647"/>
      <c r="H146" s="1575"/>
      <c r="I146" s="1575"/>
      <c r="J146" s="1575"/>
      <c r="K146" s="1575"/>
    </row>
    <row r="147" spans="1:11" ht="12.75" customHeight="1" thickBot="1" x14ac:dyDescent="0.25">
      <c r="A147" s="1269" t="s">
        <v>915</v>
      </c>
      <c r="B147" s="483">
        <v>3365</v>
      </c>
      <c r="C147" s="1648">
        <f>-_xll.cw_map("BR","10-&gt;4011.120.1.5B")</f>
        <v>0</v>
      </c>
      <c r="D147" s="1627">
        <f>-_xll.cw_map("BR","20-&gt;4011.120.1.5B")</f>
        <v>0</v>
      </c>
      <c r="E147" s="1639"/>
      <c r="F147" s="1575"/>
      <c r="G147" s="1627">
        <f>-_xll.cw_map("BR","50-&gt;4011.120.1.5B")</f>
        <v>0</v>
      </c>
      <c r="H147" s="1575"/>
      <c r="I147" s="1575"/>
      <c r="J147" s="1575"/>
      <c r="K147" s="1575"/>
    </row>
    <row r="148" spans="1:11" ht="12.75" customHeight="1" thickTop="1" thickBot="1" x14ac:dyDescent="0.25">
      <c r="A148" s="1270" t="s">
        <v>137</v>
      </c>
      <c r="B148" s="484">
        <v>3370</v>
      </c>
      <c r="C148" s="1648">
        <f>-_xll.cw_map("BR","10-&gt;4011.120.1.6A")</f>
        <v>0</v>
      </c>
      <c r="D148" s="1648">
        <f>-_xll.cw_map("BR","20-&gt;4011.120.1.6A")</f>
        <v>0</v>
      </c>
      <c r="E148" s="1608"/>
      <c r="F148" s="1575"/>
      <c r="G148" s="1575"/>
      <c r="H148" s="1575"/>
      <c r="I148" s="1575"/>
      <c r="J148" s="1575"/>
      <c r="K148" s="1575"/>
    </row>
    <row r="149" spans="1:11" ht="12.75" customHeight="1" thickTop="1" thickBot="1" x14ac:dyDescent="0.25">
      <c r="A149" s="1270" t="s">
        <v>761</v>
      </c>
      <c r="B149" s="484">
        <v>3410</v>
      </c>
      <c r="C149" s="1649">
        <f>-_xll.cw_map("BR","10-&gt;4011.120.1.6B")</f>
        <v>0</v>
      </c>
      <c r="D149" s="1650">
        <f>-_xll.cw_map("BR","20-&gt;4011.120.1.6B")</f>
        <v>0</v>
      </c>
      <c r="E149" s="1651">
        <f>-_xll.cw_map("BR","30-&gt;4011.120.1.6B")</f>
        <v>0</v>
      </c>
      <c r="F149" s="1625">
        <f>-_xll.cw_map("BR","40-&gt;4011.120.1.6B")</f>
        <v>0</v>
      </c>
      <c r="G149" s="1625">
        <f>-_xll.cw_map("BR","50-&gt;4011.120.1.6B")</f>
        <v>0</v>
      </c>
      <c r="H149" s="1625">
        <f>-_xll.cw_map("BR","60-&gt;4011.120.1.6B")</f>
        <v>0</v>
      </c>
      <c r="I149" s="1625">
        <f>-_xll.cw_map("BR","70-&gt;4011.120.1.6B")</f>
        <v>0</v>
      </c>
      <c r="J149" s="1625">
        <f>-_xll.cw_map("BR","80-&gt;4011.120.1.6B")</f>
        <v>0</v>
      </c>
      <c r="K149" s="1625">
        <f>-_xll.cw_map("BR","90-&gt;4011.120.1.6B")</f>
        <v>0</v>
      </c>
    </row>
    <row r="150" spans="1:11" ht="12.75" customHeight="1" thickTop="1" thickBot="1" x14ac:dyDescent="0.25">
      <c r="A150" s="1270" t="s">
        <v>68</v>
      </c>
      <c r="B150" s="484">
        <v>3499</v>
      </c>
      <c r="C150" s="1649">
        <f>-_xll.cw_map("BR","10-&gt;4011.120.1.6C")</f>
        <v>0</v>
      </c>
      <c r="D150" s="1650">
        <f>-_xll.cw_map("BR","20-&gt;4011.120.1.6C")</f>
        <v>0</v>
      </c>
      <c r="E150" s="1627">
        <f>-_xll.cw_map("BR","30-&gt;4011.120.1.6C")</f>
        <v>0</v>
      </c>
      <c r="F150" s="1627">
        <f>-_xll.cw_map("BR","40-&gt;4011.120.1.6C")</f>
        <v>0</v>
      </c>
      <c r="G150" s="1627">
        <f>-_xll.cw_map("BR","50-&gt;4011.120.1.6C")</f>
        <v>0</v>
      </c>
      <c r="H150" s="1627">
        <f>-_xll.cw_map("BR","60-&gt;4011.120.1.6C")</f>
        <v>0</v>
      </c>
      <c r="I150" s="1627">
        <f>-_xll.cw_map("BR","70-&gt;4011.120.1.6C")</f>
        <v>0</v>
      </c>
      <c r="J150" s="1627">
        <f>-_xll.cw_map("BR","80-&gt;4011.120.1.6C")</f>
        <v>0</v>
      </c>
      <c r="K150" s="1627">
        <f>-_xll.cw_map("BR","90-&gt;4011.120.1.6C")</f>
        <v>0</v>
      </c>
    </row>
    <row r="151" spans="1:11" ht="15.75" customHeight="1" thickTop="1" x14ac:dyDescent="0.2">
      <c r="A151" s="1338" t="s">
        <v>449</v>
      </c>
      <c r="B151" s="1340"/>
      <c r="C151" s="1633"/>
      <c r="D151" s="1575"/>
      <c r="E151" s="1639"/>
      <c r="F151" s="1575"/>
      <c r="G151" s="1575"/>
      <c r="H151" s="1575"/>
      <c r="I151" s="1575"/>
      <c r="J151" s="1575"/>
      <c r="K151" s="1575"/>
    </row>
    <row r="152" spans="1:11" ht="12.75" customHeight="1" x14ac:dyDescent="0.2">
      <c r="A152" s="427" t="s">
        <v>1433</v>
      </c>
      <c r="B152" s="478">
        <v>3500</v>
      </c>
      <c r="C152" s="1631">
        <f>-_xll.cw_map("BR","10-&gt;4011.120.1.4A")</f>
        <v>0</v>
      </c>
      <c r="D152" s="1573">
        <f>-_xll.cw_map("BR","20-&gt;4011.120.1.4A")</f>
        <v>0</v>
      </c>
      <c r="E152" s="1639"/>
      <c r="F152" s="1573">
        <f>-_xll.cw_map("BR","40-&gt;4011.120.1.4A")</f>
        <v>8111</v>
      </c>
      <c r="G152" s="1574">
        <f>-_xll.cw_map("BR","50-&gt;4011.120.1.4A")</f>
        <v>0</v>
      </c>
      <c r="H152" s="1575"/>
      <c r="I152" s="1575"/>
      <c r="J152" s="1575"/>
      <c r="K152" s="1575"/>
    </row>
    <row r="153" spans="1:11" ht="12.75" customHeight="1" x14ac:dyDescent="0.2">
      <c r="A153" s="427" t="s">
        <v>1049</v>
      </c>
      <c r="B153" s="478">
        <v>3510</v>
      </c>
      <c r="C153" s="1631">
        <f>-_xll.cw_map("BR","10-&gt;4011.120.1.4B")</f>
        <v>0</v>
      </c>
      <c r="D153" s="1573">
        <f>-_xll.cw_map("BR","20-&gt;4011.120.1.4B")</f>
        <v>0</v>
      </c>
      <c r="E153" s="1639"/>
      <c r="F153" s="1573">
        <f>-_xll.cw_map("BR","40-&gt;4011.120.1.4B")</f>
        <v>358651</v>
      </c>
      <c r="G153" s="1574">
        <f>-_xll.cw_map("BR","50-&gt;4011.120.1.4B")</f>
        <v>0</v>
      </c>
      <c r="H153" s="1575"/>
      <c r="I153" s="1575"/>
      <c r="J153" s="1575"/>
      <c r="K153" s="1575"/>
    </row>
    <row r="154" spans="1:11" ht="12.75" customHeight="1" x14ac:dyDescent="0.2">
      <c r="A154" s="427" t="s">
        <v>69</v>
      </c>
      <c r="B154" s="478">
        <v>3599</v>
      </c>
      <c r="C154" s="1631">
        <f>-_xll.cw_map("BR","10-&gt;4011.120.1.4C")</f>
        <v>0</v>
      </c>
      <c r="D154" s="1573">
        <f>-_xll.cw_map("BR","20-&gt;4011.120.1.4C")</f>
        <v>0</v>
      </c>
      <c r="E154" s="1639"/>
      <c r="F154" s="1573">
        <f>-_xll.cw_map("BR","40-&gt;4011.120.1.4C")</f>
        <v>0</v>
      </c>
      <c r="G154" s="1574">
        <f>-_xll.cw_map("BR","50-&gt;4011.120.1.4C")</f>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366762</v>
      </c>
      <c r="G155" s="1632">
        <f>SUM(G152:G154)</f>
        <v>0</v>
      </c>
      <c r="H155" s="1575"/>
      <c r="I155" s="1575"/>
      <c r="J155" s="1575"/>
      <c r="K155" s="1575"/>
    </row>
    <row r="156" spans="1:11" ht="12.75" customHeight="1" thickTop="1" thickBot="1" x14ac:dyDescent="0.25">
      <c r="A156" s="1270" t="s">
        <v>376</v>
      </c>
      <c r="B156" s="484">
        <v>3610</v>
      </c>
      <c r="C156" s="1650">
        <f>-_xll.cw_map("BR","10-&gt;4011.120.1.6D")</f>
        <v>0</v>
      </c>
      <c r="D156" s="1575"/>
      <c r="E156" s="1608"/>
      <c r="F156" s="1575"/>
      <c r="G156" s="1575"/>
      <c r="H156" s="1575"/>
      <c r="I156" s="1575"/>
      <c r="J156" s="1575"/>
      <c r="K156" s="1575"/>
    </row>
    <row r="157" spans="1:11" ht="12.75" customHeight="1" thickTop="1" thickBot="1" x14ac:dyDescent="0.25">
      <c r="A157" s="1270" t="s">
        <v>50</v>
      </c>
      <c r="B157" s="484">
        <v>3660</v>
      </c>
      <c r="C157" s="1648">
        <f>-_xll.cw_map("BR","10-&gt;4011.120.1.6E")</f>
        <v>0</v>
      </c>
      <c r="D157" s="1652">
        <f>-_xll.cw_map("BR","20-&gt;4011.120.1.6E")</f>
        <v>0</v>
      </c>
      <c r="E157" s="1639"/>
      <c r="F157" s="1652">
        <f>-_xll.cw_map("BR","40-&gt;4011.120.1.6E")</f>
        <v>0</v>
      </c>
      <c r="G157" s="1652">
        <f>-_xll.cw_map("BR","50-&gt;4011.120.1.6E")</f>
        <v>0</v>
      </c>
      <c r="H157" s="1575"/>
      <c r="I157" s="1575"/>
      <c r="J157" s="1575"/>
      <c r="K157" s="1575"/>
    </row>
    <row r="158" spans="1:11" ht="12.75" customHeight="1" thickTop="1" thickBot="1" x14ac:dyDescent="0.25">
      <c r="A158" s="1270" t="s">
        <v>992</v>
      </c>
      <c r="B158" s="484">
        <v>3695</v>
      </c>
      <c r="C158" s="1650">
        <f>-_xll.cw_map("BR","10-&gt;4011.120.1.6F")</f>
        <v>0</v>
      </c>
      <c r="D158" s="1575"/>
      <c r="E158" s="1639"/>
      <c r="F158" s="1650">
        <f>-_xll.cw_map("BR","40-&gt;4011.120.1.6F")</f>
        <v>0</v>
      </c>
      <c r="G158" s="1650">
        <f>-_xll.cw_map("BR","50-&gt;4011.120.1.6F")</f>
        <v>0</v>
      </c>
      <c r="H158" s="1575"/>
      <c r="I158" s="1575"/>
      <c r="J158" s="1575"/>
      <c r="K158" s="1575"/>
    </row>
    <row r="159" spans="1:11" ht="12.75" customHeight="1" thickTop="1" thickBot="1" x14ac:dyDescent="0.25">
      <c r="A159" s="1270" t="s">
        <v>1043</v>
      </c>
      <c r="B159" s="484">
        <v>3705</v>
      </c>
      <c r="C159" s="1650">
        <f>-_xll.cw_map("BR","10-&gt;4011.120.1.6G")</f>
        <v>0</v>
      </c>
      <c r="D159" s="1652">
        <f>-_xll.cw_map("BR","20-&gt;4011.120.1.6G")</f>
        <v>0</v>
      </c>
      <c r="E159" s="1639"/>
      <c r="F159" s="1650">
        <f>-_xll.cw_map("BR","40-&gt;4011.120.1.6G")</f>
        <v>0</v>
      </c>
      <c r="G159" s="1650">
        <f>-_xll.cw_map("BR","50-&gt;4011.120.1.6G")</f>
        <v>0</v>
      </c>
      <c r="H159" s="1575"/>
      <c r="I159" s="1575"/>
      <c r="J159" s="1575"/>
      <c r="K159" s="1575"/>
    </row>
    <row r="160" spans="1:11" ht="12.75" customHeight="1" thickTop="1" thickBot="1" x14ac:dyDescent="0.25">
      <c r="A160" s="1270" t="s">
        <v>39</v>
      </c>
      <c r="B160" s="484">
        <v>3766</v>
      </c>
      <c r="C160" s="1650">
        <f>-_xll.cw_map("BR","10-&gt;4011.120.1.6H")</f>
        <v>0</v>
      </c>
      <c r="D160" s="1652">
        <f>-_xll.cw_map("BR","20-&gt;4011.120.1.6H")</f>
        <v>0</v>
      </c>
      <c r="E160" s="1639"/>
      <c r="F160" s="1650">
        <f>-_xll.cw_map("BR","40-&gt;4011.120.1.6H")</f>
        <v>0</v>
      </c>
      <c r="G160" s="1626">
        <f>-_xll.cw_map("BR","50-&gt;4011.120.1.6H")</f>
        <v>0</v>
      </c>
      <c r="H160" s="1575"/>
      <c r="I160" s="1575"/>
      <c r="J160" s="1575"/>
      <c r="K160" s="1575"/>
    </row>
    <row r="161" spans="1:11" ht="12.75" customHeight="1" thickTop="1" thickBot="1" x14ac:dyDescent="0.25">
      <c r="A161" s="1270" t="s">
        <v>977</v>
      </c>
      <c r="B161" s="484">
        <v>3767</v>
      </c>
      <c r="C161" s="1650">
        <f>-_xll.cw_map("BR","10-&gt;4011.120.1.6I")</f>
        <v>0</v>
      </c>
      <c r="D161" s="1626">
        <f>-_xll.cw_map("BR","20-&gt;4011.120.1.6I")</f>
        <v>0</v>
      </c>
      <c r="E161" s="1639"/>
      <c r="F161" s="1626">
        <f>-_xll.cw_map("BR","40-&gt;4011.120.1.6I")</f>
        <v>0</v>
      </c>
      <c r="G161" s="1626">
        <f>-_xll.cw_map("BR","50-&gt;4011.120.1.6I")</f>
        <v>0</v>
      </c>
      <c r="H161" s="1575"/>
      <c r="I161" s="1575"/>
      <c r="J161" s="1575"/>
      <c r="K161" s="1575"/>
    </row>
    <row r="162" spans="1:11" ht="12.75" customHeight="1" thickTop="1" thickBot="1" x14ac:dyDescent="0.25">
      <c r="A162" s="1270" t="s">
        <v>978</v>
      </c>
      <c r="B162" s="484">
        <v>3775</v>
      </c>
      <c r="C162" s="1650">
        <f>-_xll.cw_map("BR","10-&gt;4011.120.1.6J")</f>
        <v>0</v>
      </c>
      <c r="D162" s="1648">
        <f>-_xll.cw_map("BR","20-&gt;4011.120.1.6J")</f>
        <v>0</v>
      </c>
      <c r="E162" s="1625">
        <f>-_xll.cw_map("BR","30-&gt;4011.120.1.6J")</f>
        <v>0</v>
      </c>
      <c r="F162" s="1648">
        <f>-_xll.cw_map("BR","40-&gt;4011.120.1.6J")</f>
        <v>0</v>
      </c>
      <c r="G162" s="1627">
        <f>-_xll.cw_map("BR","50-&gt;4011.120.1.6J")</f>
        <v>0</v>
      </c>
      <c r="H162" s="1625">
        <f>-_xll.cw_map("BR","60-&gt;4011.120.1.6J")</f>
        <v>0</v>
      </c>
      <c r="I162" s="1575"/>
      <c r="J162" s="1575"/>
      <c r="K162" s="1625">
        <f>-_xll.cw_map("BR","90-&gt;4011.120.1.6J")</f>
        <v>0</v>
      </c>
    </row>
    <row r="163" spans="1:11" ht="12.75" customHeight="1" thickTop="1" thickBot="1" x14ac:dyDescent="0.25">
      <c r="A163" s="1270" t="s">
        <v>1434</v>
      </c>
      <c r="B163" s="484">
        <v>3780</v>
      </c>
      <c r="C163" s="1626">
        <f>-_xll.cw_map("BR","10-&gt;4011.120.1.6K")</f>
        <v>0</v>
      </c>
      <c r="D163" s="1625">
        <f>-_xll.cw_map("BR","20-&gt;4011.120.1.6K")</f>
        <v>0</v>
      </c>
      <c r="E163" s="1626">
        <f>-_xll.cw_map("BR","30-&gt;4011.120.1.6K")</f>
        <v>0</v>
      </c>
      <c r="F163" s="1626">
        <f>-_xll.cw_map("BR","40-&gt;4011.120.1.6K")</f>
        <v>0</v>
      </c>
      <c r="G163" s="1626">
        <f>-_xll.cw_map("BR","50-&gt;4011.120.1.6K")</f>
        <v>0</v>
      </c>
      <c r="H163" s="1626">
        <f>-_xll.cw_map("BR","60-&gt;4011.120.1.6K")</f>
        <v>0</v>
      </c>
      <c r="I163" s="1575"/>
      <c r="J163" s="1575"/>
      <c r="K163" s="1626">
        <f>-_xll.cw_map("BR","90-&gt;4011.120.1.6K")</f>
        <v>0</v>
      </c>
    </row>
    <row r="164" spans="1:11" ht="12.75" customHeight="1" thickTop="1" thickBot="1" x14ac:dyDescent="0.25">
      <c r="A164" s="1270" t="s">
        <v>852</v>
      </c>
      <c r="B164" s="484">
        <v>3815</v>
      </c>
      <c r="C164" s="1650">
        <f>-_xll.cw_map("BR","10-&gt;4011.120.1.6L")</f>
        <v>0</v>
      </c>
      <c r="D164" s="1575"/>
      <c r="E164" s="1639"/>
      <c r="F164" s="1650">
        <f>-_xll.cw_map("BR","40-&gt;4011.120.1.6L")</f>
        <v>0</v>
      </c>
      <c r="G164" s="1575"/>
      <c r="H164" s="1575"/>
      <c r="I164" s="1575"/>
      <c r="J164" s="1575"/>
      <c r="K164" s="1575"/>
    </row>
    <row r="165" spans="1:11" ht="12.75" customHeight="1" thickTop="1" thickBot="1" x14ac:dyDescent="0.25">
      <c r="A165" s="1270" t="s">
        <v>393</v>
      </c>
      <c r="B165" s="484">
        <v>3825</v>
      </c>
      <c r="C165" s="1650">
        <f>-_xll.cw_map("BR","10-&gt;4011.120.1.6M")</f>
        <v>0</v>
      </c>
      <c r="D165" s="1575"/>
      <c r="E165" s="1639"/>
      <c r="F165" s="1650">
        <f>-_xll.cw_map("BR","40-&gt;4011.120.1.6M")</f>
        <v>0</v>
      </c>
      <c r="G165" s="1575"/>
      <c r="H165" s="1575"/>
      <c r="I165" s="1575"/>
      <c r="J165" s="1575"/>
      <c r="K165" s="1575"/>
    </row>
    <row r="166" spans="1:11" ht="12.75" customHeight="1" thickTop="1" thickBot="1" x14ac:dyDescent="0.25">
      <c r="A166" s="1270" t="s">
        <v>344</v>
      </c>
      <c r="B166" s="484">
        <v>3920</v>
      </c>
      <c r="C166" s="1644"/>
      <c r="D166" s="1652">
        <f>-_xll.cw_map("BR","20-&gt;4011.120.1.6N")</f>
        <v>0</v>
      </c>
      <c r="E166" s="1575"/>
      <c r="F166" s="1644"/>
      <c r="G166" s="1575"/>
      <c r="H166" s="1625">
        <f>-_xll.cw_map("BR","60-&gt;4011.120.1.6N")</f>
        <v>0</v>
      </c>
      <c r="I166" s="1575"/>
      <c r="J166" s="1575"/>
      <c r="K166" s="1575"/>
    </row>
    <row r="167" spans="1:11" ht="12.75" customHeight="1" thickTop="1" thickBot="1" x14ac:dyDescent="0.25">
      <c r="A167" s="1270" t="s">
        <v>345</v>
      </c>
      <c r="B167" s="484">
        <v>3925</v>
      </c>
      <c r="C167" s="1616"/>
      <c r="D167" s="1650">
        <f>-_xll.cw_map("BR","20-&gt;4011.120.1.6O")</f>
        <v>0</v>
      </c>
      <c r="E167" s="1616"/>
      <c r="F167" s="1616"/>
      <c r="G167" s="1575"/>
      <c r="H167" s="1626">
        <f>-_xll.cw_map("BR","60-&gt;4011.120.1.6O")</f>
        <v>0</v>
      </c>
      <c r="I167" s="1575"/>
      <c r="J167" s="1575"/>
      <c r="K167" s="1625">
        <f>-_xll.cw_map("BR","90-&gt;4011.120.1.6O")</f>
        <v>0</v>
      </c>
    </row>
    <row r="168" spans="1:11" ht="14.25" thickTop="1" thickBot="1" x14ac:dyDescent="0.25">
      <c r="A168" s="1270" t="s">
        <v>70</v>
      </c>
      <c r="B168" s="484">
        <v>3999</v>
      </c>
      <c r="C168" s="1653">
        <f>-_xll.cw_map("BR","10-&gt;4011.120.1.6P")</f>
        <v>0</v>
      </c>
      <c r="D168" s="1654">
        <f>-_xll.cw_map("BR","20-&gt;4011.120.1.6P")</f>
        <v>50000</v>
      </c>
      <c r="E168" s="1654">
        <f>-_xll.cw_map("BR","30-&gt;4011.120.1.6P")</f>
        <v>0</v>
      </c>
      <c r="F168" s="1654">
        <f>-_xll.cw_map("BR","40-&gt;4011.120.1.6P")</f>
        <v>0</v>
      </c>
      <c r="G168" s="1655">
        <f>-_xll.cw_map("BR","50-&gt;4011.120.1.6P")</f>
        <v>0</v>
      </c>
      <c r="H168" s="1656">
        <f>-_xll.cw_map("BR","60-&gt;4011.120.1.6P")</f>
        <v>0</v>
      </c>
      <c r="I168" s="1655">
        <f>-_xll.cw_map("BR","70-&gt;4011.120.1.6P")</f>
        <v>0</v>
      </c>
      <c r="J168" s="1655">
        <f>-_xll.cw_map("BR","80-&gt;4011.120.1.6P")</f>
        <v>0</v>
      </c>
      <c r="K168" s="1656">
        <f>-_xll.cw_map("BR","90-&gt;4011.120.1.6P")</f>
        <v>0</v>
      </c>
    </row>
    <row r="169" spans="1:11" ht="12.75" customHeight="1" thickTop="1" thickBot="1" x14ac:dyDescent="0.25">
      <c r="A169" s="2283" t="s">
        <v>394</v>
      </c>
      <c r="B169" s="2284"/>
      <c r="C169" s="1657">
        <f t="shared" ref="C169:K169" si="6">SUM(C132,C141,C145,C146:C150,C155,C156:C167,C168)</f>
        <v>62313</v>
      </c>
      <c r="D169" s="1657">
        <f t="shared" si="6"/>
        <v>50000</v>
      </c>
      <c r="E169" s="1657">
        <f t="shared" si="6"/>
        <v>0</v>
      </c>
      <c r="F169" s="1657">
        <f t="shared" si="6"/>
        <v>366762</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1458330</v>
      </c>
      <c r="D170" s="1640">
        <f t="shared" si="7"/>
        <v>50000</v>
      </c>
      <c r="E170" s="1640">
        <f t="shared" si="7"/>
        <v>0</v>
      </c>
      <c r="F170" s="1640">
        <f t="shared" si="7"/>
        <v>366762</v>
      </c>
      <c r="G170" s="1640">
        <f t="shared" si="7"/>
        <v>0</v>
      </c>
      <c r="H170" s="1640">
        <f t="shared" si="7"/>
        <v>0</v>
      </c>
      <c r="I170" s="1640">
        <f t="shared" si="7"/>
        <v>0</v>
      </c>
      <c r="J170" s="1640">
        <f t="shared" si="7"/>
        <v>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285" t="s">
        <v>1477</v>
      </c>
      <c r="B172" s="2286"/>
      <c r="C172" s="1615"/>
      <c r="D172" s="1615"/>
      <c r="E172" s="1608"/>
      <c r="F172" s="1575"/>
      <c r="G172" s="1575"/>
      <c r="H172" s="1575"/>
      <c r="I172" s="1575"/>
      <c r="J172" s="1575"/>
      <c r="K172" s="1575"/>
    </row>
    <row r="173" spans="1:11" ht="12.6" customHeight="1" x14ac:dyDescent="0.2">
      <c r="A173" s="436" t="s">
        <v>1036</v>
      </c>
      <c r="B173" s="435">
        <v>4001</v>
      </c>
      <c r="C173" s="1612">
        <f>-_xll.cw_map("BR","10-&gt;4010.110.1.1")</f>
        <v>0</v>
      </c>
      <c r="D173" s="1586">
        <f>-_xll.cw_map("BR","20-&gt;4010.110.1.1")</f>
        <v>0</v>
      </c>
      <c r="E173" s="1574">
        <f>-_xll.cw_map("BR","30-&gt;4010.110.1.1")</f>
        <v>0</v>
      </c>
      <c r="F173" s="1573">
        <f>-_xll.cw_map("BR","40-&gt;4010.110.1.1")</f>
        <v>0</v>
      </c>
      <c r="G173" s="1573">
        <f>-_xll.cw_map("BR","50-&gt;4010.110.1.1")</f>
        <v>0</v>
      </c>
      <c r="H173" s="1574">
        <f>-_xll.cw_map("BR","60-&gt;4010.110.1.1")</f>
        <v>0</v>
      </c>
      <c r="I173" s="1574">
        <f>-_xll.cw_map("BR","70-&gt;4010.110.1.1")</f>
        <v>0</v>
      </c>
      <c r="J173" s="1574">
        <f>-_xll.cw_map("BR","80-&gt;4010.110.1.1")</f>
        <v>0</v>
      </c>
      <c r="K173" s="1574">
        <f>-_xll.cw_map("BR","90-&gt;4010.110.1.1")</f>
        <v>0</v>
      </c>
    </row>
    <row r="174" spans="1:11" ht="22.5" x14ac:dyDescent="0.2">
      <c r="A174" s="479" t="s">
        <v>799</v>
      </c>
      <c r="B174" s="485">
        <v>4009</v>
      </c>
      <c r="C174" s="1631">
        <f>-_xll.cw_map("BR","10-&gt;4010.110.1.2")</f>
        <v>0</v>
      </c>
      <c r="D174" s="1573">
        <f>-_xll.cw_map("BR","20-&gt;4010.110.1.2")</f>
        <v>0</v>
      </c>
      <c r="E174" s="1574">
        <f>-_xll.cw_map("BR","30-&gt;4010.110.1.2")</f>
        <v>0</v>
      </c>
      <c r="F174" s="1573">
        <f>-_xll.cw_map("BR","40-&gt;4010.110.1.2")</f>
        <v>0</v>
      </c>
      <c r="G174" s="1573">
        <f>-_xll.cw_map("BR","50-&gt;4010.110.1.2")</f>
        <v>0</v>
      </c>
      <c r="H174" s="1574">
        <f>-_xll.cw_map("BR","60-&gt;4010.110.1.2")</f>
        <v>0</v>
      </c>
      <c r="I174" s="1574">
        <f>-_xll.cw_map("BR","70-&gt;4010.110.1.2")</f>
        <v>0</v>
      </c>
      <c r="J174" s="1574">
        <f>-_xll.cw_map("BR","80-&gt;4010.110.1.2")</f>
        <v>0</v>
      </c>
      <c r="K174" s="1574">
        <f>-_xll.cw_map("BR","90-&gt;4010.110.1.2")</f>
        <v>0</v>
      </c>
    </row>
    <row r="175" spans="1:11" ht="13.5" thickBot="1" x14ac:dyDescent="0.25">
      <c r="A175" s="2289" t="s">
        <v>1648</v>
      </c>
      <c r="B175" s="2290"/>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93" t="s">
        <v>1647</v>
      </c>
      <c r="B176" s="2294"/>
      <c r="C176" s="1658"/>
      <c r="D176" s="1659"/>
      <c r="E176" s="1660"/>
      <c r="F176" s="1661"/>
      <c r="G176" s="1661"/>
      <c r="H176" s="1661"/>
      <c r="I176" s="1661"/>
      <c r="J176" s="1661"/>
      <c r="K176" s="1661"/>
    </row>
    <row r="177" spans="1:11" ht="12.75" customHeight="1" x14ac:dyDescent="0.2">
      <c r="A177" s="427" t="s">
        <v>1037</v>
      </c>
      <c r="B177" s="429">
        <v>4045</v>
      </c>
      <c r="C177" s="1631">
        <f>-_xll.cw_map("BR","10-&gt;4010.120.1.1")</f>
        <v>0</v>
      </c>
      <c r="D177" s="1575"/>
      <c r="E177" s="1639"/>
      <c r="F177" s="1575"/>
      <c r="G177" s="1575"/>
      <c r="H177" s="1575"/>
      <c r="I177" s="1575"/>
      <c r="J177" s="1575"/>
      <c r="K177" s="1575"/>
    </row>
    <row r="178" spans="1:11" ht="12.75" customHeight="1" x14ac:dyDescent="0.2">
      <c r="A178" s="427" t="s">
        <v>1038</v>
      </c>
      <c r="B178" s="429">
        <v>4050</v>
      </c>
      <c r="C178" s="1631">
        <f>-_xll.cw_map("BR","10-&gt;4010.120.1.2")</f>
        <v>0</v>
      </c>
      <c r="D178" s="1574">
        <f>-_xll.cw_map("BR","20-&gt;4010.120.1.2")</f>
        <v>0</v>
      </c>
      <c r="E178" s="1639"/>
      <c r="F178" s="1575"/>
      <c r="G178" s="1575"/>
      <c r="H178" s="1574">
        <f>-_xll.cw_map("BR","60-&gt;4010.120.1.2")</f>
        <v>0</v>
      </c>
      <c r="I178" s="1575"/>
      <c r="J178" s="1575"/>
      <c r="K178" s="1575"/>
    </row>
    <row r="179" spans="1:11" ht="12.75" customHeight="1" x14ac:dyDescent="0.2">
      <c r="A179" s="427" t="s">
        <v>258</v>
      </c>
      <c r="B179" s="429">
        <v>4060</v>
      </c>
      <c r="C179" s="1612">
        <f>-_xll.cw_map("BR","10-&gt;4010.120.1.3")</f>
        <v>0</v>
      </c>
      <c r="D179" s="1573">
        <f>-_xll.cw_map("BR","20-&gt;4010.120.1.3")</f>
        <v>0</v>
      </c>
      <c r="E179" s="1575"/>
      <c r="F179" s="1573">
        <f>-_xll.cw_map("BR","40-&gt;4010.120.1.3")</f>
        <v>0</v>
      </c>
      <c r="G179" s="1573">
        <f>-_xll.cw_map("BR","50-&gt;4010.120.1.3")</f>
        <v>0</v>
      </c>
      <c r="H179" s="1573">
        <f>-_xll.cw_map("BR","60-&gt;4010.120.1.3")</f>
        <v>0</v>
      </c>
      <c r="I179" s="1575"/>
      <c r="J179" s="1575"/>
      <c r="K179" s="1616"/>
    </row>
    <row r="180" spans="1:11" ht="22.5" x14ac:dyDescent="0.2">
      <c r="A180" s="479" t="s">
        <v>780</v>
      </c>
      <c r="B180" s="485">
        <v>4090</v>
      </c>
      <c r="C180" s="1631">
        <f>-_xll.cw_map("BR","10-&gt;4010.120.1.4")</f>
        <v>0</v>
      </c>
      <c r="D180" s="1573">
        <f>-_xll.cw_map("BR","20-&gt;4010.120.1.4")</f>
        <v>0</v>
      </c>
      <c r="E180" s="1575"/>
      <c r="F180" s="1573">
        <f>-_xll.cw_map("BR","40-&gt;4010.120.1.4")</f>
        <v>0</v>
      </c>
      <c r="G180" s="1573">
        <f>-_xll.cw_map("BR","50-&gt;4010.120.1.4")</f>
        <v>0</v>
      </c>
      <c r="H180" s="1573">
        <f>-_xll.cw_map("BR","60-&gt;4010.120.1.4")</f>
        <v>0</v>
      </c>
      <c r="I180" s="1575"/>
      <c r="J180" s="1575"/>
      <c r="K180" s="1573">
        <f>-_xll.cw_map("BR","90-&gt;4010.120.1.4")</f>
        <v>0</v>
      </c>
    </row>
    <row r="181" spans="1:11" ht="13.5" thickBot="1" x14ac:dyDescent="0.25">
      <c r="A181" s="2291" t="s">
        <v>779</v>
      </c>
      <c r="B181" s="2292"/>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87" t="s">
        <v>1779</v>
      </c>
      <c r="B182" s="2288"/>
      <c r="C182" s="1662"/>
      <c r="D182" s="1644"/>
      <c r="E182" s="1608"/>
      <c r="F182" s="1644"/>
      <c r="G182" s="1644"/>
      <c r="H182" s="1575"/>
      <c r="I182" s="1575"/>
      <c r="J182" s="1575"/>
      <c r="K182" s="1575"/>
    </row>
    <row r="183" spans="1:11" ht="15.75" customHeight="1" x14ac:dyDescent="0.2">
      <c r="A183" s="1341" t="s">
        <v>1587</v>
      </c>
      <c r="B183" s="1342"/>
      <c r="C183" s="1642"/>
      <c r="D183" s="1616"/>
      <c r="E183" s="1608"/>
      <c r="F183" s="1616"/>
      <c r="G183" s="1616"/>
      <c r="H183" s="1575"/>
      <c r="I183" s="1575"/>
      <c r="J183" s="1575"/>
      <c r="K183" s="1575"/>
    </row>
    <row r="184" spans="1:11" ht="12.75" customHeight="1" x14ac:dyDescent="0.2">
      <c r="A184" s="427" t="s">
        <v>1588</v>
      </c>
      <c r="B184" s="429">
        <v>4100</v>
      </c>
      <c r="C184" s="1612">
        <f>-_xll.cw_map("BR","10-&gt;4010.120.1.5A")</f>
        <v>0</v>
      </c>
      <c r="D184" s="1586">
        <f>-_xll.cw_map("BR","20-&gt;4010.120.1.5A")</f>
        <v>0</v>
      </c>
      <c r="E184" s="1639"/>
      <c r="F184" s="1586">
        <f>-_xll.cw_map("BR","40-&gt;4010.120.1.5A")</f>
        <v>0</v>
      </c>
      <c r="G184" s="1586">
        <f>-_xll.cw_map("BR","50-&gt;4010.120.1.5A")</f>
        <v>0</v>
      </c>
      <c r="H184" s="1575"/>
      <c r="I184" s="1575"/>
      <c r="J184" s="1575"/>
      <c r="K184" s="1575"/>
    </row>
    <row r="185" spans="1:11" ht="12.75" customHeight="1" x14ac:dyDescent="0.2">
      <c r="A185" s="427" t="s">
        <v>1589</v>
      </c>
      <c r="B185" s="429">
        <v>4105</v>
      </c>
      <c r="C185" s="1631">
        <f>-_xll.cw_map("BR","10-&gt;4010.120.1.5B")</f>
        <v>0</v>
      </c>
      <c r="D185" s="1573">
        <f>-_xll.cw_map("BR","20-&gt;4010.120.1.5B")</f>
        <v>0</v>
      </c>
      <c r="E185" s="1639"/>
      <c r="F185" s="1573">
        <f>-_xll.cw_map("BR","40-&gt;4010.120.1.5B")</f>
        <v>0</v>
      </c>
      <c r="G185" s="1573">
        <f>-_xll.cw_map("BR","50-&gt;4010.120.1.5B")</f>
        <v>0</v>
      </c>
      <c r="H185" s="1575"/>
      <c r="I185" s="1575"/>
      <c r="J185" s="1575"/>
      <c r="K185" s="1575"/>
    </row>
    <row r="186" spans="1:11" ht="12.75" customHeight="1" x14ac:dyDescent="0.2">
      <c r="A186" s="427" t="s">
        <v>1591</v>
      </c>
      <c r="B186" s="429">
        <v>4107</v>
      </c>
      <c r="C186" s="1631">
        <f>-_xll.cw_map("BR","10-&gt;4010.120.1.5C")</f>
        <v>0</v>
      </c>
      <c r="D186" s="1573">
        <f>-_xll.cw_map("BR","20-&gt;4010.120.1.5C")</f>
        <v>0</v>
      </c>
      <c r="E186" s="1639"/>
      <c r="F186" s="1573">
        <f>-_xll.cw_map("BR","40-&gt;4010.120.1.5C")</f>
        <v>0</v>
      </c>
      <c r="G186" s="1573">
        <f>-_xll.cw_map("BR","50-&gt;4010.120.1.5C")</f>
        <v>0</v>
      </c>
      <c r="H186" s="1575"/>
      <c r="I186" s="1575"/>
      <c r="J186" s="1575"/>
      <c r="K186" s="1575"/>
    </row>
    <row r="187" spans="1:11" ht="12.75" customHeight="1" x14ac:dyDescent="0.2">
      <c r="A187" s="427" t="s">
        <v>1590</v>
      </c>
      <c r="B187" s="429">
        <v>4199</v>
      </c>
      <c r="C187" s="1631">
        <f>-_xll.cw_map("BR","10-&gt;4010.120.1.5D")</f>
        <v>0</v>
      </c>
      <c r="D187" s="1573">
        <f>-_xll.cw_map("BR","20-&gt;4010.120.1.5D")</f>
        <v>0</v>
      </c>
      <c r="E187" s="1639"/>
      <c r="F187" s="1573">
        <f>-_xll.cw_map("BR","40-&gt;4010.120.1.5D")</f>
        <v>0</v>
      </c>
      <c r="G187" s="1573">
        <f>-_xll.cw_map("BR","50-&gt;4010.120.1.5D")</f>
        <v>0</v>
      </c>
      <c r="H187" s="1575"/>
      <c r="I187" s="1575"/>
      <c r="J187" s="1575"/>
      <c r="K187" s="1575"/>
    </row>
    <row r="188" spans="1:11" ht="12.75" customHeight="1" thickBot="1" x14ac:dyDescent="0.25">
      <c r="A188" s="1406" t="s">
        <v>1592</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451</v>
      </c>
      <c r="B189" s="1343"/>
      <c r="C189" s="1633"/>
      <c r="D189" s="1644"/>
      <c r="E189" s="1639"/>
      <c r="F189" s="1633"/>
      <c r="G189" s="1633"/>
      <c r="H189" s="1575"/>
      <c r="I189" s="1575"/>
      <c r="J189" s="1575"/>
      <c r="K189" s="1575"/>
    </row>
    <row r="190" spans="1:11" x14ac:dyDescent="0.2">
      <c r="A190" s="427" t="s">
        <v>1435</v>
      </c>
      <c r="B190" s="429">
        <v>4200</v>
      </c>
      <c r="C190" s="1574">
        <f>-_xll.cw_map("BR","10-&gt;4010.120.1.6A")</f>
        <v>0</v>
      </c>
      <c r="D190" s="1575"/>
      <c r="E190" s="1639"/>
      <c r="F190" s="1633"/>
      <c r="G190" s="1663">
        <f>-_xll.cw_map("BR","50-&gt;4010.120.1.6A")</f>
        <v>0</v>
      </c>
      <c r="H190" s="1575"/>
      <c r="I190" s="1575"/>
      <c r="J190" s="1575"/>
      <c r="K190" s="1575"/>
    </row>
    <row r="191" spans="1:11" ht="12.75" customHeight="1" x14ac:dyDescent="0.2">
      <c r="A191" s="427" t="s">
        <v>1050</v>
      </c>
      <c r="B191" s="429">
        <v>4210</v>
      </c>
      <c r="C191" s="1573">
        <f>-_xll.cw_map("BR","10-&gt;4010.120.1.6B")</f>
        <v>201829</v>
      </c>
      <c r="D191" s="1575"/>
      <c r="E191" s="1639"/>
      <c r="F191" s="1575"/>
      <c r="G191" s="1663">
        <f>-_xll.cw_map("BR","50-&gt;4010.120.1.6B")</f>
        <v>0</v>
      </c>
      <c r="H191" s="1575"/>
      <c r="I191" s="1575"/>
      <c r="J191" s="1575"/>
      <c r="K191" s="1575"/>
    </row>
    <row r="192" spans="1:11" ht="12.75" customHeight="1" x14ac:dyDescent="0.2">
      <c r="A192" s="427" t="s">
        <v>1039</v>
      </c>
      <c r="B192" s="429">
        <v>4215</v>
      </c>
      <c r="C192" s="1631">
        <f>-_xll.cw_map("BR","10-&gt;4010.120.1.6c")</f>
        <v>0</v>
      </c>
      <c r="D192" s="1575"/>
      <c r="E192" s="1639"/>
      <c r="F192" s="1575"/>
      <c r="G192" s="1663">
        <f>-_xll.cw_map("BR","50-&gt;4010.120.1.6c")</f>
        <v>0</v>
      </c>
      <c r="H192" s="1575"/>
      <c r="I192" s="1575"/>
      <c r="J192" s="1575"/>
      <c r="K192" s="1575"/>
    </row>
    <row r="193" spans="1:11" ht="12.75" customHeight="1" x14ac:dyDescent="0.2">
      <c r="A193" s="427" t="s">
        <v>1051</v>
      </c>
      <c r="B193" s="429">
        <v>4220</v>
      </c>
      <c r="C193" s="1631">
        <f>-_xll.cw_map("BR","10-&gt;4010.120.1.6D")</f>
        <v>23304</v>
      </c>
      <c r="D193" s="1575"/>
      <c r="E193" s="1639"/>
      <c r="F193" s="1575"/>
      <c r="G193" s="1663">
        <f>-_xll.cw_map("BR","50-&gt;4010.120.1.6D")</f>
        <v>0</v>
      </c>
      <c r="H193" s="1575"/>
      <c r="I193" s="1575"/>
      <c r="J193" s="1575"/>
      <c r="K193" s="1575"/>
    </row>
    <row r="194" spans="1:11" ht="12.75" customHeight="1" x14ac:dyDescent="0.2">
      <c r="A194" s="427" t="s">
        <v>1436</v>
      </c>
      <c r="B194" s="429">
        <v>4225</v>
      </c>
      <c r="C194" s="1631">
        <f>-_xll.cw_map("BR","10-&gt;4010.120.1.6E")</f>
        <v>0</v>
      </c>
      <c r="D194" s="1575"/>
      <c r="E194" s="1639"/>
      <c r="F194" s="1575"/>
      <c r="G194" s="1663">
        <f>-_xll.cw_map("BR","50-&gt;4010.120.1.6E")</f>
        <v>0</v>
      </c>
      <c r="H194" s="1575"/>
      <c r="I194" s="1575"/>
      <c r="J194" s="1575"/>
      <c r="K194" s="1575"/>
    </row>
    <row r="195" spans="1:11" ht="12.75" customHeight="1" x14ac:dyDescent="0.2">
      <c r="A195" s="427" t="s">
        <v>1437</v>
      </c>
      <c r="B195" s="429">
        <v>4226</v>
      </c>
      <c r="C195" s="1631">
        <f>-_xll.cw_map("BR","10-&gt;4010.120.1.6F")</f>
        <v>0</v>
      </c>
      <c r="D195" s="1575"/>
      <c r="E195" s="1639"/>
      <c r="F195" s="1575"/>
      <c r="G195" s="1663">
        <f>-_xll.cw_map("BR","50-&gt;4010.120.1.6F")</f>
        <v>0</v>
      </c>
      <c r="H195" s="1575"/>
      <c r="I195" s="1575"/>
      <c r="J195" s="1575"/>
      <c r="K195" s="1575"/>
    </row>
    <row r="196" spans="1:11" ht="12.75" customHeight="1" x14ac:dyDescent="0.2">
      <c r="A196" s="427" t="s">
        <v>786</v>
      </c>
      <c r="B196" s="429">
        <v>4240</v>
      </c>
      <c r="C196" s="1597">
        <f>-_xll.cw_map("BR","10-&gt;4010.120.1.6G")</f>
        <v>0</v>
      </c>
      <c r="D196" s="1575"/>
      <c r="E196" s="1639"/>
      <c r="F196" s="1575"/>
      <c r="G196" s="1664"/>
      <c r="H196" s="1575"/>
      <c r="I196" s="1575"/>
      <c r="J196" s="1575"/>
      <c r="K196" s="1575"/>
    </row>
    <row r="197" spans="1:11" ht="12.75" customHeight="1" x14ac:dyDescent="0.2">
      <c r="A197" s="427" t="s">
        <v>71</v>
      </c>
      <c r="B197" s="429">
        <v>4299</v>
      </c>
      <c r="C197" s="1631">
        <f>-_xll.cw_map("BR","10-&gt;4010.120.1.6H")</f>
        <v>0</v>
      </c>
      <c r="D197" s="1575"/>
      <c r="E197" s="1639"/>
      <c r="F197" s="1575"/>
      <c r="G197" s="1663">
        <f>-_xll.cw_map("BR","50-&gt;4010.120.1.6H")</f>
        <v>0</v>
      </c>
      <c r="H197" s="1575"/>
      <c r="I197" s="1575"/>
      <c r="J197" s="1575"/>
      <c r="K197" s="1575"/>
    </row>
    <row r="198" spans="1:11" ht="12.75" customHeight="1" thickBot="1" x14ac:dyDescent="0.25">
      <c r="A198" s="1406" t="s">
        <v>543</v>
      </c>
      <c r="B198" s="1407"/>
      <c r="C198" s="1594">
        <f>SUM(C190:C197)</f>
        <v>225133</v>
      </c>
      <c r="D198" s="1575"/>
      <c r="E198" s="1575"/>
      <c r="F198" s="1575"/>
      <c r="G198" s="1594">
        <f>SUM(G190:G197)</f>
        <v>0</v>
      </c>
      <c r="H198" s="1575"/>
      <c r="I198" s="1575"/>
      <c r="J198" s="1575"/>
      <c r="K198" s="1575"/>
    </row>
    <row r="199" spans="1:11" ht="15.75" customHeight="1" thickTop="1" x14ac:dyDescent="0.2">
      <c r="A199" s="1338" t="s">
        <v>1129</v>
      </c>
      <c r="B199" s="1343"/>
      <c r="C199" s="1633"/>
      <c r="D199" s="1575"/>
      <c r="E199" s="1575"/>
      <c r="F199" s="1575"/>
      <c r="G199" s="1575"/>
      <c r="H199" s="1575"/>
      <c r="I199" s="1575"/>
      <c r="J199" s="1575"/>
      <c r="K199" s="1575"/>
    </row>
    <row r="200" spans="1:11" ht="12.75" customHeight="1" x14ac:dyDescent="0.2">
      <c r="A200" s="427" t="s">
        <v>911</v>
      </c>
      <c r="B200" s="429">
        <v>4300</v>
      </c>
      <c r="C200" s="1573">
        <f>-_xll.cw_map("BR","10-&gt;4010.120.1.7A")</f>
        <v>140019</v>
      </c>
      <c r="D200" s="1573">
        <f>-_xll.cw_map("BR","20-&gt;4010.120.1.7A")</f>
        <v>0</v>
      </c>
      <c r="E200" s="1575"/>
      <c r="F200" s="1573">
        <f>-_xll.cw_map("BR","40-&gt;4010.120.1.7A")</f>
        <v>0</v>
      </c>
      <c r="G200" s="1573">
        <f>-_xll.cw_map("BR","50-&gt;4010.120.1.7A")</f>
        <v>0</v>
      </c>
      <c r="H200" s="1575"/>
      <c r="I200" s="1575"/>
      <c r="J200" s="1575"/>
      <c r="K200" s="1575"/>
    </row>
    <row r="201" spans="1:11" ht="12.75" customHeight="1" x14ac:dyDescent="0.2">
      <c r="A201" s="427" t="s">
        <v>912</v>
      </c>
      <c r="B201" s="429">
        <v>4305</v>
      </c>
      <c r="C201" s="1631">
        <f>-_xll.cw_map("BR","10-&gt;4010.120.1.7B")</f>
        <v>0</v>
      </c>
      <c r="D201" s="1573">
        <f>-_xll.cw_map("BR","20-&gt;4010.120.1.7B")</f>
        <v>0</v>
      </c>
      <c r="E201" s="1575"/>
      <c r="F201" s="1573">
        <f>-_xll.cw_map("BR","40-&gt;4010.120.1.7B")</f>
        <v>0</v>
      </c>
      <c r="G201" s="1573">
        <f>-_xll.cw_map("BR","50-&gt;4010.120.1.7B")</f>
        <v>0</v>
      </c>
      <c r="H201" s="1575"/>
      <c r="I201" s="1575"/>
      <c r="J201" s="1575"/>
      <c r="K201" s="1575"/>
    </row>
    <row r="202" spans="1:11" ht="12.75" customHeight="1" x14ac:dyDescent="0.2">
      <c r="A202" s="427" t="s">
        <v>1023</v>
      </c>
      <c r="B202" s="429">
        <v>4340</v>
      </c>
      <c r="C202" s="1631">
        <f>-_xll.cw_map("BR","10-&gt;4010.120.1.7C")</f>
        <v>0</v>
      </c>
      <c r="D202" s="1573">
        <f>-_xll.cw_map("BR","20-&gt;4010.120.1.7C")</f>
        <v>0</v>
      </c>
      <c r="E202" s="1575"/>
      <c r="F202" s="1573">
        <f>-_xll.cw_map("BR","40-&gt;4010.120.1.7C")</f>
        <v>0</v>
      </c>
      <c r="G202" s="1573">
        <f>-_xll.cw_map("BR","50-&gt;4010.120.1.7C")</f>
        <v>0</v>
      </c>
      <c r="H202" s="1575"/>
      <c r="I202" s="1575"/>
      <c r="J202" s="1575"/>
      <c r="K202" s="1575"/>
    </row>
    <row r="203" spans="1:11" ht="12.75" customHeight="1" x14ac:dyDescent="0.2">
      <c r="A203" s="427" t="s">
        <v>72</v>
      </c>
      <c r="B203" s="429">
        <v>4399</v>
      </c>
      <c r="C203" s="1631">
        <f>-_xll.cw_map("BR","10-&gt;4010.120.1.7D")</f>
        <v>0</v>
      </c>
      <c r="D203" s="1573">
        <f>-_xll.cw_map("BR","20-&gt;4010.120.1.7D")</f>
        <v>0</v>
      </c>
      <c r="E203" s="1575"/>
      <c r="F203" s="1573">
        <f>-_xll.cw_map("BR","40-&gt;4010.120.1.7D")</f>
        <v>0</v>
      </c>
      <c r="G203" s="1573">
        <f>-_xll.cw_map("BR","50-&gt;4010.120.1.7D")</f>
        <v>0</v>
      </c>
      <c r="H203" s="1575"/>
      <c r="I203" s="1575"/>
      <c r="J203" s="1575"/>
      <c r="K203" s="1575"/>
    </row>
    <row r="204" spans="1:11" ht="12.75" customHeight="1" thickBot="1" x14ac:dyDescent="0.25">
      <c r="A204" s="1406" t="s">
        <v>396</v>
      </c>
      <c r="B204" s="1407"/>
      <c r="C204" s="1632">
        <f>SUM(C200:C203)</f>
        <v>140019</v>
      </c>
      <c r="D204" s="1632">
        <f>SUM(D200:D203)</f>
        <v>0</v>
      </c>
      <c r="E204" s="1575"/>
      <c r="F204" s="1632">
        <f>SUM(F200:F203)</f>
        <v>0</v>
      </c>
      <c r="G204" s="1632">
        <f>SUM(G200:G203)</f>
        <v>0</v>
      </c>
      <c r="H204" s="1575"/>
      <c r="I204" s="1575"/>
      <c r="J204" s="1575"/>
      <c r="K204" s="1575"/>
    </row>
    <row r="205" spans="1:11" ht="15.75" customHeight="1" thickTop="1" x14ac:dyDescent="0.2">
      <c r="A205" s="1338" t="s">
        <v>1130</v>
      </c>
      <c r="B205" s="1343"/>
      <c r="C205" s="1633"/>
      <c r="D205" s="1633"/>
      <c r="E205" s="1575"/>
      <c r="F205" s="1633"/>
      <c r="G205" s="1633"/>
      <c r="H205" s="1575"/>
      <c r="I205" s="1575"/>
      <c r="J205" s="1575"/>
      <c r="K205" s="1575"/>
    </row>
    <row r="206" spans="1:11" ht="12.75" customHeight="1" x14ac:dyDescent="0.2">
      <c r="A206" s="427" t="s">
        <v>753</v>
      </c>
      <c r="B206" s="429">
        <v>4400</v>
      </c>
      <c r="C206" s="1631">
        <f>-_xll.cw_map("BR","10-&gt;4010.120.1.8A")</f>
        <v>10870</v>
      </c>
      <c r="D206" s="1573">
        <f>-_xll.cw_map("BR","20-&gt;4010.120.1.8A")</f>
        <v>0</v>
      </c>
      <c r="E206" s="1575"/>
      <c r="F206" s="1573">
        <f>-_xll.cw_map("BR","40-&gt;4010.120.1.8A")</f>
        <v>0</v>
      </c>
      <c r="G206" s="1573">
        <f>-_xll.cw_map("BR","50-&gt;4010.120.1.8A")</f>
        <v>0</v>
      </c>
      <c r="H206" s="1575"/>
      <c r="I206" s="1575"/>
      <c r="J206" s="1575"/>
      <c r="K206" s="1575"/>
    </row>
    <row r="207" spans="1:11" ht="12.75" customHeight="1" x14ac:dyDescent="0.2">
      <c r="A207" s="427" t="s">
        <v>1438</v>
      </c>
      <c r="B207" s="429">
        <v>4421</v>
      </c>
      <c r="C207" s="1631">
        <f>-_xll.cw_map("BR","10-&gt;4010.120.1.8B")</f>
        <v>0</v>
      </c>
      <c r="D207" s="1573">
        <f>-_xll.cw_map("BR","20-&gt;4010.120.1.8B")</f>
        <v>0</v>
      </c>
      <c r="E207" s="1575"/>
      <c r="F207" s="1573">
        <f>-_xll.cw_map("BR","40-&gt;4010.120.1.8B")</f>
        <v>0</v>
      </c>
      <c r="G207" s="1573">
        <f>-_xll.cw_map("BR","50-&gt;4010.120.1.8B")</f>
        <v>0</v>
      </c>
      <c r="H207" s="1575"/>
      <c r="I207" s="1575"/>
      <c r="J207" s="1575"/>
      <c r="K207" s="1575"/>
    </row>
    <row r="208" spans="1:11" ht="12.75" customHeight="1" x14ac:dyDescent="0.2">
      <c r="A208" s="427" t="s">
        <v>73</v>
      </c>
      <c r="B208" s="429">
        <v>4499</v>
      </c>
      <c r="C208" s="1631">
        <f>-_xll.cw_map("BR","10-&gt;4010.120.1.8C")</f>
        <v>0</v>
      </c>
      <c r="D208" s="1573">
        <f>-_xll.cw_map("BR","20-&gt;4010.120.1.8C")</f>
        <v>0</v>
      </c>
      <c r="E208" s="1575"/>
      <c r="F208" s="1573">
        <f>-_xll.cw_map("BR","40-&gt;4010.120.1.8C")</f>
        <v>0</v>
      </c>
      <c r="G208" s="1573">
        <f>-_xll.cw_map("BR","50-&gt;4010.120.1.8C")</f>
        <v>0</v>
      </c>
      <c r="H208" s="1575"/>
      <c r="I208" s="1575"/>
      <c r="J208" s="1575"/>
      <c r="K208" s="1575"/>
    </row>
    <row r="209" spans="1:11" ht="12.75" customHeight="1" thickBot="1" x14ac:dyDescent="0.25">
      <c r="A209" s="1406" t="s">
        <v>882</v>
      </c>
      <c r="B209" s="1407"/>
      <c r="C209" s="1632">
        <f>SUM(C206:C208)</f>
        <v>10870</v>
      </c>
      <c r="D209" s="1632">
        <f>SUM(D206:D208)</f>
        <v>0</v>
      </c>
      <c r="E209" s="1575" t="s">
        <v>1160</v>
      </c>
      <c r="F209" s="1632">
        <f>SUM(F206:F208)</f>
        <v>0</v>
      </c>
      <c r="G209" s="1632">
        <f>SUM(G206:G208)</f>
        <v>0</v>
      </c>
      <c r="H209" s="1575"/>
      <c r="I209" s="1575"/>
      <c r="J209" s="1575"/>
      <c r="K209" s="1575"/>
    </row>
    <row r="210" spans="1:11" ht="15.75" customHeight="1" thickTop="1" x14ac:dyDescent="0.2">
      <c r="A210" s="1338" t="s">
        <v>1084</v>
      </c>
      <c r="B210" s="1343"/>
      <c r="C210" s="1633"/>
      <c r="D210" s="1633"/>
      <c r="E210" s="1575"/>
      <c r="F210" s="1633"/>
      <c r="G210" s="1633"/>
      <c r="H210" s="1575"/>
      <c r="I210" s="1575"/>
      <c r="J210" s="1575"/>
      <c r="K210" s="1575"/>
    </row>
    <row r="211" spans="1:11" ht="12.75" customHeight="1" x14ac:dyDescent="0.2">
      <c r="A211" s="427" t="s">
        <v>1044</v>
      </c>
      <c r="B211" s="429">
        <v>4600</v>
      </c>
      <c r="C211" s="1631">
        <f>-_xll.cw_map("BR","10-&gt;4010.120.1.9A")</f>
        <v>13986</v>
      </c>
      <c r="D211" s="1573">
        <f>-_xll.cw_map("BR","20-&gt;4010.120.1.9A")</f>
        <v>0</v>
      </c>
      <c r="E211" s="1575"/>
      <c r="F211" s="1573">
        <f>-_xll.cw_map("BR","40-&gt;4010.120.1.9A")</f>
        <v>0</v>
      </c>
      <c r="G211" s="1573">
        <f>-_xll.cw_map("BR","50-&gt;4010.120.1.9A")</f>
        <v>0</v>
      </c>
      <c r="H211" s="1575"/>
      <c r="I211" s="1575"/>
      <c r="J211" s="1575"/>
      <c r="K211" s="1575"/>
    </row>
    <row r="212" spans="1:11" ht="12.75" customHeight="1" x14ac:dyDescent="0.2">
      <c r="A212" s="427" t="s">
        <v>1045</v>
      </c>
      <c r="B212" s="429">
        <v>4605</v>
      </c>
      <c r="C212" s="1631">
        <f>-_xll.cw_map("BR","10-&gt;4010.120.1.9B")</f>
        <v>0</v>
      </c>
      <c r="D212" s="1573">
        <f>-_xll.cw_map("BR","20-&gt;4010.120.1.9B")</f>
        <v>0</v>
      </c>
      <c r="E212" s="1575"/>
      <c r="F212" s="1573">
        <f>-_xll.cw_map("BR","40-&gt;4010.120.1.9B")</f>
        <v>0</v>
      </c>
      <c r="G212" s="1573">
        <f>-_xll.cw_map("BR","50-&gt;4010.120.1.9B")</f>
        <v>0</v>
      </c>
      <c r="H212" s="1575"/>
      <c r="I212" s="1575"/>
      <c r="J212" s="1575"/>
      <c r="K212" s="1575"/>
    </row>
    <row r="213" spans="1:11" ht="12.75" customHeight="1" x14ac:dyDescent="0.2">
      <c r="A213" s="427" t="s">
        <v>1439</v>
      </c>
      <c r="B213" s="475">
        <v>4620</v>
      </c>
      <c r="C213" s="1631">
        <f>-_xll.cw_map("BR","10-&gt;4010.120.1.9C")</f>
        <v>516074</v>
      </c>
      <c r="D213" s="1573">
        <f>-_xll.cw_map("BR","20-&gt;4010.120.1.9C")</f>
        <v>0</v>
      </c>
      <c r="E213" s="1575"/>
      <c r="F213" s="1573">
        <f>-_xll.cw_map("BR","40-&gt;4010.120.1.9C")</f>
        <v>0</v>
      </c>
      <c r="G213" s="1573">
        <f>-_xll.cw_map("BR","50-&gt;4010.120.1.9C")</f>
        <v>0</v>
      </c>
      <c r="H213" s="1575"/>
      <c r="I213" s="1575"/>
      <c r="J213" s="1575"/>
      <c r="K213" s="1575"/>
    </row>
    <row r="214" spans="1:11" ht="12.75" customHeight="1" x14ac:dyDescent="0.2">
      <c r="A214" s="427" t="s">
        <v>1046</v>
      </c>
      <c r="B214" s="429">
        <v>4625</v>
      </c>
      <c r="C214" s="1631">
        <f>-_xll.cw_map("BR","10-&gt;4010.120.1.9D")</f>
        <v>12392</v>
      </c>
      <c r="D214" s="1573">
        <f>-_xll.cw_map("BR","20-&gt;4010.120.1.9D")</f>
        <v>0</v>
      </c>
      <c r="E214" s="1575"/>
      <c r="F214" s="1573">
        <f>-_xll.cw_map("BR","40-&gt;4010.120.1.9D")</f>
        <v>0</v>
      </c>
      <c r="G214" s="1573">
        <f>-_xll.cw_map("BR","50-&gt;4010.120.1.9D")</f>
        <v>0</v>
      </c>
      <c r="H214" s="1575"/>
      <c r="I214" s="1575"/>
      <c r="J214" s="1575"/>
      <c r="K214" s="1575"/>
    </row>
    <row r="215" spans="1:11" ht="12.75" customHeight="1" x14ac:dyDescent="0.2">
      <c r="A215" s="427" t="s">
        <v>1047</v>
      </c>
      <c r="B215" s="429">
        <v>4630</v>
      </c>
      <c r="C215" s="1631">
        <f>-_xll.cw_map("BR","10-&gt;4010.120.1.9E")</f>
        <v>0</v>
      </c>
      <c r="D215" s="1573">
        <f>-_xll.cw_map("BR","20-&gt;4010.120.1.9E")</f>
        <v>0</v>
      </c>
      <c r="E215" s="1575"/>
      <c r="F215" s="1573">
        <f>-_xll.cw_map("BR","40-&gt;4010.120.1.9E")</f>
        <v>0</v>
      </c>
      <c r="G215" s="1573">
        <f>-_xll.cw_map("BR","50-&gt;4010.120.1.9E")</f>
        <v>0</v>
      </c>
      <c r="H215" s="1575"/>
      <c r="I215" s="1575"/>
      <c r="J215" s="1575"/>
      <c r="K215" s="1575"/>
    </row>
    <row r="216" spans="1:11" ht="12.75" customHeight="1" x14ac:dyDescent="0.2">
      <c r="A216" s="1271" t="s">
        <v>74</v>
      </c>
      <c r="B216" s="475">
        <v>4699</v>
      </c>
      <c r="C216" s="1631">
        <f>-_xll.cw_map("BR","10-&gt;4010.120.1.9F")</f>
        <v>0</v>
      </c>
      <c r="D216" s="1573">
        <f>-_xll.cw_map("BR","20-&gt;4010.120.1.9F")</f>
        <v>0</v>
      </c>
      <c r="E216" s="1575"/>
      <c r="F216" s="1573">
        <f>-_xll.cw_map("BR","40-&gt;4010.120.1.9F")</f>
        <v>0</v>
      </c>
      <c r="G216" s="1573">
        <f>-_xll.cw_map("BR","50-&gt;4010.120.1.9F")</f>
        <v>0</v>
      </c>
      <c r="H216" s="1575"/>
      <c r="I216" s="1575"/>
      <c r="J216" s="1575"/>
      <c r="K216" s="1575"/>
    </row>
    <row r="217" spans="1:11" ht="12.75" customHeight="1" thickBot="1" x14ac:dyDescent="0.25">
      <c r="A217" s="1406" t="s">
        <v>443</v>
      </c>
      <c r="B217" s="1407"/>
      <c r="C217" s="1632">
        <f>SUM(C211:C216)</f>
        <v>542452</v>
      </c>
      <c r="D217" s="1632">
        <f>SUM(D211:D216)</f>
        <v>0</v>
      </c>
      <c r="E217" s="1575"/>
      <c r="F217" s="1632">
        <f>SUM(F211:F216)</f>
        <v>0</v>
      </c>
      <c r="G217" s="1632">
        <f>SUM(G211:G216)</f>
        <v>0</v>
      </c>
      <c r="H217" s="1575"/>
      <c r="I217" s="1575"/>
      <c r="J217" s="1575"/>
      <c r="K217" s="1575"/>
    </row>
    <row r="218" spans="1:11" ht="15.75" customHeight="1" thickTop="1" x14ac:dyDescent="0.2">
      <c r="A218" s="1338" t="s">
        <v>1085</v>
      </c>
      <c r="B218" s="1343"/>
      <c r="C218" s="1633"/>
      <c r="D218" s="1633"/>
      <c r="E218" s="1575"/>
      <c r="F218" s="1633"/>
      <c r="G218" s="1633"/>
      <c r="H218" s="1575"/>
      <c r="I218" s="1575"/>
      <c r="J218" s="1575"/>
      <c r="K218" s="1575"/>
    </row>
    <row r="219" spans="1:11" ht="12.75" customHeight="1" x14ac:dyDescent="0.2">
      <c r="A219" s="427" t="s">
        <v>781</v>
      </c>
      <c r="B219" s="429">
        <v>4770</v>
      </c>
      <c r="C219" s="1631">
        <f>-_xll.cw_map("BR","10-&gt;4010.120.2.1A")</f>
        <v>0</v>
      </c>
      <c r="D219" s="1573">
        <f>-_xll.cw_map("BR","20-&gt;4010.120.2.1A")</f>
        <v>0</v>
      </c>
      <c r="E219" s="1575"/>
      <c r="F219" s="1575"/>
      <c r="G219" s="1573">
        <f>-_xll.cw_map("BR","50-&gt;4010.120.2.1A")</f>
        <v>0</v>
      </c>
      <c r="H219" s="1575"/>
      <c r="I219" s="1575"/>
      <c r="J219" s="1575"/>
      <c r="K219" s="1575"/>
    </row>
    <row r="220" spans="1:11" ht="12.75" customHeight="1" x14ac:dyDescent="0.2">
      <c r="A220" s="427" t="s">
        <v>67</v>
      </c>
      <c r="B220" s="429">
        <v>4799</v>
      </c>
      <c r="C220" s="1631">
        <f>-_xll.cw_map("BR","10-&gt;4010.120.2.1B")</f>
        <v>0</v>
      </c>
      <c r="D220" s="1573">
        <f>-_xll.cw_map("BR","20-&gt;4010.120.2.1B")</f>
        <v>0</v>
      </c>
      <c r="E220" s="1575"/>
      <c r="F220" s="1575"/>
      <c r="G220" s="1573">
        <f>-_xll.cw_map("BR","50-&gt;4010.120.2.1B")</f>
        <v>0</v>
      </c>
      <c r="H220" s="1575"/>
      <c r="I220" s="1575"/>
      <c r="J220" s="1575"/>
      <c r="K220" s="1575"/>
    </row>
    <row r="221" spans="1:11" ht="12.75" customHeight="1" thickBot="1" x14ac:dyDescent="0.25">
      <c r="A221" s="1415" t="s">
        <v>1077</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751</v>
      </c>
      <c r="B222" s="435">
        <v>4810</v>
      </c>
      <c r="C222" s="1649">
        <f>-_xll.cw_map("BR","10-&gt;4010.120.2.2BC")</f>
        <v>0</v>
      </c>
      <c r="D222" s="1650">
        <f>-_xll.cw_map("BR","20-&gt;4010.120.2.2BC")</f>
        <v>0</v>
      </c>
      <c r="E222" s="1575"/>
      <c r="F222" s="1575"/>
      <c r="G222" s="1650">
        <f>-_xll.cw_map("BR","50-&gt;4010.120.2.2BC")</f>
        <v>0</v>
      </c>
      <c r="H222" s="1575"/>
      <c r="I222" s="1575"/>
      <c r="J222" s="1575"/>
      <c r="K222" s="1575"/>
    </row>
    <row r="223" spans="1:11" ht="12.75" customHeight="1" thickTop="1" x14ac:dyDescent="0.2">
      <c r="A223" s="436" t="s">
        <v>346</v>
      </c>
      <c r="B223" s="435">
        <v>4850</v>
      </c>
      <c r="C223" s="1597">
        <f>-_xll.cw_map("BR","10-&gt;4010.120.2.2AB")</f>
        <v>0</v>
      </c>
      <c r="D223" s="1574">
        <f>-_xll.cw_map("BR","20-&gt;4010.120.2.2AB")</f>
        <v>0</v>
      </c>
      <c r="E223" s="1574">
        <f>-_xll.cw_map("BR","30-&gt;4010.120.2.2AB")</f>
        <v>0</v>
      </c>
      <c r="F223" s="1574">
        <f>-_xll.cw_map("BR","40-&gt;4010.120.2.2AB")</f>
        <v>0</v>
      </c>
      <c r="G223" s="1574">
        <f>-_xll.cw_map("BR","50-&gt;4010.120.2.2AB")</f>
        <v>0</v>
      </c>
      <c r="H223" s="1574">
        <f>-_xll.cw_map("BR","60-&gt;4010.120.2.2AB")</f>
        <v>0</v>
      </c>
      <c r="I223" s="1575"/>
      <c r="J223" s="1574">
        <f>-_xll.cw_map("BR","80-&gt;4010.120.2.2AB")</f>
        <v>0</v>
      </c>
      <c r="K223" s="1574">
        <f>-_xll.cw_map("BR","90-&gt;4010.120.2.2AB")</f>
        <v>0</v>
      </c>
    </row>
    <row r="224" spans="1:11" ht="12.75" customHeight="1" x14ac:dyDescent="0.2">
      <c r="A224" s="436" t="s">
        <v>347</v>
      </c>
      <c r="B224" s="435">
        <v>4851</v>
      </c>
      <c r="C224" s="1597">
        <f>-_xll.cw_map("BR","10-&gt;4010.120.2.2AD")</f>
        <v>0</v>
      </c>
      <c r="D224" s="1574">
        <f>-_xll.cw_map("BR","20-&gt;4010.120.2.2AD")</f>
        <v>0</v>
      </c>
      <c r="E224" s="1575"/>
      <c r="F224" s="1579">
        <f>-_xll.cw_map("BR","40-&gt;4010.120.2.2AD")</f>
        <v>0</v>
      </c>
      <c r="G224" s="1574">
        <f>-_xll.cw_map("BR","50-&gt;4010.120.2.2AD")</f>
        <v>0</v>
      </c>
      <c r="H224" s="1575"/>
      <c r="I224" s="1575"/>
      <c r="J224" s="1575"/>
      <c r="K224" s="1575"/>
    </row>
    <row r="225" spans="1:11" ht="12.75" customHeight="1" x14ac:dyDescent="0.2">
      <c r="A225" s="436" t="s">
        <v>348</v>
      </c>
      <c r="B225" s="435">
        <v>4852</v>
      </c>
      <c r="C225" s="1597">
        <f>-_xll.cw_map("BR","10-&gt;4010.120.2.2AF")</f>
        <v>0</v>
      </c>
      <c r="D225" s="1574">
        <f>-_xll.cw_map("BR","20-&gt;4010.120.2.2AF")</f>
        <v>0</v>
      </c>
      <c r="E225" s="1574">
        <f>-_xll.cw_map("BR","30-&gt;4010.120.2.2AF")</f>
        <v>0</v>
      </c>
      <c r="F225" s="1574">
        <f>-_xll.cw_map("BR","40-&gt;4010.120.2.2AF")</f>
        <v>0</v>
      </c>
      <c r="G225" s="1574">
        <f>-_xll.cw_map("BR","50-&gt;4010.120.2.2AF")</f>
        <v>0</v>
      </c>
      <c r="H225" s="1574">
        <f>-_xll.cw_map("BR","60-&gt;4010.120.2.2AF")</f>
        <v>0</v>
      </c>
      <c r="I225" s="1575"/>
      <c r="J225" s="1574">
        <f>-_xll.cw_map("BR","80-&gt;4010.120.2.2AF")</f>
        <v>0</v>
      </c>
      <c r="K225" s="1574">
        <f>-_xll.cw_map("BR","90-&gt;4010.120.2.2AF")</f>
        <v>0</v>
      </c>
    </row>
    <row r="226" spans="1:11" ht="12.75" customHeight="1" x14ac:dyDescent="0.2">
      <c r="A226" s="436" t="s">
        <v>349</v>
      </c>
      <c r="B226" s="435">
        <v>4853</v>
      </c>
      <c r="C226" s="1597">
        <f>-_xll.cw_map("BR","10-&gt;4010.120.2.2AH")</f>
        <v>0</v>
      </c>
      <c r="D226" s="1574">
        <f>-_xll.cw_map("BR","20-&gt;4010.120.2.2AH")</f>
        <v>0</v>
      </c>
      <c r="E226" s="1574">
        <f>-_xll.cw_map("BR","30-&gt;4010.120.2.2AH")</f>
        <v>0</v>
      </c>
      <c r="F226" s="1574">
        <f>-_xll.cw_map("BR","40-&gt;4010.120.2.2AH")</f>
        <v>0</v>
      </c>
      <c r="G226" s="1574">
        <f>-_xll.cw_map("BR","50-&gt;4010.120.2.2AH")</f>
        <v>0</v>
      </c>
      <c r="H226" s="1574">
        <f>-_xll.cw_map("BR","60-&gt;4010.120.2.2AH")</f>
        <v>0</v>
      </c>
      <c r="I226" s="1575"/>
      <c r="J226" s="1574">
        <f>-_xll.cw_map("BR","80-&gt;4010.120.2.2AH")</f>
        <v>0</v>
      </c>
      <c r="K226" s="1574">
        <f>-_xll.cw_map("BR","90-&gt;4010.120.2.2AH")</f>
        <v>0</v>
      </c>
    </row>
    <row r="227" spans="1:11" ht="12.75" customHeight="1" x14ac:dyDescent="0.2">
      <c r="A227" s="436" t="s">
        <v>350</v>
      </c>
      <c r="B227" s="435">
        <v>4854</v>
      </c>
      <c r="C227" s="1597">
        <f>-_xll.cw_map("BR","10-&gt;4010.120.2.2AI")</f>
        <v>0</v>
      </c>
      <c r="D227" s="1574">
        <f>-_xll.cw_map("BR","20-&gt;4010.120.2.2AI")</f>
        <v>0</v>
      </c>
      <c r="E227" s="1574">
        <f>-_xll.cw_map("BR","30-&gt;4010.120.2.2AI")</f>
        <v>0</v>
      </c>
      <c r="F227" s="1574">
        <f>-_xll.cw_map("BR","40-&gt;4010.120.2.2AI")</f>
        <v>0</v>
      </c>
      <c r="G227" s="1574">
        <f>-_xll.cw_map("BR","50-&gt;4010.120.2.2AI")</f>
        <v>0</v>
      </c>
      <c r="H227" s="1574">
        <f>-_xll.cw_map("BR","60-&gt;4010.120.2.2AI")</f>
        <v>0</v>
      </c>
      <c r="I227" s="1575"/>
      <c r="J227" s="1574">
        <f>-_xll.cw_map("BR","80-&gt;4010.120.2.2AI")</f>
        <v>0</v>
      </c>
      <c r="K227" s="1574">
        <f>-_xll.cw_map("BR","90-&gt;4010.120.2.2AI")</f>
        <v>0</v>
      </c>
    </row>
    <row r="228" spans="1:11" ht="12.75" customHeight="1" x14ac:dyDescent="0.2">
      <c r="A228" s="436" t="s">
        <v>460</v>
      </c>
      <c r="B228" s="435">
        <v>4855</v>
      </c>
      <c r="C228" s="1597">
        <f>-_xll.cw_map("BR","10-&gt;4010.120.2.2AJ")</f>
        <v>0</v>
      </c>
      <c r="D228" s="1574">
        <f>-_xll.cw_map("BR","20-&gt;4010.120.2.2AJ")</f>
        <v>0</v>
      </c>
      <c r="E228" s="1574">
        <f>-_xll.cw_map("BR","30-&gt;4010.120.2.2AJ")</f>
        <v>0</v>
      </c>
      <c r="F228" s="1574">
        <f>-_xll.cw_map("BR","40-&gt;4010.120.2.2AJ")</f>
        <v>0</v>
      </c>
      <c r="G228" s="1574">
        <f>-_xll.cw_map("BR","50-&gt;4010.120.2.2AJ")</f>
        <v>0</v>
      </c>
      <c r="H228" s="1574">
        <f>-_xll.cw_map("BR","60-&gt;4010.120.2.2AJ")</f>
        <v>0</v>
      </c>
      <c r="I228" s="1575"/>
      <c r="J228" s="1574">
        <f>-_xll.cw_map("BR","80-&gt;4010.120.2.2AJ")</f>
        <v>0</v>
      </c>
      <c r="K228" s="1574">
        <f>-_xll.cw_map("BR","90-&gt;4010.120.2.2AJ")</f>
        <v>0</v>
      </c>
    </row>
    <row r="229" spans="1:11" ht="12.75" customHeight="1" x14ac:dyDescent="0.2">
      <c r="A229" s="436" t="s">
        <v>351</v>
      </c>
      <c r="B229" s="435">
        <v>4856</v>
      </c>
      <c r="C229" s="1597">
        <f>-_xll.cw_map("BR","10-&gt;4010.120.2.2AK")</f>
        <v>0</v>
      </c>
      <c r="D229" s="1574">
        <f>-_xll.cw_map("BR","20-&gt;4010.120.2.2AK")</f>
        <v>0</v>
      </c>
      <c r="E229" s="1574">
        <f>-_xll.cw_map("BR","30-&gt;4010.120.2.2AK")</f>
        <v>0</v>
      </c>
      <c r="F229" s="1574">
        <f>-_xll.cw_map("BR","40-&gt;4010.120.2.2AK")</f>
        <v>0</v>
      </c>
      <c r="G229" s="1574">
        <f>-_xll.cw_map("BR","50-&gt;4010.120.2.2AK")</f>
        <v>0</v>
      </c>
      <c r="H229" s="1574">
        <f>-_xll.cw_map("BR","60-&gt;4010.120.2.2AK")</f>
        <v>0</v>
      </c>
      <c r="I229" s="1575"/>
      <c r="J229" s="1574">
        <f>-_xll.cw_map("BR","80-&gt;4010.120.2.2AK")</f>
        <v>0</v>
      </c>
      <c r="K229" s="1574">
        <f>-_xll.cw_map("BR","90-&gt;4010.120.2.2AK")</f>
        <v>0</v>
      </c>
    </row>
    <row r="230" spans="1:11" ht="12.75" customHeight="1" x14ac:dyDescent="0.2">
      <c r="A230" s="436" t="s">
        <v>352</v>
      </c>
      <c r="B230" s="435">
        <v>4857</v>
      </c>
      <c r="C230" s="1597">
        <f>-_xll.cw_map("BR","10-&gt;4010.120.2.2AL")</f>
        <v>0</v>
      </c>
      <c r="D230" s="1574">
        <f>-_xll.cw_map("BR","20-&gt;4010.120.2.2AL")</f>
        <v>0</v>
      </c>
      <c r="E230" s="1574">
        <f>-_xll.cw_map("BR","30-&gt;4010.120.2.2AL")</f>
        <v>0</v>
      </c>
      <c r="F230" s="1574">
        <f>-_xll.cw_map("BR","40-&gt;4010.120.2.2AL")</f>
        <v>0</v>
      </c>
      <c r="G230" s="1574">
        <f>-_xll.cw_map("BR","50-&gt;4010.120.2.2AL")</f>
        <v>0</v>
      </c>
      <c r="H230" s="1574">
        <f>-_xll.cw_map("BR","60-&gt;4010.120.2.2AL")</f>
        <v>0</v>
      </c>
      <c r="I230" s="1575"/>
      <c r="J230" s="1574">
        <f>-_xll.cw_map("BR","80-&gt;4010.120.2.2AL")</f>
        <v>0</v>
      </c>
      <c r="K230" s="1574">
        <f>-_xll.cw_map("BR","90-&gt;4010.120.2.2AL")</f>
        <v>0</v>
      </c>
    </row>
    <row r="231" spans="1:11" ht="12.75" customHeight="1" x14ac:dyDescent="0.2">
      <c r="A231" s="436" t="s">
        <v>353</v>
      </c>
      <c r="B231" s="435">
        <v>4860</v>
      </c>
      <c r="C231" s="1597">
        <f>-_xll.cw_map("BR","10-&gt;4010.120.2.2AM")</f>
        <v>0</v>
      </c>
      <c r="D231" s="1574">
        <f>-_xll.cw_map("BR","20-&gt;4010.120.2.2AM")</f>
        <v>0</v>
      </c>
      <c r="E231" s="1574">
        <f>-_xll.cw_map("BR","30-&gt;4010.120.2.2AM")</f>
        <v>0</v>
      </c>
      <c r="F231" s="1574">
        <f>-_xll.cw_map("BR","40-&gt;4010.120.2.2AM")</f>
        <v>0</v>
      </c>
      <c r="G231" s="1574">
        <f>-_xll.cw_map("BR","50-&gt;4010.120.2.2AM")</f>
        <v>0</v>
      </c>
      <c r="H231" s="1574">
        <f>-_xll.cw_map("BR","60-&gt;4010.120.2.2AM")</f>
        <v>0</v>
      </c>
      <c r="I231" s="1575"/>
      <c r="J231" s="1574">
        <f>-_xll.cw_map("BR","80-&gt;4010.120.2.2AM")</f>
        <v>0</v>
      </c>
      <c r="K231" s="1574">
        <f>-_xll.cw_map("BR","90-&gt;4010.120.2.2AM")</f>
        <v>0</v>
      </c>
    </row>
    <row r="232" spans="1:11" ht="12.75" customHeight="1" x14ac:dyDescent="0.2">
      <c r="A232" s="436" t="s">
        <v>354</v>
      </c>
      <c r="B232" s="435">
        <v>4861</v>
      </c>
      <c r="C232" s="1597">
        <f>-_xll.cw_map("BR","10-&gt;4010.120.2.2AN")</f>
        <v>0</v>
      </c>
      <c r="D232" s="1574">
        <f>-_xll.cw_map("BR","20-&gt;4010.120.2.2AN")</f>
        <v>0</v>
      </c>
      <c r="E232" s="1574">
        <f>-_xll.cw_map("BR","30-&gt;4010.120.2.2AN")</f>
        <v>0</v>
      </c>
      <c r="F232" s="1574">
        <f>-_xll.cw_map("BR","40-&gt;4010.120.2.2AN")</f>
        <v>0</v>
      </c>
      <c r="G232" s="1574">
        <f>-_xll.cw_map("BR","50-&gt;4010.120.2.2AN")</f>
        <v>0</v>
      </c>
      <c r="H232" s="1574">
        <f>-_xll.cw_map("BR","60-&gt;4010.120.2.2AN")</f>
        <v>0</v>
      </c>
      <c r="I232" s="1575"/>
      <c r="J232" s="1574">
        <f>-_xll.cw_map("BR","80-&gt;4010.120.2.2AN")</f>
        <v>0</v>
      </c>
      <c r="K232" s="1574">
        <f>-_xll.cw_map("BR","90-&gt;4010.120.2.2AN")</f>
        <v>0</v>
      </c>
    </row>
    <row r="233" spans="1:11" ht="12.75" customHeight="1" x14ac:dyDescent="0.2">
      <c r="A233" s="436" t="s">
        <v>355</v>
      </c>
      <c r="B233" s="435">
        <v>4862</v>
      </c>
      <c r="C233" s="1597">
        <f>-_xll.cw_map("BR","10-&gt;4010.120.2.2AO")</f>
        <v>0</v>
      </c>
      <c r="D233" s="1574">
        <f>-_xll.cw_map("BR","20-&gt;4010.120.2.2AO")</f>
        <v>0</v>
      </c>
      <c r="E233" s="1580"/>
      <c r="F233" s="1574">
        <f>-_xll.cw_map("BR","40-&gt;4010.120.2.2AO")</f>
        <v>0</v>
      </c>
      <c r="G233" s="1574">
        <f>-_xll.cw_map("BR","50-&gt;4010.120.2.2AO")</f>
        <v>0</v>
      </c>
      <c r="H233" s="1580"/>
      <c r="I233" s="1575"/>
      <c r="J233" s="1580"/>
      <c r="K233" s="1580"/>
    </row>
    <row r="234" spans="1:11" ht="12.75" customHeight="1" x14ac:dyDescent="0.2">
      <c r="A234" s="436" t="s">
        <v>356</v>
      </c>
      <c r="B234" s="435">
        <v>4863</v>
      </c>
      <c r="C234" s="1597">
        <f>-_xll.cw_map("BR","10-&gt;4010.120.2.2AP")</f>
        <v>0</v>
      </c>
      <c r="D234" s="1574">
        <f>-_xll.cw_map("BR","20-&gt;4010.120.2.2AP")</f>
        <v>0</v>
      </c>
      <c r="E234" s="1575"/>
      <c r="F234" s="1580"/>
      <c r="G234" s="1622"/>
      <c r="H234" s="1575"/>
      <c r="I234" s="1575"/>
      <c r="J234" s="1575"/>
      <c r="K234" s="1575"/>
    </row>
    <row r="235" spans="1:11" ht="12.75" customHeight="1" x14ac:dyDescent="0.2">
      <c r="A235" s="436" t="s">
        <v>465</v>
      </c>
      <c r="B235" s="435">
        <v>4864</v>
      </c>
      <c r="C235" s="1597">
        <f>-_xll.cw_map("BR","10-&gt;4010.120.2.2BG")</f>
        <v>0</v>
      </c>
      <c r="D235" s="1574">
        <f>-_xll.cw_map("BR","20-&gt;4010.120.2.2BG")</f>
        <v>0</v>
      </c>
      <c r="E235" s="1574">
        <f>-_xll.cw_map("BR","30-&gt;4010.120.2.2BG")</f>
        <v>0</v>
      </c>
      <c r="F235" s="1574">
        <f>-_xll.cw_map("BR","40-&gt;4010.120.2.2BG")</f>
        <v>0</v>
      </c>
      <c r="G235" s="1574">
        <f>-_xll.cw_map("BR","50-&gt;4010.120.2.2BG")</f>
        <v>0</v>
      </c>
      <c r="H235" s="1574">
        <f>-_xll.cw_map("BR","60-&gt;4010.120.2.2BG")</f>
        <v>0</v>
      </c>
      <c r="I235" s="1575"/>
      <c r="J235" s="1574">
        <f>-_xll.cw_map("BR","80-&gt;4010.120.2.2BG")</f>
        <v>0</v>
      </c>
      <c r="K235" s="1574">
        <f>-_xll.cw_map("BR","90-&gt;4010.120.2.2BG")</f>
        <v>0</v>
      </c>
    </row>
    <row r="236" spans="1:11" ht="12.75" customHeight="1" x14ac:dyDescent="0.2">
      <c r="A236" s="436" t="s">
        <v>466</v>
      </c>
      <c r="B236" s="435">
        <v>4865</v>
      </c>
      <c r="C236" s="1597">
        <f>-_xll.cw_map("BR","10-&gt;4010.120.2.2BF")</f>
        <v>0</v>
      </c>
      <c r="D236" s="1574">
        <f>-_xll.cw_map("BR","20-&gt;4010.120.2.2BF")</f>
        <v>0</v>
      </c>
      <c r="E236" s="1574">
        <f>-_xll.cw_map("BR","30-&gt;4010.120.2.2BF")</f>
        <v>0</v>
      </c>
      <c r="F236" s="1574">
        <f>-_xll.cw_map("BR","40-&gt;4010.120.2.2BF")</f>
        <v>0</v>
      </c>
      <c r="G236" s="1574">
        <f>-_xll.cw_map("BR","50-&gt;4010.120.2.2BF")</f>
        <v>0</v>
      </c>
      <c r="H236" s="1574">
        <f>-_xll.cw_map("BR","60-&gt;4010.120.2.2BF")</f>
        <v>0</v>
      </c>
      <c r="I236" s="1575"/>
      <c r="J236" s="1574">
        <f>-_xll.cw_map("BR","80-&gt;4010.120.2.2BF")</f>
        <v>0</v>
      </c>
      <c r="K236" s="1574">
        <f>-_xll.cw_map("BR","90-&gt;4010.120.2.2BF")</f>
        <v>0</v>
      </c>
    </row>
    <row r="237" spans="1:11" ht="12.75" customHeight="1" x14ac:dyDescent="0.2">
      <c r="A237" s="436" t="s">
        <v>464</v>
      </c>
      <c r="B237" s="435">
        <v>4866</v>
      </c>
      <c r="C237" s="1597">
        <f>-_xll.cw_map("BR","10-&gt;4010.120.2.2BM")</f>
        <v>0</v>
      </c>
      <c r="D237" s="1574">
        <f>-_xll.cw_map("BR","20-&gt;4010.120.2.2BM")</f>
        <v>0</v>
      </c>
      <c r="E237" s="1574">
        <f>-_xll.cw_map("BR","30-&gt;4010.120.2.2BM")</f>
        <v>0</v>
      </c>
      <c r="F237" s="1574">
        <f>-_xll.cw_map("BR","40-&gt;4010.120.2.2BM")</f>
        <v>0</v>
      </c>
      <c r="G237" s="1574">
        <f>-_xll.cw_map("BR","50-&gt;4010.120.2.2BM")</f>
        <v>0</v>
      </c>
      <c r="H237" s="1574">
        <f>-_xll.cw_map("BR","60-&gt;4010.120.2.2BM")</f>
        <v>0</v>
      </c>
      <c r="I237" s="1575"/>
      <c r="J237" s="1574">
        <f>-_xll.cw_map("BR","80-&gt;4010.120.2.2BM")</f>
        <v>0</v>
      </c>
      <c r="K237" s="1574">
        <f>-_xll.cw_map("BR","90-&gt;4010.120.2.2BM")</f>
        <v>0</v>
      </c>
    </row>
    <row r="238" spans="1:11" ht="12.75" customHeight="1" x14ac:dyDescent="0.2">
      <c r="A238" s="436" t="s">
        <v>463</v>
      </c>
      <c r="B238" s="435">
        <v>4867</v>
      </c>
      <c r="C238" s="1597">
        <f>-_xll.cw_map("BR","10-&gt;4010.120.2.2BL")</f>
        <v>0</v>
      </c>
      <c r="D238" s="1574">
        <f>-_xll.cw_map("BR","20-&gt;4010.120.2.2BL")</f>
        <v>0</v>
      </c>
      <c r="E238" s="1574">
        <f>-_xll.cw_map("BR","30-&gt;4010.120.2.2BL")</f>
        <v>0</v>
      </c>
      <c r="F238" s="1574">
        <f>-_xll.cw_map("BR","40-&gt;4010.120.2.2BL")</f>
        <v>0</v>
      </c>
      <c r="G238" s="1574">
        <f>-_xll.cw_map("BR","50-&gt;4010.120.2.2BL")</f>
        <v>0</v>
      </c>
      <c r="H238" s="1574">
        <f>-_xll.cw_map("BR","60-&gt;4010.120.2.2BL")</f>
        <v>0</v>
      </c>
      <c r="I238" s="1575"/>
      <c r="J238" s="1574">
        <f>-_xll.cw_map("BR","80-&gt;4010.120.2.2BL")</f>
        <v>0</v>
      </c>
      <c r="K238" s="1574">
        <f>-_xll.cw_map("BR","90-&gt;4010.120.2.2BL")</f>
        <v>0</v>
      </c>
    </row>
    <row r="239" spans="1:11" ht="12.75" customHeight="1" x14ac:dyDescent="0.2">
      <c r="A239" s="436" t="s">
        <v>462</v>
      </c>
      <c r="B239" s="435">
        <v>4868</v>
      </c>
      <c r="C239" s="1597">
        <f>-_xll.cw_map("BR","10-&gt;4010.120.2.2BB")</f>
        <v>0</v>
      </c>
      <c r="D239" s="1574">
        <f>-_xll.cw_map("BR","20-&gt;4010.120.2.2BB")</f>
        <v>0</v>
      </c>
      <c r="E239" s="1574">
        <f>-_xll.cw_map("BR","30-&gt;4010.120.2.2BB")</f>
        <v>0</v>
      </c>
      <c r="F239" s="1574">
        <f>-_xll.cw_map("BR","40-&gt;4010.120.2.2BB")</f>
        <v>0</v>
      </c>
      <c r="G239" s="1574">
        <f>-_xll.cw_map("BR","50-&gt;4010.120.2.2BB")</f>
        <v>0</v>
      </c>
      <c r="H239" s="1574">
        <f>-_xll.cw_map("BR","60-&gt;4010.120.2.2BB")</f>
        <v>0</v>
      </c>
      <c r="I239" s="1575"/>
      <c r="J239" s="1574">
        <f>-_xll.cw_map("BR","80-&gt;4010.120.2.2BB")</f>
        <v>0</v>
      </c>
      <c r="K239" s="1574">
        <f>-_xll.cw_map("BR","90-&gt;4010.120.2.2BB")</f>
        <v>0</v>
      </c>
    </row>
    <row r="240" spans="1:11" ht="12.75" customHeight="1" x14ac:dyDescent="0.2">
      <c r="A240" s="436" t="s">
        <v>461</v>
      </c>
      <c r="B240" s="435">
        <v>4869</v>
      </c>
      <c r="C240" s="1597">
        <f>-_xll.cw_map("BR","10-&gt;4010.120.2.2BA")</f>
        <v>0</v>
      </c>
      <c r="D240" s="1574">
        <f>-_xll.cw_map("BR","20-&gt;4010.120.2.2BA")</f>
        <v>0</v>
      </c>
      <c r="E240" s="1574">
        <f>-_xll.cw_map("BR","30-&gt;4010.120.2.2BA")</f>
        <v>0</v>
      </c>
      <c r="F240" s="1574">
        <f>-_xll.cw_map("BR","40-&gt;4010.120.2.2BA")</f>
        <v>0</v>
      </c>
      <c r="G240" s="1574">
        <f>-_xll.cw_map("BR","50-&gt;4010.120.2.2BA")</f>
        <v>0</v>
      </c>
      <c r="H240" s="1574">
        <f>-_xll.cw_map("BR","60-&gt;4010.120.2.2BA")</f>
        <v>0</v>
      </c>
      <c r="I240" s="1575"/>
      <c r="J240" s="1574">
        <f>-_xll.cw_map("BR","80-&gt;4010.120.2.2BA")</f>
        <v>0</v>
      </c>
      <c r="K240" s="1574">
        <f>-_xll.cw_map("BR","90-&gt;4010.120.2.2BA")</f>
        <v>0</v>
      </c>
    </row>
    <row r="241" spans="1:11" ht="12.75" customHeight="1" x14ac:dyDescent="0.2">
      <c r="A241" s="436" t="s">
        <v>1119</v>
      </c>
      <c r="B241" s="435">
        <v>4870</v>
      </c>
      <c r="C241" s="1597">
        <f>-_xll.cw_map("BR","10-&gt;4010.120.2.2AQ")</f>
        <v>0</v>
      </c>
      <c r="D241" s="1574">
        <f>-_xll.cw_map("BR","20-&gt;4010.120.2.2AQ")</f>
        <v>0</v>
      </c>
      <c r="E241" s="1574">
        <f>-_xll.cw_map("BR","30-&gt;4010.120.2.2AQ")</f>
        <v>0</v>
      </c>
      <c r="F241" s="1574">
        <f>-_xll.cw_map("BR","40-&gt;4010.120.2.2AQ")</f>
        <v>0</v>
      </c>
      <c r="G241" s="1574">
        <f>-_xll.cw_map("BR","50-&gt;4010.120.2.2AQ")</f>
        <v>0</v>
      </c>
      <c r="H241" s="1574">
        <f>-_xll.cw_map("BR","60-&gt;4010.120.2.2AQ")</f>
        <v>0</v>
      </c>
      <c r="I241" s="1575"/>
      <c r="J241" s="1574">
        <f>-_xll.cw_map("BR","80-&gt;4010.120.2.2AQ")</f>
        <v>0</v>
      </c>
      <c r="K241" s="1574">
        <f>-_xll.cw_map("BR","90-&gt;4010.120.2.2AQ")</f>
        <v>0</v>
      </c>
    </row>
    <row r="242" spans="1:11" ht="12.75" customHeight="1" x14ac:dyDescent="0.2">
      <c r="A242" s="436" t="s">
        <v>782</v>
      </c>
      <c r="B242" s="435">
        <v>4871</v>
      </c>
      <c r="C242" s="1597">
        <f>-_xll.cw_map("BR","10-&gt;4010.120.2.2AR")</f>
        <v>0</v>
      </c>
      <c r="D242" s="1574">
        <f>-_xll.cw_map("BR","20-&gt;4010.120.2.2AR")</f>
        <v>0</v>
      </c>
      <c r="E242" s="1574">
        <f>-_xll.cw_map("BR","30-&gt;4010.120.2.2AR")</f>
        <v>0</v>
      </c>
      <c r="F242" s="1574">
        <f>-_xll.cw_map("BR","40-&gt;4010.120.2.2AR")</f>
        <v>0</v>
      </c>
      <c r="G242" s="1574">
        <f>-_xll.cw_map("BR","50-&gt;4010.120.2.2AR")</f>
        <v>0</v>
      </c>
      <c r="H242" s="1574">
        <f>-_xll.cw_map("BR","60-&gt;4010.120.2.2AR")</f>
        <v>0</v>
      </c>
      <c r="I242" s="1575"/>
      <c r="J242" s="1574">
        <f>-_xll.cw_map("BR","80-&gt;4010.120.2.2AR")</f>
        <v>0</v>
      </c>
      <c r="K242" s="1574">
        <f>-_xll.cw_map("BR","90-&gt;4010.120.2.2AR")</f>
        <v>0</v>
      </c>
    </row>
    <row r="243" spans="1:11" ht="12.75" customHeight="1" x14ac:dyDescent="0.2">
      <c r="A243" s="436" t="s">
        <v>783</v>
      </c>
      <c r="B243" s="435">
        <v>4872</v>
      </c>
      <c r="C243" s="1597">
        <f>-_xll.cw_map("BR","10-&gt;4010.120.2.2AS")</f>
        <v>0</v>
      </c>
      <c r="D243" s="1574">
        <f>-_xll.cw_map("BR","20-&gt;4010.120.2.2AS")</f>
        <v>0</v>
      </c>
      <c r="E243" s="1574">
        <f>-_xll.cw_map("BR","30-&gt;4010.120.2.2AS")</f>
        <v>0</v>
      </c>
      <c r="F243" s="1574">
        <f>-_xll.cw_map("BR","40-&gt;4010.120.2.2AS")</f>
        <v>0</v>
      </c>
      <c r="G243" s="1574">
        <f>-_xll.cw_map("BR","50-&gt;4010.120.2.2AS")</f>
        <v>0</v>
      </c>
      <c r="H243" s="1574">
        <f>-_xll.cw_map("BR","60-&gt;4010.120.2.2AS")</f>
        <v>0</v>
      </c>
      <c r="I243" s="1575"/>
      <c r="J243" s="1574">
        <f>-_xll.cw_map("BR","80-&gt;4010.120.2.2AS")</f>
        <v>0</v>
      </c>
      <c r="K243" s="1574">
        <f>-_xll.cw_map("BR","90-&gt;4010.120.2.2AS")</f>
        <v>0</v>
      </c>
    </row>
    <row r="244" spans="1:11" ht="12.75" customHeight="1" x14ac:dyDescent="0.2">
      <c r="A244" s="436" t="s">
        <v>784</v>
      </c>
      <c r="B244" s="435">
        <v>4873</v>
      </c>
      <c r="C244" s="1597">
        <f>-_xll.cw_map("BR","10-&gt;4010.120.2.2AT")</f>
        <v>0</v>
      </c>
      <c r="D244" s="1574">
        <f>-_xll.cw_map("BR","20-&gt;4010.120.2.2AT")</f>
        <v>0</v>
      </c>
      <c r="E244" s="1574">
        <f>-_xll.cw_map("BR","30-&gt;4010.120.2.2AT")</f>
        <v>0</v>
      </c>
      <c r="F244" s="1574">
        <f>-_xll.cw_map("BR","40-&gt;4010.120.2.2AT")</f>
        <v>0</v>
      </c>
      <c r="G244" s="1574">
        <f>-_xll.cw_map("BR","50-&gt;4010.120.2.2AT")</f>
        <v>0</v>
      </c>
      <c r="H244" s="1574">
        <f>-_xll.cw_map("BR","60-&gt;4010.120.2.2AT")</f>
        <v>0</v>
      </c>
      <c r="I244" s="1575"/>
      <c r="J244" s="1574">
        <f>-_xll.cw_map("BR","80-&gt;4010.120.2.2AT")</f>
        <v>0</v>
      </c>
      <c r="K244" s="1574">
        <f>-_xll.cw_map("BR","90-&gt;4010.120.2.2AT")</f>
        <v>0</v>
      </c>
    </row>
    <row r="245" spans="1:11" ht="12.75" customHeight="1" x14ac:dyDescent="0.2">
      <c r="A245" s="436" t="s">
        <v>785</v>
      </c>
      <c r="B245" s="435">
        <v>4874</v>
      </c>
      <c r="C245" s="1597">
        <f>-_xll.cw_map("BR","10-&gt;4010.120.2.2AU")</f>
        <v>0</v>
      </c>
      <c r="D245" s="1574">
        <f>-_xll.cw_map("BR","20-&gt;4010.120.2.2AU")</f>
        <v>0</v>
      </c>
      <c r="E245" s="1574">
        <f>-_xll.cw_map("BR","30-&gt;4010.120.2.2AU")</f>
        <v>0</v>
      </c>
      <c r="F245" s="1574">
        <f>-_xll.cw_map("BR","40-&gt;4010.120.2.2AU")</f>
        <v>0</v>
      </c>
      <c r="G245" s="1574">
        <f>-_xll.cw_map("BR","50-&gt;4010.120.2.2AU")</f>
        <v>0</v>
      </c>
      <c r="H245" s="1574">
        <f>-_xll.cw_map("BR","60-&gt;4010.120.2.2AU")</f>
        <v>0</v>
      </c>
      <c r="I245" s="1575"/>
      <c r="J245" s="1574">
        <f>-_xll.cw_map("BR","80-&gt;4010.120.2.2AU")</f>
        <v>0</v>
      </c>
      <c r="K245" s="1574">
        <f>-_xll.cw_map("BR","90-&gt;4010.120.2.2AU")</f>
        <v>0</v>
      </c>
    </row>
    <row r="246" spans="1:11" ht="12.75" customHeight="1" x14ac:dyDescent="0.2">
      <c r="A246" s="436" t="s">
        <v>467</v>
      </c>
      <c r="B246" s="435">
        <v>4875</v>
      </c>
      <c r="C246" s="1597">
        <f>-_xll.cw_map("BR","10-&gt;4010.120.2.2AV")</f>
        <v>0</v>
      </c>
      <c r="D246" s="1574">
        <f>-_xll.cw_map("BR","20-&gt;4010.120.2.2AV")</f>
        <v>0</v>
      </c>
      <c r="E246" s="1574">
        <f>-_xll.cw_map("BR","30-&gt;4010.120.2.2AV")</f>
        <v>0</v>
      </c>
      <c r="F246" s="1574">
        <f>-_xll.cw_map("BR","40-&gt;4010.120.2.2AV")</f>
        <v>0</v>
      </c>
      <c r="G246" s="1574">
        <f>-_xll.cw_map("BR","50-&gt;4010.120.2.2AV")</f>
        <v>0</v>
      </c>
      <c r="H246" s="1574">
        <f>-_xll.cw_map("BR","60-&gt;4010.120.2.2AV")</f>
        <v>0</v>
      </c>
      <c r="I246" s="1575"/>
      <c r="J246" s="1574">
        <f>-_xll.cw_map("BR","80-&gt;4010.120.2.2AV")</f>
        <v>0</v>
      </c>
      <c r="K246" s="1574">
        <f>-_xll.cw_map("BR","90-&gt;4010.120.2.2AV")</f>
        <v>0</v>
      </c>
    </row>
    <row r="247" spans="1:11" ht="12.75" customHeight="1" x14ac:dyDescent="0.2">
      <c r="A247" s="436" t="s">
        <v>764</v>
      </c>
      <c r="B247" s="435">
        <v>4876</v>
      </c>
      <c r="C247" s="1597">
        <f>-_xll.cw_map("BR","10-&gt;4010.120.2.2AW")</f>
        <v>0</v>
      </c>
      <c r="D247" s="1574">
        <f>-_xll.cw_map("BR","20-&gt;4010.120.2.2AW")</f>
        <v>0</v>
      </c>
      <c r="E247" s="1574">
        <f>-_xll.cw_map("BR","30-&gt;4010.120.2.2AW")</f>
        <v>0</v>
      </c>
      <c r="F247" s="1574">
        <f>-_xll.cw_map("BR","40-&gt;4010.120.2.2AW")</f>
        <v>0</v>
      </c>
      <c r="G247" s="1574">
        <f>-_xll.cw_map("BR","50-&gt;4010.120.2.2AW")</f>
        <v>0</v>
      </c>
      <c r="H247" s="1574">
        <f>-_xll.cw_map("BR","60-&gt;4010.120.2.2AW")</f>
        <v>0</v>
      </c>
      <c r="I247" s="1575"/>
      <c r="J247" s="1574">
        <f>-_xll.cw_map("BR","80-&gt;4010.120.2.2AW")</f>
        <v>0</v>
      </c>
      <c r="K247" s="1574">
        <f>-_xll.cw_map("BR","90-&gt;4010.120.2.2AW")</f>
        <v>0</v>
      </c>
    </row>
    <row r="248" spans="1:11" ht="12.75" customHeight="1" x14ac:dyDescent="0.2">
      <c r="A248" s="436" t="s">
        <v>765</v>
      </c>
      <c r="B248" s="435">
        <v>4877</v>
      </c>
      <c r="C248" s="1597">
        <f>-_xll.cw_map("BR","10-&gt;4010.120.2.2AA")</f>
        <v>0</v>
      </c>
      <c r="D248" s="1574">
        <f>-_xll.cw_map("BR","20-&gt;4010.120.2.2AA")</f>
        <v>0</v>
      </c>
      <c r="E248" s="1574">
        <f>-_xll.cw_map("BR","30-&gt;4010.120.2.2AA")</f>
        <v>0</v>
      </c>
      <c r="F248" s="1574">
        <f>-_xll.cw_map("BR","40-&gt;4010.120.2.2AA")</f>
        <v>0</v>
      </c>
      <c r="G248" s="1574">
        <f>-_xll.cw_map("BR","50-&gt;4010.120.2.2AA")</f>
        <v>0</v>
      </c>
      <c r="H248" s="1574">
        <f>-_xll.cw_map("BR","60-&gt;4010.120.2.2AA")</f>
        <v>0</v>
      </c>
      <c r="I248" s="1575"/>
      <c r="J248" s="1574">
        <f>-_xll.cw_map("BR","80-&gt;4010.120.2.2AA")</f>
        <v>0</v>
      </c>
      <c r="K248" s="1574">
        <f>-_xll.cw_map("BR","90-&gt;4010.120.2.2AA")</f>
        <v>0</v>
      </c>
    </row>
    <row r="249" spans="1:11" ht="12.75" customHeight="1" x14ac:dyDescent="0.2">
      <c r="A249" s="436" t="s">
        <v>766</v>
      </c>
      <c r="B249" s="435">
        <v>4878</v>
      </c>
      <c r="C249" s="1597">
        <f>-_xll.cw_map("BR","10-&gt;4010.120.2.2AC")</f>
        <v>0</v>
      </c>
      <c r="D249" s="1574">
        <f>-_xll.cw_map("BR","20-&gt;4010.120.2.2AC")</f>
        <v>0</v>
      </c>
      <c r="E249" s="1574">
        <f>-_xll.cw_map("BR","30-&gt;4010.120.2.2AC")</f>
        <v>0</v>
      </c>
      <c r="F249" s="1574">
        <f>-_xll.cw_map("BR","40-&gt;4010.120.2.2AC")</f>
        <v>0</v>
      </c>
      <c r="G249" s="1574">
        <f>-_xll.cw_map("BR","50-&gt;4010.120.2.2AC")</f>
        <v>0</v>
      </c>
      <c r="H249" s="1574">
        <f>-_xll.cw_map("BR","60-&gt;4010.120.2.2AC")</f>
        <v>0</v>
      </c>
      <c r="I249" s="1575"/>
      <c r="J249" s="1574">
        <f>-_xll.cw_map("BR","80-&gt;4010.120.2.2AC")</f>
        <v>0</v>
      </c>
      <c r="K249" s="1574">
        <f>-_xll.cw_map("BR","90-&gt;4010.120.2.2AC")</f>
        <v>0</v>
      </c>
    </row>
    <row r="250" spans="1:11" ht="12.75" customHeight="1" x14ac:dyDescent="0.2">
      <c r="A250" s="436" t="s">
        <v>767</v>
      </c>
      <c r="B250" s="435">
        <v>4879</v>
      </c>
      <c r="C250" s="1597">
        <f>-_xll.cw_map("BR","10-&gt;4010.120.2.2AE")</f>
        <v>0</v>
      </c>
      <c r="D250" s="1574">
        <f>-_xll.cw_map("BR","20-&gt;4010.120.2.2AE")</f>
        <v>0</v>
      </c>
      <c r="E250" s="1574">
        <f>-_xll.cw_map("BR","30-&gt;4010.120.2.2AE")</f>
        <v>0</v>
      </c>
      <c r="F250" s="1574">
        <f>-_xll.cw_map("BR","40-&gt;4010.120.2.2AE")</f>
        <v>0</v>
      </c>
      <c r="G250" s="1574">
        <f>-_xll.cw_map("BR","50-&gt;4010.120.2.2AE")</f>
        <v>0</v>
      </c>
      <c r="H250" s="1574">
        <f>-_xll.cw_map("BR","60-&gt;4010.120.2.2AE")</f>
        <v>0</v>
      </c>
      <c r="I250" s="1575"/>
      <c r="J250" s="1574">
        <f>-_xll.cw_map("BR","80-&gt;4010.120.2.2AE")</f>
        <v>0</v>
      </c>
      <c r="K250" s="1574">
        <f>-_xll.cw_map("BR","90-&gt;4010.120.2.2AE")</f>
        <v>0</v>
      </c>
    </row>
    <row r="251" spans="1:11" ht="12.75" customHeight="1" x14ac:dyDescent="0.2">
      <c r="A251" s="220" t="s">
        <v>1440</v>
      </c>
      <c r="B251" s="486">
        <v>4880</v>
      </c>
      <c r="C251" s="1597">
        <f>-_xll.cw_map("BR","10-&gt;4010.120.2.2AG")</f>
        <v>0</v>
      </c>
      <c r="D251" s="1574">
        <f>-_xll.cw_map("BR","20-&gt;4010.120.2.2AG")</f>
        <v>0</v>
      </c>
      <c r="E251" s="1574">
        <f>-_xll.cw_map("BR","30-&gt;4010.120.2.2AG")</f>
        <v>0</v>
      </c>
      <c r="F251" s="1574">
        <f>-_xll.cw_map("BR","40-&gt;4010.120.2.2AG")</f>
        <v>0</v>
      </c>
      <c r="G251" s="1574">
        <f>-_xll.cw_map("BR","50-&gt;4010.120.2.2AG")</f>
        <v>0</v>
      </c>
      <c r="H251" s="1574">
        <f>-_xll.cw_map("BR","60-&gt;4010.120.2.2AG")</f>
        <v>0</v>
      </c>
      <c r="I251" s="1575"/>
      <c r="J251" s="1574">
        <f>-_xll.cw_map("BR","80-&gt;4010.120.2.2AG")</f>
        <v>0</v>
      </c>
      <c r="K251" s="1574">
        <f>-_xll.cw_map("BR","90-&gt;4010.120.2.2AG")</f>
        <v>0</v>
      </c>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1406</v>
      </c>
      <c r="B253" s="487">
        <v>4901</v>
      </c>
      <c r="C253" s="1665">
        <f>-_xll.cw_map("BR","10-&gt;4010.120.2.2BO")</f>
        <v>0</v>
      </c>
      <c r="D253" s="1576"/>
      <c r="E253" s="1575"/>
      <c r="F253" s="1575"/>
      <c r="G253" s="1575"/>
      <c r="H253" s="1575"/>
      <c r="I253" s="1575"/>
      <c r="J253" s="1575"/>
      <c r="K253" s="1575"/>
    </row>
    <row r="254" spans="1:11" ht="12.75" customHeight="1" thickTop="1" thickBot="1" x14ac:dyDescent="0.25">
      <c r="A254" s="1273" t="s">
        <v>1448</v>
      </c>
      <c r="B254" s="488">
        <v>4902</v>
      </c>
      <c r="C254" s="1666">
        <f>-_xll.cw_map("BR","10-&gt;4010.120.2.2BN")</f>
        <v>0</v>
      </c>
      <c r="D254" s="1667">
        <f>-_xll.cw_map("BR","20-&gt;4010.120.2.2BN")</f>
        <v>0</v>
      </c>
      <c r="E254" s="1576"/>
      <c r="F254" s="1667">
        <f>-_xll.cw_map("BR","40-&gt;4010.120.2.2BN")</f>
        <v>0</v>
      </c>
      <c r="G254" s="1667">
        <f>-_xll.cw_map("BR","50-&gt;4010.120.2.2BN")</f>
        <v>0</v>
      </c>
      <c r="H254" s="1576"/>
      <c r="I254" s="1575"/>
      <c r="J254" s="1576"/>
      <c r="K254" s="1576"/>
    </row>
    <row r="255" spans="1:11" ht="12.75" customHeight="1" thickTop="1" thickBot="1" x14ac:dyDescent="0.25">
      <c r="A255" s="427" t="s">
        <v>1441</v>
      </c>
      <c r="B255" s="429">
        <v>4905</v>
      </c>
      <c r="C255" s="1648">
        <f>-_xll.cw_map("BR","10-&gt;4010.120.2.2BS")</f>
        <v>0</v>
      </c>
      <c r="D255" s="1575"/>
      <c r="E255" s="1575"/>
      <c r="F255" s="1652">
        <f>-_xll.cw_map("BR","40-&gt;4010.120.2.2BS")</f>
        <v>0</v>
      </c>
      <c r="G255" s="1648">
        <f>-_xll.cw_map("BR","50-&gt;4010.120.2.2BS")</f>
        <v>0</v>
      </c>
      <c r="H255" s="1575"/>
      <c r="I255" s="1575"/>
      <c r="J255" s="1575"/>
      <c r="K255" s="1575"/>
    </row>
    <row r="256" spans="1:11" ht="12.75" customHeight="1" thickTop="1" thickBot="1" x14ac:dyDescent="0.25">
      <c r="A256" s="427" t="s">
        <v>1442</v>
      </c>
      <c r="B256" s="429">
        <v>4909</v>
      </c>
      <c r="C256" s="1650">
        <f>-_xll.cw_map("BR","10-&gt;4010.120.2.2BT")</f>
        <v>19226</v>
      </c>
      <c r="D256" s="1575"/>
      <c r="E256" s="1575"/>
      <c r="F256" s="1650">
        <f>-_xll.cw_map("BR","40-&gt;4010.120.2.2BT")</f>
        <v>0</v>
      </c>
      <c r="G256" s="1650">
        <f>-_xll.cw_map("BR","50-&gt;4010.120.2.2BT")</f>
        <v>0</v>
      </c>
      <c r="H256" s="1575"/>
      <c r="I256" s="1575"/>
      <c r="J256" s="1575"/>
      <c r="K256" s="1575"/>
    </row>
    <row r="257" spans="1:11" ht="12.75" customHeight="1" thickTop="1" thickBot="1" x14ac:dyDescent="0.25">
      <c r="A257" s="427" t="s">
        <v>191</v>
      </c>
      <c r="B257" s="429">
        <v>4920</v>
      </c>
      <c r="C257" s="1650">
        <f>-_xll.cw_map("BR","10-&gt;4010.120.2.2BH")</f>
        <v>0</v>
      </c>
      <c r="D257" s="1652">
        <f>-_xll.cw_map("BR","20-&gt;4010.120.2.2BH")</f>
        <v>0</v>
      </c>
      <c r="E257" s="1575"/>
      <c r="F257" s="1648">
        <f>-_xll.cw_map("BR","40-&gt;4010.120.2.2BH")</f>
        <v>0</v>
      </c>
      <c r="G257" s="1648">
        <f>-_xll.cw_map("BR","50-&gt;4010.120.2.2BH")</f>
        <v>0</v>
      </c>
      <c r="H257" s="1575"/>
      <c r="I257" s="1575"/>
      <c r="J257" s="1575"/>
      <c r="K257" s="1575"/>
    </row>
    <row r="258" spans="1:11" ht="12.75" customHeight="1" thickTop="1" thickBot="1" x14ac:dyDescent="0.25">
      <c r="A258" s="427" t="s">
        <v>417</v>
      </c>
      <c r="B258" s="429">
        <v>4930</v>
      </c>
      <c r="C258" s="1650">
        <f>-_xll.cw_map("BR","10-&gt;4010.120.2.2BQ")</f>
        <v>0</v>
      </c>
      <c r="D258" s="1650">
        <f>-_xll.cw_map("BR","20-&gt;4010.120.2.2BQ")</f>
        <v>0</v>
      </c>
      <c r="E258" s="1575"/>
      <c r="F258" s="1650">
        <f>-_xll.cw_map("BR","40-&gt;4010.120.2.2BQ")</f>
        <v>0</v>
      </c>
      <c r="G258" s="1650">
        <f>-_xll.cw_map("BR","50-&gt;4010.120.2.2BQ")</f>
        <v>0</v>
      </c>
      <c r="H258" s="1575"/>
      <c r="I258" s="1575"/>
      <c r="J258" s="1575"/>
      <c r="K258" s="1575"/>
    </row>
    <row r="259" spans="1:11" ht="12.75" customHeight="1" thickTop="1" thickBot="1" x14ac:dyDescent="0.25">
      <c r="A259" s="427" t="s">
        <v>752</v>
      </c>
      <c r="B259" s="429">
        <v>4932</v>
      </c>
      <c r="C259" s="1650">
        <f>-_xll.cw_map("BR","10-&gt;4010.120.2.2BR")</f>
        <v>66232</v>
      </c>
      <c r="D259" s="1650">
        <f>-_xll.cw_map("BR","20-&gt;4010.120.2.2BR")</f>
        <v>0</v>
      </c>
      <c r="E259" s="1575"/>
      <c r="F259" s="1650">
        <f>-_xll.cw_map("BR","40-&gt;4010.120.2.2BR")</f>
        <v>0</v>
      </c>
      <c r="G259" s="1650">
        <f>-_xll.cw_map("BR","50-&gt;4010.120.2.2BR")</f>
        <v>0</v>
      </c>
      <c r="H259" s="1575"/>
      <c r="I259" s="1575"/>
      <c r="J259" s="1575"/>
      <c r="K259" s="1575"/>
    </row>
    <row r="260" spans="1:11" ht="12.75" customHeight="1" thickTop="1" thickBot="1" x14ac:dyDescent="0.25">
      <c r="A260" s="427" t="s">
        <v>883</v>
      </c>
      <c r="B260" s="429">
        <v>4960</v>
      </c>
      <c r="C260" s="1649">
        <f>-_xll.cw_map("BR","10-&gt;4010.120.2.2BD")</f>
        <v>0</v>
      </c>
      <c r="D260" s="1650">
        <f>-_xll.cw_map("BR","20-&gt;4010.120.2.2BD")</f>
        <v>0</v>
      </c>
      <c r="E260" s="1575"/>
      <c r="F260" s="1650">
        <f>-_xll.cw_map("BR","40-&gt;4010.120.2.2BD")</f>
        <v>0</v>
      </c>
      <c r="G260" s="1650">
        <f>-_xll.cw_map("BR","50-&gt;4010.120.2.2BD")</f>
        <v>0</v>
      </c>
      <c r="H260" s="1575"/>
      <c r="I260" s="1575"/>
      <c r="J260" s="1575"/>
      <c r="K260" s="1575"/>
    </row>
    <row r="261" spans="1:11" ht="12.75" customHeight="1" thickTop="1" thickBot="1" x14ac:dyDescent="0.25">
      <c r="A261" s="1539" t="s">
        <v>1895</v>
      </c>
      <c r="B261" s="429">
        <v>4981</v>
      </c>
      <c r="C261" s="1649">
        <f>-_xll.cw_map("BR","10-&gt;4010.120.2.2BP")</f>
        <v>0</v>
      </c>
      <c r="D261" s="1650">
        <f>-_xll.cw_map("BR","20-&gt;4010.120.2.2BP")</f>
        <v>0</v>
      </c>
      <c r="E261" s="1575"/>
      <c r="F261" s="1650">
        <f>-_xll.cw_map("BR","40-&gt;4010.120.2.2BP")</f>
        <v>0</v>
      </c>
      <c r="G261" s="1650">
        <f>-_xll.cw_map("BR","50-&gt;4010.120.2.2BP")</f>
        <v>0</v>
      </c>
      <c r="H261" s="1575"/>
      <c r="I261" s="1575"/>
      <c r="J261" s="1575"/>
      <c r="K261" s="1575"/>
    </row>
    <row r="262" spans="1:11" ht="12.75" customHeight="1" thickTop="1" thickBot="1" x14ac:dyDescent="0.25">
      <c r="A262" s="1540" t="s">
        <v>1896</v>
      </c>
      <c r="B262" s="429">
        <v>4982</v>
      </c>
      <c r="C262" s="1649">
        <f>-_xll.cw_map("BR","10-&gt;4010.120.2.2BE")</f>
        <v>0</v>
      </c>
      <c r="D262" s="1650">
        <f>-_xll.cw_map("BR","20-&gt;4010.120.2.2BE")</f>
        <v>0</v>
      </c>
      <c r="E262" s="1575"/>
      <c r="F262" s="1650">
        <f>-_xll.cw_map("BR","40-&gt;4010.120.2.2BE")</f>
        <v>0</v>
      </c>
      <c r="G262" s="1650">
        <f>-_xll.cw_map("BR","50-&gt;4010.120.2.2BE")</f>
        <v>0</v>
      </c>
      <c r="H262" s="1575"/>
      <c r="I262" s="1575"/>
      <c r="J262" s="1575"/>
      <c r="K262" s="1575"/>
    </row>
    <row r="263" spans="1:11" ht="12.75" customHeight="1" thickTop="1" thickBot="1" x14ac:dyDescent="0.25">
      <c r="A263" s="427" t="s">
        <v>563</v>
      </c>
      <c r="B263" s="429">
        <v>4991</v>
      </c>
      <c r="C263" s="1649">
        <f>-_xll.cw_map("BR","10-&gt;4010.120.2.2BI")</f>
        <v>29214</v>
      </c>
      <c r="D263" s="1650">
        <f>-_xll.cw_map("BR","20-&gt;4010.120.2.2BI")</f>
        <v>0</v>
      </c>
      <c r="E263" s="1575"/>
      <c r="F263" s="1650">
        <f>-_xll.cw_map("BR","40-&gt;4010.120.2.2BI")</f>
        <v>0</v>
      </c>
      <c r="G263" s="1650">
        <f>-_xll.cw_map("BR","50-&gt;4010.120.2.2BI")</f>
        <v>0</v>
      </c>
      <c r="H263" s="1575"/>
      <c r="I263" s="1575"/>
      <c r="J263" s="1575"/>
      <c r="K263" s="1575"/>
    </row>
    <row r="264" spans="1:11" ht="12.75" customHeight="1" thickTop="1" thickBot="1" x14ac:dyDescent="0.25">
      <c r="A264" s="427" t="s">
        <v>373</v>
      </c>
      <c r="B264" s="429">
        <v>4992</v>
      </c>
      <c r="C264" s="1649">
        <f>-_xll.cw_map("BR","10-&gt;4010.120.2.2BJ")</f>
        <v>26722</v>
      </c>
      <c r="D264" s="1650">
        <f>-_xll.cw_map("BR","20-&gt;4010.120.2.2BJ")</f>
        <v>0</v>
      </c>
      <c r="E264" s="1575"/>
      <c r="F264" s="1650">
        <f>-_xll.cw_map("BR","40-&gt;4010.120.2.2BJ")</f>
        <v>0</v>
      </c>
      <c r="G264" s="1650">
        <f>-_xll.cw_map("BR","50-&gt;4010.120.2.2BJ")</f>
        <v>0</v>
      </c>
      <c r="H264" s="1575"/>
      <c r="I264" s="1575"/>
      <c r="J264" s="1575"/>
      <c r="K264" s="1575"/>
    </row>
    <row r="265" spans="1:11" s="489" customFormat="1" ht="12.75" customHeight="1" thickTop="1" thickBot="1" x14ac:dyDescent="0.25">
      <c r="A265" s="479" t="s">
        <v>75</v>
      </c>
      <c r="B265" s="475">
        <v>4998</v>
      </c>
      <c r="C265" s="1649">
        <f>-_xll.cw_map("BR","10-&gt;4010.120.2.2BK")</f>
        <v>0</v>
      </c>
      <c r="D265" s="1650">
        <f>-_xll.cw_map("BR","20-&gt;4010.120.2.2BK")</f>
        <v>0</v>
      </c>
      <c r="E265" s="1575"/>
      <c r="F265" s="1650">
        <f>-_xll.cw_map("BR","40-&gt;4010.120.2.2BK")</f>
        <v>0</v>
      </c>
      <c r="G265" s="1650">
        <f>-_xll.cw_map("BR","50-&gt;4010.120.2.2BK")</f>
        <v>0</v>
      </c>
      <c r="H265" s="1625">
        <f>-_xll.cw_map("BR","60-&gt;4010.120.2.2BK")</f>
        <v>0</v>
      </c>
      <c r="I265" s="1575"/>
      <c r="J265" s="1575"/>
      <c r="K265" s="1625">
        <f>-_xll.cw_map("BR","90-&gt;4010.120.2.2BK")</f>
        <v>0</v>
      </c>
    </row>
    <row r="266" spans="1:11" ht="14.25" thickTop="1" thickBot="1" x14ac:dyDescent="0.25">
      <c r="A266" s="1406" t="s">
        <v>1649</v>
      </c>
      <c r="B266" s="1419"/>
      <c r="C266" s="1640">
        <f t="shared" ref="C266:H266" si="10">SUM(C188,C198,C204,C209,C217,C221,C222,C252:C265)</f>
        <v>1059868</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1078</v>
      </c>
      <c r="B267" s="1421" t="s">
        <v>854</v>
      </c>
      <c r="C267" s="1640">
        <f>SUM(C175,C181,C266)</f>
        <v>1059868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18122546</v>
      </c>
      <c r="D268" s="1640">
        <f t="shared" si="12"/>
        <v>1743726</v>
      </c>
      <c r="E268" s="1640">
        <f t="shared" si="12"/>
        <v>2950885</v>
      </c>
      <c r="F268" s="1640">
        <f t="shared" si="12"/>
        <v>859064</v>
      </c>
      <c r="G268" s="1640">
        <f t="shared" si="12"/>
        <v>332429</v>
      </c>
      <c r="H268" s="1640">
        <f t="shared" si="12"/>
        <v>242655</v>
      </c>
      <c r="I268" s="1640">
        <f t="shared" si="12"/>
        <v>110135</v>
      </c>
      <c r="J268" s="1640">
        <f t="shared" si="12"/>
        <v>0</v>
      </c>
      <c r="K268" s="1628">
        <f t="shared" si="12"/>
        <v>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88" activePane="bottomLeft" state="frozen"/>
      <selection pane="bottomLeft" activeCell="H205" sqref="H20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63"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97"/>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03" t="s">
        <v>293</v>
      </c>
      <c r="B3" s="2304"/>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3">
        <f>_xll.cw_map("BR","10-&gt;5101.100")</f>
        <v>6726965</v>
      </c>
      <c r="D5" s="1573">
        <f>_xll.cw_map("BR","10-&gt;5101.200")</f>
        <v>1093765</v>
      </c>
      <c r="E5" s="1573">
        <f>_xll.cw_map("BR","10-&gt;5101.300")</f>
        <v>67746</v>
      </c>
      <c r="F5" s="1573">
        <f>_xll.cw_map("BR","10-&gt;5101.400")</f>
        <v>367396</v>
      </c>
      <c r="G5" s="1573">
        <f>_xll.cw_map("BR","10-&gt;5101.500")</f>
        <v>1120822</v>
      </c>
      <c r="H5" s="1573">
        <f>_xll.cw_map("BR","10-&gt;5101.600")</f>
        <v>1767</v>
      </c>
      <c r="I5" s="1574">
        <f>_xll.cw_map("BR","10-&gt;5101.700")</f>
        <v>0</v>
      </c>
      <c r="J5" s="1574">
        <f>_xll.cw_map("BR","10-&gt;5101.800")</f>
        <v>0</v>
      </c>
      <c r="K5" s="1671">
        <f>SUM(C5:J5)</f>
        <v>9378461</v>
      </c>
      <c r="L5" s="1573">
        <f>_xll.cw_map("BBR","10-&gt;5101")</f>
        <v>9605390</v>
      </c>
    </row>
    <row r="6" spans="1:14" x14ac:dyDescent="0.2">
      <c r="A6" s="1274" t="s">
        <v>1418</v>
      </c>
      <c r="B6" s="503" t="s">
        <v>1416</v>
      </c>
      <c r="C6" s="1582"/>
      <c r="D6" s="1582"/>
      <c r="E6" s="1573">
        <f>_xll.cw_map("BR","10-&gt;5115.300")</f>
        <v>0</v>
      </c>
      <c r="F6" s="1582"/>
      <c r="G6" s="1582"/>
      <c r="H6" s="1582"/>
      <c r="I6" s="1582"/>
      <c r="J6" s="1582"/>
      <c r="K6" s="1671">
        <f>SUM(C6,E6)</f>
        <v>0</v>
      </c>
      <c r="L6" s="1573">
        <f>_xll.cw_map("BBR","10-&gt;5115")</f>
        <v>0</v>
      </c>
    </row>
    <row r="7" spans="1:14" x14ac:dyDescent="0.2">
      <c r="A7" s="1274" t="s">
        <v>162</v>
      </c>
      <c r="B7" s="503" t="s">
        <v>960</v>
      </c>
      <c r="C7" s="1574">
        <f>_xll.cw_map("BR","10-&gt;5116.100")</f>
        <v>0</v>
      </c>
      <c r="D7" s="1574">
        <f>_xll.cw_map("BR","10-&gt;5116.200")</f>
        <v>0</v>
      </c>
      <c r="E7" s="1574">
        <f>_xll.cw_map("BR","10-&gt;5116.300")</f>
        <v>0</v>
      </c>
      <c r="F7" s="1574">
        <f>_xll.cw_map("BR","10-&gt;5116.400")</f>
        <v>0</v>
      </c>
      <c r="G7" s="1574">
        <f>_xll.cw_map("BR","10-&gt;5116.500")</f>
        <v>0</v>
      </c>
      <c r="H7" s="1574">
        <f>_xll.cw_map("BR","10-&gt;5116.600")</f>
        <v>0</v>
      </c>
      <c r="I7" s="1574">
        <f>_xll.cw_map("BR","10-&gt;5116.700")</f>
        <v>0</v>
      </c>
      <c r="J7" s="1574">
        <f>_xll.cw_map("BR","10-&gt;5116.800")</f>
        <v>0</v>
      </c>
      <c r="K7" s="1671">
        <f t="shared" ref="K7:K32" si="0">SUM(C7:J7)</f>
        <v>0</v>
      </c>
      <c r="L7" s="1573">
        <f>_xll.cw_map("BBR","10-&gt;5116")</f>
        <v>0</v>
      </c>
    </row>
    <row r="8" spans="1:14" x14ac:dyDescent="0.2">
      <c r="A8" s="1274" t="s">
        <v>163</v>
      </c>
      <c r="B8" s="503">
        <v>1200</v>
      </c>
      <c r="C8" s="1573">
        <f>_xll.cw_map("BR","10-&gt;5102.100")</f>
        <v>1307046</v>
      </c>
      <c r="D8" s="1573">
        <f>_xll.cw_map("BR","10-&gt;5102.200")</f>
        <v>176195</v>
      </c>
      <c r="E8" s="1573">
        <f>_xll.cw_map("BR","10-&gt;5102.300")</f>
        <v>760</v>
      </c>
      <c r="F8" s="1573">
        <f>_xll.cw_map("BR","10-&gt;5102.400")</f>
        <v>24256</v>
      </c>
      <c r="G8" s="1573">
        <f>_xll.cw_map("BR","10-&gt;5102.500")</f>
        <v>0</v>
      </c>
      <c r="H8" s="1573">
        <f>_xll.cw_map("BR","10-&gt;5102.600")</f>
        <v>0</v>
      </c>
      <c r="I8" s="1574">
        <f>_xll.cw_map("BR","10-&gt;5102.700")</f>
        <v>0</v>
      </c>
      <c r="J8" s="1574">
        <f>_xll.cw_map("BR","10-&gt;5102.800")</f>
        <v>0</v>
      </c>
      <c r="K8" s="1671">
        <f t="shared" si="0"/>
        <v>1508257</v>
      </c>
      <c r="L8" s="1573">
        <f>_xll.cw_map("BBR","10-&gt;5102")</f>
        <v>1639896</v>
      </c>
    </row>
    <row r="9" spans="1:14" x14ac:dyDescent="0.2">
      <c r="A9" s="1274" t="s">
        <v>715</v>
      </c>
      <c r="B9" s="503" t="s">
        <v>961</v>
      </c>
      <c r="C9" s="1574">
        <f>_xll.cw_map("BR","10-&gt;5103.100")</f>
        <v>250520</v>
      </c>
      <c r="D9" s="1574">
        <f>_xll.cw_map("BR","10-&gt;5103.200")</f>
        <v>47355</v>
      </c>
      <c r="E9" s="1574">
        <f>_xll.cw_map("BR","10-&gt;5103.300")</f>
        <v>0</v>
      </c>
      <c r="F9" s="1574">
        <f>_xll.cw_map("BR","10-&gt;5103.400")</f>
        <v>2278</v>
      </c>
      <c r="G9" s="1574">
        <f>_xll.cw_map("BR","10-&gt;5103.500")</f>
        <v>0</v>
      </c>
      <c r="H9" s="1574">
        <f>_xll.cw_map("BR","10-&gt;5103.600")</f>
        <v>0</v>
      </c>
      <c r="I9" s="1574">
        <f>_xll.cw_map("BR","10-&gt;5103.700")</f>
        <v>0</v>
      </c>
      <c r="J9" s="1574">
        <f>_xll.cw_map("BR","10-&gt;5103.800")</f>
        <v>0</v>
      </c>
      <c r="K9" s="1671">
        <f t="shared" si="0"/>
        <v>300153</v>
      </c>
      <c r="L9" s="1573">
        <f>_xll.cw_map("BBR","10-&gt;5103")</f>
        <v>342329</v>
      </c>
    </row>
    <row r="10" spans="1:14" x14ac:dyDescent="0.2">
      <c r="A10" s="1274" t="s">
        <v>716</v>
      </c>
      <c r="B10" s="503">
        <v>1250</v>
      </c>
      <c r="C10" s="1573">
        <f>_xll.cw_map("BR","10-&gt;5104.100")</f>
        <v>175642</v>
      </c>
      <c r="D10" s="1573">
        <f>_xll.cw_map("BR","10-&gt;5104.200")</f>
        <v>38972</v>
      </c>
      <c r="E10" s="1573">
        <f>_xll.cw_map("BR","10-&gt;5104.300")</f>
        <v>0</v>
      </c>
      <c r="F10" s="1573">
        <f>_xll.cw_map("BR","10-&gt;5104.400")</f>
        <v>0</v>
      </c>
      <c r="G10" s="1573">
        <f>_xll.cw_map("BR","10-&gt;5104.500")</f>
        <v>0</v>
      </c>
      <c r="H10" s="1573">
        <f>_xll.cw_map("BR","10-&gt;5104.600")</f>
        <v>0</v>
      </c>
      <c r="I10" s="1574">
        <f>_xll.cw_map("BR","10-&gt;5104.700")</f>
        <v>0</v>
      </c>
      <c r="J10" s="1574">
        <f>_xll.cw_map("BR","10-&gt;5104.800")</f>
        <v>0</v>
      </c>
      <c r="K10" s="1671">
        <f t="shared" si="0"/>
        <v>214614</v>
      </c>
      <c r="L10" s="1573">
        <f>_xll.cw_map("BBR","10-&gt;5104")</f>
        <v>251223</v>
      </c>
    </row>
    <row r="11" spans="1:14" x14ac:dyDescent="0.2">
      <c r="A11" s="1274" t="s">
        <v>1121</v>
      </c>
      <c r="B11" s="503" t="s">
        <v>160</v>
      </c>
      <c r="C11" s="1574">
        <f>_xll.cw_map("BR","10-&gt;5105.100")</f>
        <v>0</v>
      </c>
      <c r="D11" s="1574">
        <f>_xll.cw_map("BR","10-&gt;5105.200")</f>
        <v>0</v>
      </c>
      <c r="E11" s="1574">
        <f>_xll.cw_map("BR","10-&gt;5105.300")</f>
        <v>0</v>
      </c>
      <c r="F11" s="1574">
        <f>_xll.cw_map("BR","10-&gt;5105.400")</f>
        <v>0</v>
      </c>
      <c r="G11" s="1574">
        <f>_xll.cw_map("BR","10-&gt;5105.500")</f>
        <v>0</v>
      </c>
      <c r="H11" s="1574">
        <f>_xll.cw_map("BR","10-&gt;5105.600")</f>
        <v>0</v>
      </c>
      <c r="I11" s="1574">
        <f>_xll.cw_map("BR","10-&gt;5105.700")</f>
        <v>0</v>
      </c>
      <c r="J11" s="1574">
        <f>_xll.cw_map("BR","10-&gt;5105.800")</f>
        <v>0</v>
      </c>
      <c r="K11" s="1671">
        <f t="shared" si="0"/>
        <v>0</v>
      </c>
      <c r="L11" s="1573">
        <f>_xll.cw_map("BBR","10-&gt;5105")</f>
        <v>0</v>
      </c>
    </row>
    <row r="12" spans="1:14" x14ac:dyDescent="0.2">
      <c r="A12" s="1274" t="s">
        <v>955</v>
      </c>
      <c r="B12" s="503">
        <v>1300</v>
      </c>
      <c r="C12" s="1573">
        <f>_xll.cw_map("BR","10-&gt;5106.100")</f>
        <v>0</v>
      </c>
      <c r="D12" s="1573">
        <f>_xll.cw_map("BR","10-&gt;5106.200")</f>
        <v>0</v>
      </c>
      <c r="E12" s="1573">
        <f>_xll.cw_map("BR","10-&gt;5106.300")</f>
        <v>0</v>
      </c>
      <c r="F12" s="1573">
        <f>_xll.cw_map("BR","10-&gt;5106.400")</f>
        <v>0</v>
      </c>
      <c r="G12" s="1573">
        <f>_xll.cw_map("BR","10-&gt;5106.500")</f>
        <v>0</v>
      </c>
      <c r="H12" s="1573">
        <f>_xll.cw_map("BR","10-&gt;5106.600")</f>
        <v>0</v>
      </c>
      <c r="I12" s="1574">
        <f>_xll.cw_map("BR","10-&gt;5106.700")</f>
        <v>0</v>
      </c>
      <c r="J12" s="1574">
        <f>_xll.cw_map("BR","10-&gt;5106.800")</f>
        <v>0</v>
      </c>
      <c r="K12" s="1671">
        <f t="shared" si="0"/>
        <v>0</v>
      </c>
      <c r="L12" s="1573">
        <f>_xll.cw_map("BBR","10-&gt;5106")</f>
        <v>0</v>
      </c>
    </row>
    <row r="13" spans="1:14" x14ac:dyDescent="0.2">
      <c r="A13" s="1274" t="s">
        <v>717</v>
      </c>
      <c r="B13" s="503">
        <v>1400</v>
      </c>
      <c r="C13" s="1573">
        <f>_xll.cw_map("BR","10-&gt;5107.100")</f>
        <v>0</v>
      </c>
      <c r="D13" s="1573">
        <f>_xll.cw_map("BR","10-&gt;5107.200")</f>
        <v>0</v>
      </c>
      <c r="E13" s="1573">
        <f>_xll.cw_map("BR","10-&gt;5107.300")</f>
        <v>0</v>
      </c>
      <c r="F13" s="1573">
        <f>_xll.cw_map("BR","10-&gt;5107.400")</f>
        <v>0</v>
      </c>
      <c r="G13" s="1573">
        <f>_xll.cw_map("BR","10-&gt;5107.500")</f>
        <v>0</v>
      </c>
      <c r="H13" s="1573">
        <f>_xll.cw_map("BR","10-&gt;5107.600")</f>
        <v>0</v>
      </c>
      <c r="I13" s="1574">
        <f>_xll.cw_map("BR","10-&gt;5107.700")</f>
        <v>0</v>
      </c>
      <c r="J13" s="1574">
        <f>_xll.cw_map("BR","10-&gt;5107.800")</f>
        <v>0</v>
      </c>
      <c r="K13" s="1671">
        <f t="shared" si="0"/>
        <v>0</v>
      </c>
      <c r="L13" s="1573">
        <f>_xll.cw_map("BBR","10-&gt;5107")</f>
        <v>0</v>
      </c>
    </row>
    <row r="14" spans="1:14" x14ac:dyDescent="0.2">
      <c r="A14" s="1274" t="s">
        <v>956</v>
      </c>
      <c r="B14" s="503">
        <v>1500</v>
      </c>
      <c r="C14" s="1573">
        <f>_xll.cw_map("BR","10-&gt;5108.100")</f>
        <v>106485</v>
      </c>
      <c r="D14" s="1573">
        <f>_xll.cw_map("BR","10-&gt;5108.200")</f>
        <v>2717</v>
      </c>
      <c r="E14" s="1573">
        <f>_xll.cw_map("BR","10-&gt;5108.300")</f>
        <v>14090</v>
      </c>
      <c r="F14" s="1573">
        <f>_xll.cw_map("BR","10-&gt;5108.400")</f>
        <v>26476</v>
      </c>
      <c r="G14" s="1573">
        <f>_xll.cw_map("BR","10-&gt;5108.500")</f>
        <v>0</v>
      </c>
      <c r="H14" s="1573">
        <f>_xll.cw_map("BR","10-&gt;5108.600")</f>
        <v>0</v>
      </c>
      <c r="I14" s="1574">
        <f>_xll.cw_map("BR","10-&gt;5108.700")</f>
        <v>0</v>
      </c>
      <c r="J14" s="1574">
        <f>_xll.cw_map("BR","10-&gt;5108.800")</f>
        <v>0</v>
      </c>
      <c r="K14" s="1671">
        <f t="shared" si="0"/>
        <v>149768</v>
      </c>
      <c r="L14" s="1573">
        <f>_xll.cw_map("BBR","10-&gt;5108")</f>
        <v>170012</v>
      </c>
    </row>
    <row r="15" spans="1:14" x14ac:dyDescent="0.2">
      <c r="A15" s="1274" t="s">
        <v>957</v>
      </c>
      <c r="B15" s="503">
        <v>1600</v>
      </c>
      <c r="C15" s="1573">
        <f>_xll.cw_map("BR","10-&gt;5109.100")</f>
        <v>8439</v>
      </c>
      <c r="D15" s="1573">
        <f>_xll.cw_map("BR","10-&gt;5109.200")</f>
        <v>212</v>
      </c>
      <c r="E15" s="1573">
        <f>_xll.cw_map("BR","10-&gt;5109.300")</f>
        <v>0</v>
      </c>
      <c r="F15" s="1573">
        <f>_xll.cw_map("BR","10-&gt;5109.400")</f>
        <v>913</v>
      </c>
      <c r="G15" s="1573">
        <f>_xll.cw_map("BR","10-&gt;5109.500")</f>
        <v>0</v>
      </c>
      <c r="H15" s="1573">
        <f>_xll.cw_map("BR","10-&gt;5109.600")</f>
        <v>0</v>
      </c>
      <c r="I15" s="1574">
        <f>_xll.cw_map("BR","10-&gt;5109.700")</f>
        <v>0</v>
      </c>
      <c r="J15" s="1574">
        <f>_xll.cw_map("BR","10-&gt;5109.800")</f>
        <v>0</v>
      </c>
      <c r="K15" s="1671">
        <f t="shared" si="0"/>
        <v>9564</v>
      </c>
      <c r="L15" s="1573">
        <f>_xll.cw_map("BBR","10-&gt;5109")</f>
        <v>8500</v>
      </c>
    </row>
    <row r="16" spans="1:14" x14ac:dyDescent="0.2">
      <c r="A16" s="1274" t="s">
        <v>979</v>
      </c>
      <c r="B16" s="503" t="s">
        <v>420</v>
      </c>
      <c r="C16" s="1573">
        <f>_xll.cw_map("BR","10-&gt;5110.100")</f>
        <v>5089</v>
      </c>
      <c r="D16" s="1573">
        <f>_xll.cw_map("BR","10-&gt;5110.200")</f>
        <v>173</v>
      </c>
      <c r="E16" s="1573">
        <f>_xll.cw_map("BR","10-&gt;5110.300")</f>
        <v>0</v>
      </c>
      <c r="F16" s="1573">
        <f>_xll.cw_map("BR","10-&gt;5110.400")</f>
        <v>0</v>
      </c>
      <c r="G16" s="1573">
        <f>_xll.cw_map("BR","10-&gt;5110.500")</f>
        <v>0</v>
      </c>
      <c r="H16" s="1573">
        <f>_xll.cw_map("BR","10-&gt;5110.600")</f>
        <v>0</v>
      </c>
      <c r="I16" s="1574">
        <f>_xll.cw_map("BR","10-&gt;5110.700")</f>
        <v>0</v>
      </c>
      <c r="J16" s="1574">
        <f>_xll.cw_map("BR","10-&gt;5110.800")</f>
        <v>0</v>
      </c>
      <c r="K16" s="1671">
        <f t="shared" si="0"/>
        <v>5262</v>
      </c>
      <c r="L16" s="1573">
        <f>_xll.cw_map("BBR","10-&gt;5110")</f>
        <v>30544</v>
      </c>
    </row>
    <row r="17" spans="1:12" x14ac:dyDescent="0.2">
      <c r="A17" s="1274" t="s">
        <v>718</v>
      </c>
      <c r="B17" s="503" t="s">
        <v>161</v>
      </c>
      <c r="C17" s="1574">
        <f>_xll.cw_map("BR","10-&gt;5111.100")</f>
        <v>0</v>
      </c>
      <c r="D17" s="1574">
        <f>_xll.cw_map("BR","10-&gt;5111.200")</f>
        <v>0</v>
      </c>
      <c r="E17" s="1574">
        <f>_xll.cw_map("BR","10-&gt;5111.300")</f>
        <v>0</v>
      </c>
      <c r="F17" s="1574">
        <f>_xll.cw_map("BR","10-&gt;5111.400")</f>
        <v>0</v>
      </c>
      <c r="G17" s="1574">
        <f>_xll.cw_map("BR","10-&gt;5111.500")</f>
        <v>0</v>
      </c>
      <c r="H17" s="1574">
        <f>_xll.cw_map("BR","10-&gt;5111.600")</f>
        <v>0</v>
      </c>
      <c r="I17" s="1574">
        <f>_xll.cw_map("BR","10-&gt;5111.700")</f>
        <v>0</v>
      </c>
      <c r="J17" s="1574">
        <f>_xll.cw_map("BR","10-&gt;5111.800")</f>
        <v>0</v>
      </c>
      <c r="K17" s="1671">
        <f t="shared" si="0"/>
        <v>0</v>
      </c>
      <c r="L17" s="1573">
        <f>_xll.cw_map("BBR","10-&gt;5111")</f>
        <v>0</v>
      </c>
    </row>
    <row r="18" spans="1:12" x14ac:dyDescent="0.2">
      <c r="A18" s="1274" t="s">
        <v>1079</v>
      </c>
      <c r="B18" s="503">
        <v>1800</v>
      </c>
      <c r="C18" s="1573">
        <f>_xll.cw_map("BR","10-&gt;5112.100")</f>
        <v>743888</v>
      </c>
      <c r="D18" s="1573">
        <f>_xll.cw_map("BR","10-&gt;5112.200")</f>
        <v>125589</v>
      </c>
      <c r="E18" s="1573">
        <f>_xll.cw_map("BR","10-&gt;5112.300")</f>
        <v>0</v>
      </c>
      <c r="F18" s="1573">
        <f>_xll.cw_map("BR","10-&gt;5112.400")</f>
        <v>4834</v>
      </c>
      <c r="G18" s="1573">
        <f>_xll.cw_map("BR","10-&gt;5112.500")</f>
        <v>0</v>
      </c>
      <c r="H18" s="1573">
        <f>_xll.cw_map("BR","10-&gt;5112.600")</f>
        <v>0</v>
      </c>
      <c r="I18" s="1574">
        <f>_xll.cw_map("BR","10-&gt;5112.700")</f>
        <v>0</v>
      </c>
      <c r="J18" s="1574">
        <f>_xll.cw_map("BR","10-&gt;5112.800")</f>
        <v>0</v>
      </c>
      <c r="K18" s="1671">
        <f t="shared" si="0"/>
        <v>874311</v>
      </c>
      <c r="L18" s="1573">
        <f>_xll.cw_map("BBR","10-&gt;5112")</f>
        <v>896283</v>
      </c>
    </row>
    <row r="19" spans="1:12" x14ac:dyDescent="0.2">
      <c r="A19" s="1274" t="s">
        <v>133</v>
      </c>
      <c r="B19" s="503">
        <v>1900</v>
      </c>
      <c r="C19" s="1573">
        <f>_xll.cw_map("BR","10-&gt;5113.100")</f>
        <v>0</v>
      </c>
      <c r="D19" s="1573">
        <f>_xll.cw_map("BR","10-&gt;5113.200")</f>
        <v>0</v>
      </c>
      <c r="E19" s="1573">
        <f>_xll.cw_map("BR","10-&gt;5113.300")</f>
        <v>0</v>
      </c>
      <c r="F19" s="1573">
        <f>_xll.cw_map("BR","10-&gt;5113.400")</f>
        <v>0</v>
      </c>
      <c r="G19" s="1573">
        <f>_xll.cw_map("BR","10-&gt;5113.500")</f>
        <v>0</v>
      </c>
      <c r="H19" s="1573">
        <f>_xll.cw_map("BR","10-&gt;5113.600")</f>
        <v>0</v>
      </c>
      <c r="I19" s="1574">
        <f>_xll.cw_map("BR","10-&gt;5113.700")</f>
        <v>0</v>
      </c>
      <c r="J19" s="1574">
        <f>_xll.cw_map("BR","10-&gt;5113.800")</f>
        <v>0</v>
      </c>
      <c r="K19" s="1671">
        <f t="shared" si="0"/>
        <v>0</v>
      </c>
      <c r="L19" s="1573">
        <f>_xll.cw_map("BBR","10-&gt;5113")</f>
        <v>0</v>
      </c>
    </row>
    <row r="20" spans="1:12" x14ac:dyDescent="0.2">
      <c r="A20" s="1275" t="s">
        <v>732</v>
      </c>
      <c r="B20" s="494" t="s">
        <v>719</v>
      </c>
      <c r="C20" s="1582"/>
      <c r="D20" s="1582"/>
      <c r="E20" s="1582"/>
      <c r="F20" s="1582"/>
      <c r="G20" s="1582"/>
      <c r="H20" s="1579">
        <f>_xll.cw_map("BR","10-&gt;5120.600")</f>
        <v>0</v>
      </c>
      <c r="I20" s="1672"/>
      <c r="J20" s="1580"/>
      <c r="K20" s="1671">
        <f t="shared" si="0"/>
        <v>0</v>
      </c>
      <c r="L20" s="1577">
        <f>_xll.cw_map("BBR","10-&gt;5120")</f>
        <v>0</v>
      </c>
    </row>
    <row r="21" spans="1:12" x14ac:dyDescent="0.2">
      <c r="A21" s="1275" t="s">
        <v>733</v>
      </c>
      <c r="B21" s="494" t="s">
        <v>720</v>
      </c>
      <c r="C21" s="1582"/>
      <c r="D21" s="1582"/>
      <c r="E21" s="1582"/>
      <c r="F21" s="1582"/>
      <c r="G21" s="1582"/>
      <c r="H21" s="1579">
        <f>_xll.cw_map("BR","10-&gt;5121.600")</f>
        <v>0</v>
      </c>
      <c r="I21" s="1672"/>
      <c r="J21" s="1582"/>
      <c r="K21" s="1671">
        <f t="shared" si="0"/>
        <v>0</v>
      </c>
      <c r="L21" s="1577">
        <f>_xll.cw_map("BBR","10-&gt;5121")</f>
        <v>0</v>
      </c>
    </row>
    <row r="22" spans="1:12" x14ac:dyDescent="0.2">
      <c r="A22" s="1275" t="s">
        <v>734</v>
      </c>
      <c r="B22" s="494" t="s">
        <v>721</v>
      </c>
      <c r="C22" s="1582"/>
      <c r="D22" s="1582"/>
      <c r="E22" s="1582"/>
      <c r="F22" s="1582"/>
      <c r="G22" s="1582"/>
      <c r="H22" s="1579">
        <f>_xll.cw_map("BR","10-&gt;5122.600")</f>
        <v>0</v>
      </c>
      <c r="I22" s="1672"/>
      <c r="J22" s="1582"/>
      <c r="K22" s="1671">
        <f t="shared" si="0"/>
        <v>0</v>
      </c>
      <c r="L22" s="1577">
        <f>_xll.cw_map("BBR","10-&gt;5122")</f>
        <v>0</v>
      </c>
    </row>
    <row r="23" spans="1:12" x14ac:dyDescent="0.2">
      <c r="A23" s="1275" t="s">
        <v>735</v>
      </c>
      <c r="B23" s="494" t="s">
        <v>722</v>
      </c>
      <c r="C23" s="1582"/>
      <c r="D23" s="1582"/>
      <c r="E23" s="1582"/>
      <c r="F23" s="1582"/>
      <c r="G23" s="1582"/>
      <c r="H23" s="1579">
        <f>_xll.cw_map("BR","10-&gt;5123.600")</f>
        <v>0</v>
      </c>
      <c r="I23" s="1672"/>
      <c r="J23" s="1582"/>
      <c r="K23" s="1671">
        <f t="shared" si="0"/>
        <v>0</v>
      </c>
      <c r="L23" s="1577">
        <f>_xll.cw_map("BBR","10-&gt;5123")</f>
        <v>0</v>
      </c>
    </row>
    <row r="24" spans="1:12" ht="12.75" customHeight="1" x14ac:dyDescent="0.2">
      <c r="A24" s="1275" t="s">
        <v>736</v>
      </c>
      <c r="B24" s="494" t="s">
        <v>723</v>
      </c>
      <c r="C24" s="1582"/>
      <c r="D24" s="1582"/>
      <c r="E24" s="1582"/>
      <c r="F24" s="1582"/>
      <c r="G24" s="1582"/>
      <c r="H24" s="1579">
        <f>_xll.cw_map("BR","10-&gt;5124.600")</f>
        <v>0</v>
      </c>
      <c r="I24" s="1672"/>
      <c r="J24" s="1582"/>
      <c r="K24" s="1671">
        <f t="shared" si="0"/>
        <v>0</v>
      </c>
      <c r="L24" s="1577">
        <f>_xll.cw_map("BBR","10-&gt;5124")</f>
        <v>0</v>
      </c>
    </row>
    <row r="25" spans="1:12" ht="12.75" customHeight="1" x14ac:dyDescent="0.2">
      <c r="A25" s="1275" t="s">
        <v>796</v>
      </c>
      <c r="B25" s="494" t="s">
        <v>724</v>
      </c>
      <c r="C25" s="1582"/>
      <c r="D25" s="1582"/>
      <c r="E25" s="1582"/>
      <c r="F25" s="1582"/>
      <c r="G25" s="1582"/>
      <c r="H25" s="1579">
        <f>_xll.cw_map("BR","10-&gt;5125.600")</f>
        <v>0</v>
      </c>
      <c r="I25" s="1672"/>
      <c r="J25" s="1582"/>
      <c r="K25" s="1671">
        <f t="shared" si="0"/>
        <v>0</v>
      </c>
      <c r="L25" s="1577">
        <f>_xll.cw_map("BBR","10-&gt;5125")</f>
        <v>0</v>
      </c>
    </row>
    <row r="26" spans="1:12" x14ac:dyDescent="0.2">
      <c r="A26" s="1275" t="s">
        <v>617</v>
      </c>
      <c r="B26" s="494" t="s">
        <v>725</v>
      </c>
      <c r="C26" s="1582"/>
      <c r="D26" s="1582"/>
      <c r="E26" s="1582"/>
      <c r="F26" s="1582"/>
      <c r="G26" s="1582"/>
      <c r="H26" s="1579">
        <f>_xll.cw_map("BR","10-&gt;5126.600")</f>
        <v>0</v>
      </c>
      <c r="I26" s="1672"/>
      <c r="J26" s="1582"/>
      <c r="K26" s="1671">
        <f t="shared" si="0"/>
        <v>0</v>
      </c>
      <c r="L26" s="1577">
        <f>_xll.cw_map("BBR","10-&gt;5126")</f>
        <v>0</v>
      </c>
    </row>
    <row r="27" spans="1:12" x14ac:dyDescent="0.2">
      <c r="A27" s="1275" t="s">
        <v>618</v>
      </c>
      <c r="B27" s="494" t="s">
        <v>726</v>
      </c>
      <c r="C27" s="1582"/>
      <c r="D27" s="1582"/>
      <c r="E27" s="1582"/>
      <c r="F27" s="1582"/>
      <c r="G27" s="1582"/>
      <c r="H27" s="1579">
        <f>_xll.cw_map("BR","10-&gt;5127.600")</f>
        <v>0</v>
      </c>
      <c r="I27" s="1672"/>
      <c r="J27" s="1582"/>
      <c r="K27" s="1671">
        <f t="shared" si="0"/>
        <v>0</v>
      </c>
      <c r="L27" s="1577">
        <f>_xll.cw_map("BBR","10-&gt;5127")</f>
        <v>0</v>
      </c>
    </row>
    <row r="28" spans="1:12" x14ac:dyDescent="0.2">
      <c r="A28" s="1275" t="s">
        <v>149</v>
      </c>
      <c r="B28" s="494" t="s">
        <v>727</v>
      </c>
      <c r="C28" s="1582"/>
      <c r="D28" s="1582"/>
      <c r="E28" s="1582"/>
      <c r="F28" s="1582"/>
      <c r="G28" s="1582"/>
      <c r="H28" s="1579">
        <f>_xll.cw_map("BR","10-&gt;5128.600")</f>
        <v>0</v>
      </c>
      <c r="I28" s="1672"/>
      <c r="J28" s="1582"/>
      <c r="K28" s="1671">
        <f t="shared" si="0"/>
        <v>0</v>
      </c>
      <c r="L28" s="1577">
        <f>_xll.cw_map("BBR","10-&gt;5128")</f>
        <v>0</v>
      </c>
    </row>
    <row r="29" spans="1:12" x14ac:dyDescent="0.2">
      <c r="A29" s="1275" t="s">
        <v>150</v>
      </c>
      <c r="B29" s="494" t="s">
        <v>728</v>
      </c>
      <c r="C29" s="1582"/>
      <c r="D29" s="1582"/>
      <c r="E29" s="1582"/>
      <c r="F29" s="1582"/>
      <c r="G29" s="1582"/>
      <c r="H29" s="1579">
        <f>_xll.cw_map("BR","10-&gt;5129.600")</f>
        <v>0</v>
      </c>
      <c r="I29" s="1672"/>
      <c r="J29" s="1582"/>
      <c r="K29" s="1671">
        <f t="shared" si="0"/>
        <v>0</v>
      </c>
      <c r="L29" s="1577">
        <f>_xll.cw_map("BBR","10-&gt;5129")</f>
        <v>0</v>
      </c>
    </row>
    <row r="30" spans="1:12" x14ac:dyDescent="0.2">
      <c r="A30" s="1275" t="s">
        <v>151</v>
      </c>
      <c r="B30" s="494" t="s">
        <v>729</v>
      </c>
      <c r="C30" s="1582"/>
      <c r="D30" s="1582"/>
      <c r="E30" s="1582"/>
      <c r="F30" s="1582"/>
      <c r="G30" s="1582"/>
      <c r="H30" s="1579">
        <f>_xll.cw_map("BR","10-&gt;5130.600")</f>
        <v>0</v>
      </c>
      <c r="I30" s="1672"/>
      <c r="J30" s="1582"/>
      <c r="K30" s="1671">
        <f t="shared" si="0"/>
        <v>0</v>
      </c>
      <c r="L30" s="1577">
        <f>_xll.cw_map("BBR","10-&gt;5130")</f>
        <v>0</v>
      </c>
    </row>
    <row r="31" spans="1:12" x14ac:dyDescent="0.2">
      <c r="A31" s="1275" t="s">
        <v>152</v>
      </c>
      <c r="B31" s="494" t="s">
        <v>730</v>
      </c>
      <c r="C31" s="1582"/>
      <c r="D31" s="1582"/>
      <c r="E31" s="1582"/>
      <c r="F31" s="1582"/>
      <c r="G31" s="1582"/>
      <c r="H31" s="1579">
        <f>_xll.cw_map("BR","10-&gt;5131.600")</f>
        <v>0</v>
      </c>
      <c r="I31" s="1672"/>
      <c r="J31" s="1582"/>
      <c r="K31" s="1671">
        <f t="shared" si="0"/>
        <v>0</v>
      </c>
      <c r="L31" s="1577">
        <f>_xll.cw_map("BBR","10-&gt;5131")</f>
        <v>0</v>
      </c>
    </row>
    <row r="32" spans="1:12" x14ac:dyDescent="0.2">
      <c r="A32" s="1276" t="s">
        <v>1120</v>
      </c>
      <c r="B32" s="503" t="s">
        <v>731</v>
      </c>
      <c r="C32" s="1582"/>
      <c r="D32" s="1582"/>
      <c r="E32" s="1582"/>
      <c r="F32" s="1582"/>
      <c r="G32" s="1582"/>
      <c r="H32" s="1579">
        <f>_xll.cw_map("BR","10-&gt;5132.600")</f>
        <v>0</v>
      </c>
      <c r="I32" s="1672"/>
      <c r="J32" s="1585"/>
      <c r="K32" s="1671">
        <f t="shared" si="0"/>
        <v>0</v>
      </c>
      <c r="L32" s="1577">
        <f>_xll.cw_map("BBR","10-&gt;5132")</f>
        <v>0</v>
      </c>
    </row>
    <row r="33" spans="1:14" ht="12.75" customHeight="1" thickBot="1" x14ac:dyDescent="0.25">
      <c r="A33" s="1380" t="s">
        <v>1651</v>
      </c>
      <c r="B33" s="1381" t="s">
        <v>565</v>
      </c>
      <c r="C33" s="1673">
        <f>SUM(C5:C32)</f>
        <v>9324074</v>
      </c>
      <c r="D33" s="1673">
        <f t="shared" ref="D33:L33" si="1">SUM(D5:D32)</f>
        <v>1484978</v>
      </c>
      <c r="E33" s="1673">
        <f t="shared" si="1"/>
        <v>82596</v>
      </c>
      <c r="F33" s="1673">
        <f t="shared" si="1"/>
        <v>426153</v>
      </c>
      <c r="G33" s="1673">
        <f t="shared" si="1"/>
        <v>1120822</v>
      </c>
      <c r="H33" s="1673">
        <f t="shared" si="1"/>
        <v>1767</v>
      </c>
      <c r="I33" s="1673">
        <f t="shared" si="1"/>
        <v>0</v>
      </c>
      <c r="J33" s="1673">
        <f t="shared" si="1"/>
        <v>0</v>
      </c>
      <c r="K33" s="1673">
        <f t="shared" si="1"/>
        <v>12440390</v>
      </c>
      <c r="L33" s="1673">
        <f t="shared" si="1"/>
        <v>12944177</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6">
        <f>_xll.cw_map("BR","10-&gt;5201.100")</f>
        <v>267028</v>
      </c>
      <c r="D36" s="1586">
        <f>_xll.cw_map("BR","10-&gt;5201.200")</f>
        <v>36009</v>
      </c>
      <c r="E36" s="1586">
        <f>_xll.cw_map("BR","10-&gt;5201.300")</f>
        <v>0</v>
      </c>
      <c r="F36" s="1586">
        <f>_xll.cw_map("BR","10-&gt;5201.400")</f>
        <v>0</v>
      </c>
      <c r="G36" s="1586">
        <f>_xll.cw_map("BR","10-&gt;5201.500")</f>
        <v>0</v>
      </c>
      <c r="H36" s="1586">
        <f>_xll.cw_map("BR","10-&gt;5201.600")</f>
        <v>0</v>
      </c>
      <c r="I36" s="1574">
        <f>_xll.cw_map("BR","10-&gt;5201.700")</f>
        <v>0</v>
      </c>
      <c r="J36" s="1574">
        <f>_xll.cw_map("BR","10-&gt;5201.800")</f>
        <v>0</v>
      </c>
      <c r="K36" s="1671">
        <f t="shared" ref="K36:K41" si="2">SUM(C36:J36)</f>
        <v>303037</v>
      </c>
      <c r="L36" s="1573">
        <f>_xll.cw_map("BBR","10-&gt;5201")</f>
        <v>305143</v>
      </c>
    </row>
    <row r="37" spans="1:14" x14ac:dyDescent="0.2">
      <c r="A37" s="1274" t="s">
        <v>1082</v>
      </c>
      <c r="B37" s="503">
        <v>2120</v>
      </c>
      <c r="C37" s="1573">
        <f>_xll.cw_map("BR","10-&gt;5202.100")</f>
        <v>0</v>
      </c>
      <c r="D37" s="1573">
        <f>_xll.cw_map("BR","10-&gt;5202.200")</f>
        <v>0</v>
      </c>
      <c r="E37" s="1573">
        <f>_xll.cw_map("BR","10-&gt;5202.300")</f>
        <v>0</v>
      </c>
      <c r="F37" s="1573">
        <f>_xll.cw_map("BR","10-&gt;5202.400")</f>
        <v>0</v>
      </c>
      <c r="G37" s="1573">
        <f>_xll.cw_map("BR","10-&gt;5202.500")</f>
        <v>0</v>
      </c>
      <c r="H37" s="1573">
        <f>_xll.cw_map("BR","10-&gt;5202.600")</f>
        <v>0</v>
      </c>
      <c r="I37" s="1574">
        <f>_xll.cw_map("BR","10-&gt;5202.700")</f>
        <v>0</v>
      </c>
      <c r="J37" s="1574">
        <f>_xll.cw_map("BR","10-&gt;5202.800")</f>
        <v>0</v>
      </c>
      <c r="K37" s="1671">
        <f t="shared" si="2"/>
        <v>0</v>
      </c>
      <c r="L37" s="1573">
        <f>_xll.cw_map("BBR","10-&gt;5202")</f>
        <v>0</v>
      </c>
    </row>
    <row r="38" spans="1:14" x14ac:dyDescent="0.2">
      <c r="A38" s="1274" t="s">
        <v>196</v>
      </c>
      <c r="B38" s="503">
        <v>2130</v>
      </c>
      <c r="C38" s="1573">
        <f>_xll.cw_map("BR","10-&gt;5203.100")</f>
        <v>208632</v>
      </c>
      <c r="D38" s="1573">
        <f>_xll.cw_map("BR","10-&gt;5203.200")</f>
        <v>18161</v>
      </c>
      <c r="E38" s="1573">
        <f>_xll.cw_map("BR","10-&gt;5203.300")</f>
        <v>10518</v>
      </c>
      <c r="F38" s="1573">
        <f>_xll.cw_map("BR","10-&gt;5203.400")</f>
        <v>2492</v>
      </c>
      <c r="G38" s="1573">
        <f>_xll.cw_map("BR","10-&gt;5203.500")</f>
        <v>0</v>
      </c>
      <c r="H38" s="1573">
        <f>_xll.cw_map("BR","10-&gt;5203.600")</f>
        <v>0</v>
      </c>
      <c r="I38" s="1574">
        <f>_xll.cw_map("BR","10-&gt;5203.700")</f>
        <v>0</v>
      </c>
      <c r="J38" s="1574">
        <f>_xll.cw_map("BR","10-&gt;5203.800")</f>
        <v>0</v>
      </c>
      <c r="K38" s="1671">
        <f t="shared" si="2"/>
        <v>239803</v>
      </c>
      <c r="L38" s="1573">
        <f>_xll.cw_map("BBR","10-&gt;5203")</f>
        <v>264831</v>
      </c>
    </row>
    <row r="39" spans="1:14" x14ac:dyDescent="0.2">
      <c r="A39" s="1274" t="s">
        <v>197</v>
      </c>
      <c r="B39" s="503">
        <v>2140</v>
      </c>
      <c r="C39" s="1573">
        <f>_xll.cw_map("BR","10-&gt;5204.100")</f>
        <v>106487</v>
      </c>
      <c r="D39" s="1573">
        <f>_xll.cw_map("BR","10-&gt;5204.200")</f>
        <v>16260</v>
      </c>
      <c r="E39" s="1573">
        <f>_xll.cw_map("BR","10-&gt;5204.300")</f>
        <v>0</v>
      </c>
      <c r="F39" s="1573">
        <f>_xll.cw_map("BR","10-&gt;5204.400")</f>
        <v>0</v>
      </c>
      <c r="G39" s="1573">
        <f>_xll.cw_map("BR","10-&gt;5204.500")</f>
        <v>0</v>
      </c>
      <c r="H39" s="1573">
        <f>_xll.cw_map("BR","10-&gt;5204.600")</f>
        <v>0</v>
      </c>
      <c r="I39" s="1574">
        <f>_xll.cw_map("BR","10-&gt;5204.700")</f>
        <v>0</v>
      </c>
      <c r="J39" s="1574">
        <f>_xll.cw_map("BR","10-&gt;5204.800")</f>
        <v>0</v>
      </c>
      <c r="K39" s="1671">
        <f t="shared" si="2"/>
        <v>122747</v>
      </c>
      <c r="L39" s="1573">
        <f>_xll.cw_map("BBR","10-&gt;5204")</f>
        <v>122771</v>
      </c>
    </row>
    <row r="40" spans="1:14" x14ac:dyDescent="0.2">
      <c r="A40" s="1274" t="s">
        <v>198</v>
      </c>
      <c r="B40" s="503">
        <v>2150</v>
      </c>
      <c r="C40" s="1573">
        <f>_xll.cw_map("BR","10-&gt;5205.100")</f>
        <v>272375</v>
      </c>
      <c r="D40" s="1573">
        <f>_xll.cw_map("BR","10-&gt;5205.200")</f>
        <v>41468</v>
      </c>
      <c r="E40" s="1573">
        <f>_xll.cw_map("BR","10-&gt;5205.300")</f>
        <v>0</v>
      </c>
      <c r="F40" s="1573">
        <f>_xll.cw_map("BR","10-&gt;5205.400")</f>
        <v>1324</v>
      </c>
      <c r="G40" s="1573">
        <f>_xll.cw_map("BR","10-&gt;5205.500")</f>
        <v>0</v>
      </c>
      <c r="H40" s="1573">
        <f>_xll.cw_map("BR","10-&gt;5205.600")</f>
        <v>0</v>
      </c>
      <c r="I40" s="1574">
        <f>_xll.cw_map("BR","10-&gt;5205.700")</f>
        <v>0</v>
      </c>
      <c r="J40" s="1574">
        <f>_xll.cw_map("BR","10-&gt;5205.800")</f>
        <v>0</v>
      </c>
      <c r="K40" s="1671">
        <f t="shared" si="2"/>
        <v>315167</v>
      </c>
      <c r="L40" s="1573">
        <f>_xll.cw_map("BBR","10-&gt;5205")</f>
        <v>309433</v>
      </c>
    </row>
    <row r="41" spans="1:14" x14ac:dyDescent="0.2">
      <c r="A41" s="1274" t="s">
        <v>1652</v>
      </c>
      <c r="B41" s="503">
        <v>2190</v>
      </c>
      <c r="C41" s="1573">
        <f>_xll.cw_map("BR","10-&gt;5206.100")</f>
        <v>0</v>
      </c>
      <c r="D41" s="1573">
        <f>_xll.cw_map("BR","10-&gt;5206.200")</f>
        <v>0</v>
      </c>
      <c r="E41" s="1573">
        <f>_xll.cw_map("BR","10-&gt;5206.300")</f>
        <v>8649</v>
      </c>
      <c r="F41" s="1573">
        <f>_xll.cw_map("BR","10-&gt;5206.400")</f>
        <v>50</v>
      </c>
      <c r="G41" s="1573">
        <f>_xll.cw_map("BR","10-&gt;5206.500")</f>
        <v>0</v>
      </c>
      <c r="H41" s="1573">
        <f>_xll.cw_map("BR","10-&gt;5206.600")</f>
        <v>0</v>
      </c>
      <c r="I41" s="1574">
        <f>_xll.cw_map("BR","10-&gt;5206.700")</f>
        <v>0</v>
      </c>
      <c r="J41" s="1574">
        <f>_xll.cw_map("BR","10-&gt;5206.800")</f>
        <v>0</v>
      </c>
      <c r="K41" s="1671">
        <f t="shared" si="2"/>
        <v>8699</v>
      </c>
      <c r="L41" s="1573">
        <f>_xll.cw_map("BBR","10-&gt;5206")</f>
        <v>10500</v>
      </c>
    </row>
    <row r="42" spans="1:14" ht="12.75" customHeight="1" thickBot="1" x14ac:dyDescent="0.25">
      <c r="A42" s="1380" t="s">
        <v>555</v>
      </c>
      <c r="B42" s="1381" t="s">
        <v>710</v>
      </c>
      <c r="C42" s="1673">
        <f>SUM(C36:C41)</f>
        <v>854522</v>
      </c>
      <c r="D42" s="1673">
        <f t="shared" ref="D42:L42" si="3">SUM(D36:D41)</f>
        <v>111898</v>
      </c>
      <c r="E42" s="1673">
        <f t="shared" si="3"/>
        <v>19167</v>
      </c>
      <c r="F42" s="1673">
        <f t="shared" si="3"/>
        <v>3866</v>
      </c>
      <c r="G42" s="1673">
        <f t="shared" si="3"/>
        <v>0</v>
      </c>
      <c r="H42" s="1673">
        <f t="shared" si="3"/>
        <v>0</v>
      </c>
      <c r="I42" s="1673">
        <f t="shared" si="3"/>
        <v>0</v>
      </c>
      <c r="J42" s="1673">
        <f t="shared" si="3"/>
        <v>0</v>
      </c>
      <c r="K42" s="1673">
        <f t="shared" si="3"/>
        <v>989453</v>
      </c>
      <c r="L42" s="1673">
        <f t="shared" si="3"/>
        <v>1012678</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586">
        <f>_xll.cw_map("BR","10-&gt;5211.100")</f>
        <v>113961</v>
      </c>
      <c r="D44" s="1586">
        <f>_xll.cw_map("BR","10-&gt;5211.200")</f>
        <v>30793</v>
      </c>
      <c r="E44" s="1586">
        <f>_xll.cw_map("BR","10-&gt;5211.300")</f>
        <v>113591</v>
      </c>
      <c r="F44" s="1586">
        <f>_xll.cw_map("BR","10-&gt;5211.400")</f>
        <v>2818</v>
      </c>
      <c r="G44" s="1586">
        <f>_xll.cw_map("BR","10-&gt;5211.500")</f>
        <v>0</v>
      </c>
      <c r="H44" s="1586">
        <f>_xll.cw_map("BR","10-&gt;5211.600")</f>
        <v>2131</v>
      </c>
      <c r="I44" s="1574">
        <f>_xll.cw_map("BR","10-&gt;5211.700")</f>
        <v>0</v>
      </c>
      <c r="J44" s="1574">
        <f>_xll.cw_map("BR","10-&gt;5211.800")</f>
        <v>0</v>
      </c>
      <c r="K44" s="1677">
        <f>SUM(C44:J44)</f>
        <v>263294</v>
      </c>
      <c r="L44" s="1586">
        <f>_xll.cw_map("BBR","10-&gt;5211")</f>
        <v>266971</v>
      </c>
    </row>
    <row r="45" spans="1:14" x14ac:dyDescent="0.2">
      <c r="A45" s="1274" t="s">
        <v>809</v>
      </c>
      <c r="B45" s="503">
        <v>2220</v>
      </c>
      <c r="C45" s="1573">
        <f>_xll.cw_map("BR","10-&gt;5212.100")</f>
        <v>548308</v>
      </c>
      <c r="D45" s="1573">
        <f>_xll.cw_map("BR","10-&gt;5212.200")</f>
        <v>95089</v>
      </c>
      <c r="E45" s="1573">
        <f>_xll.cw_map("BR","10-&gt;5212.300")</f>
        <v>162407</v>
      </c>
      <c r="F45" s="1573">
        <f>_xll.cw_map("BR","10-&gt;5212.400")</f>
        <v>151879</v>
      </c>
      <c r="G45" s="1573">
        <f>_xll.cw_map("BR","10-&gt;5212.500")</f>
        <v>516403</v>
      </c>
      <c r="H45" s="1573">
        <f>_xll.cw_map("BR","10-&gt;5212.600")</f>
        <v>0</v>
      </c>
      <c r="I45" s="1574">
        <f>_xll.cw_map("BR","10-&gt;5212.700")</f>
        <v>0</v>
      </c>
      <c r="J45" s="1574">
        <f>_xll.cw_map("BR","10-&gt;5212.800")</f>
        <v>0</v>
      </c>
      <c r="K45" s="1677">
        <f>SUM(C45:J45)</f>
        <v>1474086</v>
      </c>
      <c r="L45" s="1573">
        <f>_xll.cw_map("BBR","10-&gt;5212")</f>
        <v>1138259</v>
      </c>
    </row>
    <row r="46" spans="1:14" x14ac:dyDescent="0.2">
      <c r="A46" s="1274" t="s">
        <v>810</v>
      </c>
      <c r="B46" s="503">
        <v>2230</v>
      </c>
      <c r="C46" s="1573">
        <f>_xll.cw_map("BR","10-&gt;5213.100")</f>
        <v>64393</v>
      </c>
      <c r="D46" s="1573">
        <f>_xll.cw_map("BR","10-&gt;5213.200")</f>
        <v>15619</v>
      </c>
      <c r="E46" s="1573">
        <f>_xll.cw_map("BR","10-&gt;5213.300")</f>
        <v>10125</v>
      </c>
      <c r="F46" s="1573">
        <f>_xll.cw_map("BR","10-&gt;5213.400")</f>
        <v>41559</v>
      </c>
      <c r="G46" s="1573">
        <f>_xll.cw_map("BR","10-&gt;5213.500")</f>
        <v>0</v>
      </c>
      <c r="H46" s="1573">
        <f>_xll.cw_map("BR","10-&gt;5213.600")</f>
        <v>0</v>
      </c>
      <c r="I46" s="1574">
        <f>_xll.cw_map("BR","10-&gt;5213.700")</f>
        <v>0</v>
      </c>
      <c r="J46" s="1574">
        <f>_xll.cw_map("BR","10-&gt;5213.800")</f>
        <v>0</v>
      </c>
      <c r="K46" s="1677">
        <f>SUM(C46:J46)</f>
        <v>131696</v>
      </c>
      <c r="L46" s="1573">
        <f>_xll.cw_map("BBR","10-&gt;5213")</f>
        <v>131975</v>
      </c>
    </row>
    <row r="47" spans="1:14" ht="12.75" customHeight="1" thickBot="1" x14ac:dyDescent="0.25">
      <c r="A47" s="1380" t="s">
        <v>556</v>
      </c>
      <c r="B47" s="1381" t="s">
        <v>32</v>
      </c>
      <c r="C47" s="1673">
        <f>SUM(C44:C46)</f>
        <v>726662</v>
      </c>
      <c r="D47" s="1673">
        <f t="shared" ref="D47:K47" si="4">SUM(D44:D46)</f>
        <v>141501</v>
      </c>
      <c r="E47" s="1673">
        <f t="shared" si="4"/>
        <v>286123</v>
      </c>
      <c r="F47" s="1673">
        <f t="shared" si="4"/>
        <v>196256</v>
      </c>
      <c r="G47" s="1673">
        <f t="shared" si="4"/>
        <v>516403</v>
      </c>
      <c r="H47" s="1673">
        <f t="shared" si="4"/>
        <v>2131</v>
      </c>
      <c r="I47" s="1673">
        <f t="shared" si="4"/>
        <v>0</v>
      </c>
      <c r="J47" s="1673">
        <f t="shared" si="4"/>
        <v>0</v>
      </c>
      <c r="K47" s="1673">
        <f t="shared" si="4"/>
        <v>1869076</v>
      </c>
      <c r="L47" s="1673">
        <f>SUM(L44:L46)</f>
        <v>1537205</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586">
        <f>_xll.cw_map("BR","10-&gt;5221.100")</f>
        <v>0</v>
      </c>
      <c r="D49" s="1586">
        <f>_xll.cw_map("BR","10-&gt;5221.200")</f>
        <v>0</v>
      </c>
      <c r="E49" s="1586">
        <f>_xll.cw_map("BR","10-&gt;5221.300")</f>
        <v>281235</v>
      </c>
      <c r="F49" s="1586">
        <f>_xll.cw_map("BR","10-&gt;5221.400")</f>
        <v>0</v>
      </c>
      <c r="G49" s="1586">
        <f>_xll.cw_map("BR","10-&gt;5221.500")</f>
        <v>0</v>
      </c>
      <c r="H49" s="1586">
        <f>_xll.cw_map("BR","10-&gt;5221.600")</f>
        <v>12120</v>
      </c>
      <c r="I49" s="1574">
        <f>_xll.cw_map("BR","10-&gt;5221.700")</f>
        <v>0</v>
      </c>
      <c r="J49" s="1574">
        <f>_xll.cw_map("BR","10-&gt;5221.800")</f>
        <v>0</v>
      </c>
      <c r="K49" s="1677">
        <f>SUM(C49:J49)</f>
        <v>293355</v>
      </c>
      <c r="L49" s="1586">
        <f>_xll.cw_map("BBR","10-&gt;5221")</f>
        <v>314000</v>
      </c>
    </row>
    <row r="50" spans="1:14" x14ac:dyDescent="0.2">
      <c r="A50" s="1274" t="s">
        <v>812</v>
      </c>
      <c r="B50" s="503">
        <v>2320</v>
      </c>
      <c r="C50" s="1573">
        <f>_xll.cw_map("BR","10-&gt;5222.100")</f>
        <v>277716</v>
      </c>
      <c r="D50" s="1573">
        <f>_xll.cw_map("BR","10-&gt;5222.200")</f>
        <v>74719</v>
      </c>
      <c r="E50" s="1573">
        <f>_xll.cw_map("BR","10-&gt;5222.300")</f>
        <v>9379</v>
      </c>
      <c r="F50" s="1573">
        <f>_xll.cw_map("BR","10-&gt;5222.400")</f>
        <v>2452</v>
      </c>
      <c r="G50" s="1573">
        <f>_xll.cw_map("BR","10-&gt;5222.500")</f>
        <v>0</v>
      </c>
      <c r="H50" s="1573">
        <f>_xll.cw_map("BR","10-&gt;5222.600")</f>
        <v>350</v>
      </c>
      <c r="I50" s="1574">
        <f>_xll.cw_map("BR","10-&gt;5222.700")</f>
        <v>0</v>
      </c>
      <c r="J50" s="1574">
        <f>_xll.cw_map("BR","10-&gt;5222.800")</f>
        <v>0</v>
      </c>
      <c r="K50" s="1677">
        <f>SUM(C50:J50)</f>
        <v>364616</v>
      </c>
      <c r="L50" s="1573">
        <f>_xll.cw_map("BBR","10-&gt;5222")</f>
        <v>359380</v>
      </c>
    </row>
    <row r="51" spans="1:14" x14ac:dyDescent="0.2">
      <c r="A51" s="1274" t="s">
        <v>42</v>
      </c>
      <c r="B51" s="503">
        <v>2330</v>
      </c>
      <c r="C51" s="1573">
        <f>_xll.cw_map("BR","10-&gt;5223.100")</f>
        <v>105615</v>
      </c>
      <c r="D51" s="1573">
        <f>_xll.cw_map("BR","10-&gt;5223.200")</f>
        <v>28586</v>
      </c>
      <c r="E51" s="1573">
        <f>_xll.cw_map("BR","10-&gt;5223.300")</f>
        <v>0</v>
      </c>
      <c r="F51" s="1573">
        <f>_xll.cw_map("BR","10-&gt;5223.400")</f>
        <v>0</v>
      </c>
      <c r="G51" s="1573">
        <f>_xll.cw_map("BR","10-&gt;5223.500")</f>
        <v>0</v>
      </c>
      <c r="H51" s="1573">
        <f>_xll.cw_map("BR","10-&gt;5223.600")</f>
        <v>0</v>
      </c>
      <c r="I51" s="1574">
        <f>_xll.cw_map("BR","10-&gt;5223.700")</f>
        <v>0</v>
      </c>
      <c r="J51" s="1574">
        <f>_xll.cw_map("BR","10-&gt;5223.800")</f>
        <v>0</v>
      </c>
      <c r="K51" s="1677">
        <f>SUM(C51:J51)</f>
        <v>134201</v>
      </c>
      <c r="L51" s="1573">
        <f>_xll.cw_map("BBR","10-&gt;5223")</f>
        <v>134075</v>
      </c>
    </row>
    <row r="52" spans="1:14" ht="22.5" x14ac:dyDescent="0.2">
      <c r="A52" s="1275" t="s">
        <v>294</v>
      </c>
      <c r="B52" s="511" t="s">
        <v>362</v>
      </c>
      <c r="C52" s="1579">
        <f>_xll.cw_map("BR","10-&gt;5224.100")</f>
        <v>0</v>
      </c>
      <c r="D52" s="1579">
        <f>_xll.cw_map("BR","10-&gt;5224.200")</f>
        <v>0</v>
      </c>
      <c r="E52" s="1579">
        <f>_xll.cw_map("BR","10-&gt;5224.300")</f>
        <v>0</v>
      </c>
      <c r="F52" s="1579">
        <f>_xll.cw_map("BR","10-&gt;5224.400")</f>
        <v>0</v>
      </c>
      <c r="G52" s="1579">
        <f>_xll.cw_map("BR","10-&gt;5224.500")</f>
        <v>0</v>
      </c>
      <c r="H52" s="1579">
        <f>_xll.cw_map("BR","10-&gt;5224.600")</f>
        <v>0</v>
      </c>
      <c r="I52" s="1579">
        <f>_xll.cw_map("BR","10-&gt;5224.700")</f>
        <v>0</v>
      </c>
      <c r="J52" s="1579">
        <f>_xll.cw_map("BR","10-&gt;5224.800")</f>
        <v>0</v>
      </c>
      <c r="K52" s="1677">
        <f>SUM(C52:J52)</f>
        <v>0</v>
      </c>
      <c r="L52" s="1579">
        <f>_xll.cw_map("BBR","10-&gt;5224")</f>
        <v>0</v>
      </c>
    </row>
    <row r="53" spans="1:14" ht="12.75" customHeight="1" thickBot="1" x14ac:dyDescent="0.25">
      <c r="A53" s="1380" t="s">
        <v>711</v>
      </c>
      <c r="B53" s="1381" t="s">
        <v>33</v>
      </c>
      <c r="C53" s="1673">
        <f>SUM(C49:C52)</f>
        <v>383331</v>
      </c>
      <c r="D53" s="1673">
        <f t="shared" ref="D53:L53" si="5">SUM(D49:D52)</f>
        <v>103305</v>
      </c>
      <c r="E53" s="1673">
        <f t="shared" si="5"/>
        <v>290614</v>
      </c>
      <c r="F53" s="1673">
        <f t="shared" si="5"/>
        <v>2452</v>
      </c>
      <c r="G53" s="1673">
        <f t="shared" si="5"/>
        <v>0</v>
      </c>
      <c r="H53" s="1673">
        <f t="shared" si="5"/>
        <v>12470</v>
      </c>
      <c r="I53" s="1673">
        <f t="shared" si="5"/>
        <v>0</v>
      </c>
      <c r="J53" s="1673">
        <f t="shared" si="5"/>
        <v>0</v>
      </c>
      <c r="K53" s="1673">
        <f t="shared" si="5"/>
        <v>792172</v>
      </c>
      <c r="L53" s="1673">
        <f t="shared" si="5"/>
        <v>807455</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586">
        <f>_xll.cw_map("BR","10-&gt;5231.100")</f>
        <v>853552</v>
      </c>
      <c r="D55" s="1586">
        <f>_xll.cw_map("BR","10-&gt;5231.200")</f>
        <v>253024</v>
      </c>
      <c r="E55" s="1586">
        <f>_xll.cw_map("BR","10-&gt;5231.300")</f>
        <v>1800</v>
      </c>
      <c r="F55" s="1586">
        <f>_xll.cw_map("BR","10-&gt;5231.400")</f>
        <v>0</v>
      </c>
      <c r="G55" s="1586">
        <f>_xll.cw_map("BR","10-&gt;5231.500")</f>
        <v>0</v>
      </c>
      <c r="H55" s="1586">
        <f>_xll.cw_map("BR","10-&gt;5231.600")</f>
        <v>0</v>
      </c>
      <c r="I55" s="1574">
        <f>_xll.cw_map("BR","10-&gt;5231.700")</f>
        <v>0</v>
      </c>
      <c r="J55" s="1574">
        <f>_xll.cw_map("BR","10-&gt;5231.800")</f>
        <v>0</v>
      </c>
      <c r="K55" s="1677">
        <f>SUM(C55:J55)</f>
        <v>1108376</v>
      </c>
      <c r="L55" s="1586">
        <f>_xll.cw_map("BBR","10-&gt;5231")</f>
        <v>1087769</v>
      </c>
    </row>
    <row r="56" spans="1:14" ht="12.75" customHeight="1" x14ac:dyDescent="0.2">
      <c r="A56" s="1278" t="s">
        <v>372</v>
      </c>
      <c r="B56" s="512">
        <v>2490</v>
      </c>
      <c r="C56" s="1573">
        <f>_xll.cw_map("BR","10-&gt;5232.100")</f>
        <v>0</v>
      </c>
      <c r="D56" s="1573">
        <f>_xll.cw_map("BR","10-&gt;5232.200")</f>
        <v>0</v>
      </c>
      <c r="E56" s="1573">
        <f>_xll.cw_map("BR","10-&gt;5232.300")</f>
        <v>0</v>
      </c>
      <c r="F56" s="1573">
        <f>_xll.cw_map("BR","10-&gt;5232.400")</f>
        <v>0</v>
      </c>
      <c r="G56" s="1573">
        <f>_xll.cw_map("BR","10-&gt;5232.500")</f>
        <v>0</v>
      </c>
      <c r="H56" s="1573">
        <f>_xll.cw_map("BR","10-&gt;5232.600")</f>
        <v>0</v>
      </c>
      <c r="I56" s="1574">
        <f>_xll.cw_map("BR","10-&gt;5232.700")</f>
        <v>0</v>
      </c>
      <c r="J56" s="1574">
        <f>_xll.cw_map("BR","10-&gt;5232.800")</f>
        <v>0</v>
      </c>
      <c r="K56" s="1677">
        <f>SUM(C56:J56)</f>
        <v>0</v>
      </c>
      <c r="L56" s="1573">
        <f>_xll.cw_map("BBR","10-&gt;5232")</f>
        <v>0</v>
      </c>
    </row>
    <row r="57" spans="1:14" s="321" customFormat="1" ht="12.75" customHeight="1" thickBot="1" x14ac:dyDescent="0.25">
      <c r="A57" s="1380" t="s">
        <v>261</v>
      </c>
      <c r="B57" s="1382" t="s">
        <v>34</v>
      </c>
      <c r="C57" s="1678">
        <f>SUM(C55:C56)</f>
        <v>853552</v>
      </c>
      <c r="D57" s="1678">
        <f t="shared" ref="D57:K57" si="6">SUM(D55:D56)</f>
        <v>253024</v>
      </c>
      <c r="E57" s="1678">
        <f t="shared" si="6"/>
        <v>1800</v>
      </c>
      <c r="F57" s="1678">
        <f t="shared" si="6"/>
        <v>0</v>
      </c>
      <c r="G57" s="1678">
        <f t="shared" si="6"/>
        <v>0</v>
      </c>
      <c r="H57" s="1678">
        <f t="shared" si="6"/>
        <v>0</v>
      </c>
      <c r="I57" s="1678">
        <f t="shared" si="6"/>
        <v>0</v>
      </c>
      <c r="J57" s="1678">
        <f t="shared" si="6"/>
        <v>0</v>
      </c>
      <c r="K57" s="1678">
        <f t="shared" si="6"/>
        <v>1108376</v>
      </c>
      <c r="L57" s="1673">
        <f>SUM(L55:L56)</f>
        <v>1087769</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6">
        <f>_xll.cw_map("BR","10-&gt;5241.100")</f>
        <v>0</v>
      </c>
      <c r="D59" s="1586">
        <f>_xll.cw_map("BR","10-&gt;5241.200")</f>
        <v>0</v>
      </c>
      <c r="E59" s="1586">
        <f>_xll.cw_map("BR","10-&gt;5241.300")</f>
        <v>0</v>
      </c>
      <c r="F59" s="1586">
        <f>_xll.cw_map("BR","10-&gt;5241.400")</f>
        <v>0</v>
      </c>
      <c r="G59" s="1586">
        <f>_xll.cw_map("BR","10-&gt;5241.500")</f>
        <v>0</v>
      </c>
      <c r="H59" s="1586">
        <f>_xll.cw_map("BR","10-&gt;5241.600")</f>
        <v>0</v>
      </c>
      <c r="I59" s="1574">
        <f>_xll.cw_map("BR","10-&gt;5241.700")</f>
        <v>0</v>
      </c>
      <c r="J59" s="1574">
        <f>_xll.cw_map("BR","10-&gt;5241.800")</f>
        <v>0</v>
      </c>
      <c r="K59" s="1677">
        <f t="shared" ref="K59:K64" si="7">SUM(C59:J59)</f>
        <v>0</v>
      </c>
      <c r="L59" s="1586">
        <f>_xll.cw_map("BBR","10-&gt;5241")</f>
        <v>0</v>
      </c>
      <c r="M59" s="501"/>
      <c r="N59" s="501"/>
    </row>
    <row r="60" spans="1:14" s="321" customFormat="1" x14ac:dyDescent="0.2">
      <c r="A60" s="1274" t="s">
        <v>459</v>
      </c>
      <c r="B60" s="503">
        <v>2520</v>
      </c>
      <c r="C60" s="1573">
        <f>_xll.cw_map("BR","10-&gt;5242.100")</f>
        <v>251919</v>
      </c>
      <c r="D60" s="1573">
        <f>_xll.cw_map("BR","10-&gt;5242.200")</f>
        <v>58148</v>
      </c>
      <c r="E60" s="1573">
        <f>_xll.cw_map("BR","10-&gt;5242.300")</f>
        <v>58917</v>
      </c>
      <c r="F60" s="1573">
        <f>_xll.cw_map("BR","10-&gt;5242.400")</f>
        <v>2455</v>
      </c>
      <c r="G60" s="1573">
        <f>_xll.cw_map("BR","10-&gt;5242.500")</f>
        <v>0</v>
      </c>
      <c r="H60" s="1573">
        <f>_xll.cw_map("BR","10-&gt;5242.600")</f>
        <v>656</v>
      </c>
      <c r="I60" s="1574">
        <f>_xll.cw_map("BR","10-&gt;5242.700")</f>
        <v>0</v>
      </c>
      <c r="J60" s="1574">
        <f>_xll.cw_map("BR","10-&gt;5242.800")</f>
        <v>0</v>
      </c>
      <c r="K60" s="1677">
        <f t="shared" si="7"/>
        <v>372095</v>
      </c>
      <c r="L60" s="1573">
        <f>_xll.cw_map("BBR","10-&gt;5242")</f>
        <v>338541</v>
      </c>
      <c r="M60" s="501"/>
      <c r="N60" s="501"/>
    </row>
    <row r="61" spans="1:14" s="321" customFormat="1" x14ac:dyDescent="0.2">
      <c r="A61" s="1274" t="s">
        <v>195</v>
      </c>
      <c r="B61" s="503">
        <v>2540</v>
      </c>
      <c r="C61" s="1573">
        <f>_xll.cw_map("BR","10-&gt;5243.100")</f>
        <v>0</v>
      </c>
      <c r="D61" s="1573">
        <f>_xll.cw_map("BR","10-&gt;5243.200")</f>
        <v>47</v>
      </c>
      <c r="E61" s="1573">
        <f>_xll.cw_map("BR","10-&gt;5243.300")</f>
        <v>0</v>
      </c>
      <c r="F61" s="1573">
        <f>_xll.cw_map("BR","10-&gt;5243.400")</f>
        <v>0</v>
      </c>
      <c r="G61" s="1573">
        <f>_xll.cw_map("BR","10-&gt;5243.500")</f>
        <v>0</v>
      </c>
      <c r="H61" s="1573">
        <f>_xll.cw_map("BR","10-&gt;5243.600")</f>
        <v>0</v>
      </c>
      <c r="I61" s="1574">
        <f>_xll.cw_map("BR","10-&gt;5243.700")</f>
        <v>0</v>
      </c>
      <c r="J61" s="1574">
        <f>_xll.cw_map("BR","10-&gt;5243.800")</f>
        <v>0</v>
      </c>
      <c r="K61" s="1677">
        <f t="shared" si="7"/>
        <v>47</v>
      </c>
      <c r="L61" s="1573">
        <f>_xll.cw_map("BBR","10-&gt;5243")</f>
        <v>0</v>
      </c>
      <c r="M61" s="501"/>
      <c r="N61" s="501"/>
    </row>
    <row r="62" spans="1:14" s="321" customFormat="1" x14ac:dyDescent="0.2">
      <c r="A62" s="1274" t="s">
        <v>946</v>
      </c>
      <c r="B62" s="503">
        <v>2550</v>
      </c>
      <c r="C62" s="1573">
        <f>_xll.cw_map("BR","10-&gt;5244.100")</f>
        <v>0</v>
      </c>
      <c r="D62" s="1573">
        <f>_xll.cw_map("BR","10-&gt;5244.200")</f>
        <v>0</v>
      </c>
      <c r="E62" s="1573">
        <f>_xll.cw_map("BR","10-&gt;5244.300")</f>
        <v>0</v>
      </c>
      <c r="F62" s="1573">
        <f>_xll.cw_map("BR","10-&gt;5244.400")</f>
        <v>0</v>
      </c>
      <c r="G62" s="1573">
        <f>_xll.cw_map("BR","10-&gt;5244.500")</f>
        <v>0</v>
      </c>
      <c r="H62" s="1573">
        <f>_xll.cw_map("BR","10-&gt;5244.600")</f>
        <v>0</v>
      </c>
      <c r="I62" s="1574">
        <f>_xll.cw_map("BR","10-&gt;5244.700")</f>
        <v>0</v>
      </c>
      <c r="J62" s="1574">
        <f>_xll.cw_map("BR","10-&gt;5244.800")</f>
        <v>0</v>
      </c>
      <c r="K62" s="1677">
        <f t="shared" si="7"/>
        <v>0</v>
      </c>
      <c r="L62" s="1573">
        <f>_xll.cw_map("BBR","10-&gt;5244")</f>
        <v>0</v>
      </c>
      <c r="M62" s="501"/>
      <c r="N62" s="501"/>
    </row>
    <row r="63" spans="1:14" s="501" customFormat="1" x14ac:dyDescent="0.2">
      <c r="A63" s="1274" t="s">
        <v>100</v>
      </c>
      <c r="B63" s="503">
        <v>2560</v>
      </c>
      <c r="C63" s="1573">
        <f>_xll.cw_map("BR","10-&gt;5246.100")</f>
        <v>169479</v>
      </c>
      <c r="D63" s="1573">
        <f>_xll.cw_map("BR","10-&gt;5246.200")</f>
        <v>22319</v>
      </c>
      <c r="E63" s="1573">
        <f>_xll.cw_map("BR","10-&gt;5246.300")</f>
        <v>271933</v>
      </c>
      <c r="F63" s="1573">
        <f>_xll.cw_map("BR","10-&gt;5246.400")</f>
        <v>-24121</v>
      </c>
      <c r="G63" s="1573">
        <f>_xll.cw_map("BR","10-&gt;5246.500")</f>
        <v>27005</v>
      </c>
      <c r="H63" s="1573">
        <f>_xll.cw_map("BR","10-&gt;5246.600")</f>
        <v>2226</v>
      </c>
      <c r="I63" s="1574">
        <f>_xll.cw_map("BR","10-&gt;5246.700")</f>
        <v>0</v>
      </c>
      <c r="J63" s="1574">
        <f>_xll.cw_map("BR","10-&gt;5246.800")</f>
        <v>0</v>
      </c>
      <c r="K63" s="1677">
        <f t="shared" si="7"/>
        <v>468841</v>
      </c>
      <c r="L63" s="1573">
        <f>_xll.cw_map("BBR","10-&gt;5246")</f>
        <v>498629</v>
      </c>
    </row>
    <row r="64" spans="1:14" s="501" customFormat="1" x14ac:dyDescent="0.2">
      <c r="A64" s="1279" t="s">
        <v>101</v>
      </c>
      <c r="B64" s="513">
        <v>2570</v>
      </c>
      <c r="C64" s="1586">
        <f>_xll.cw_map("BR","10-&gt;5247.100")</f>
        <v>0</v>
      </c>
      <c r="D64" s="1586">
        <f>_xll.cw_map("BR","10-&gt;5247.200")</f>
        <v>0</v>
      </c>
      <c r="E64" s="1586">
        <f>_xll.cw_map("BR","10-&gt;5247.300")</f>
        <v>8935</v>
      </c>
      <c r="F64" s="1586">
        <f>_xll.cw_map("BR","10-&gt;5247.400")</f>
        <v>5077</v>
      </c>
      <c r="G64" s="1586">
        <f>_xll.cw_map("BR","10-&gt;5247.500")</f>
        <v>0</v>
      </c>
      <c r="H64" s="1586">
        <f>_xll.cw_map("BR","10-&gt;5247.600")</f>
        <v>0</v>
      </c>
      <c r="I64" s="1574">
        <f>_xll.cw_map("BR","10-&gt;5247.700")</f>
        <v>0</v>
      </c>
      <c r="J64" s="1574">
        <f>_xll.cw_map("BR","10-&gt;5247.800")</f>
        <v>0</v>
      </c>
      <c r="K64" s="1677">
        <f t="shared" si="7"/>
        <v>14012</v>
      </c>
      <c r="L64" s="1586">
        <f>_xll.cw_map("BBR","10-&gt;5247")</f>
        <v>5000</v>
      </c>
    </row>
    <row r="65" spans="1:14" s="321" customFormat="1" ht="12.75" customHeight="1" thickBot="1" x14ac:dyDescent="0.25">
      <c r="A65" s="1380" t="s">
        <v>713</v>
      </c>
      <c r="B65" s="1381" t="s">
        <v>35</v>
      </c>
      <c r="C65" s="1673">
        <f>SUM(C59:C64)</f>
        <v>421398</v>
      </c>
      <c r="D65" s="1673">
        <f t="shared" ref="D65:L65" si="8">SUM(D59:D64)</f>
        <v>80514</v>
      </c>
      <c r="E65" s="1673">
        <f t="shared" si="8"/>
        <v>339785</v>
      </c>
      <c r="F65" s="1673">
        <f t="shared" si="8"/>
        <v>-16589</v>
      </c>
      <c r="G65" s="1673">
        <f t="shared" si="8"/>
        <v>27005</v>
      </c>
      <c r="H65" s="1673">
        <f t="shared" si="8"/>
        <v>2882</v>
      </c>
      <c r="I65" s="1673">
        <f t="shared" si="8"/>
        <v>0</v>
      </c>
      <c r="J65" s="1673">
        <f t="shared" si="8"/>
        <v>0</v>
      </c>
      <c r="K65" s="1673">
        <f t="shared" si="8"/>
        <v>854995</v>
      </c>
      <c r="L65" s="1673">
        <f t="shared" si="8"/>
        <v>842170</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3">
        <f>_xll.cw_map("BR","10-&gt;5265.100")</f>
        <v>0</v>
      </c>
      <c r="D67" s="1573">
        <f>_xll.cw_map("BR","10-&gt;5265.200")</f>
        <v>0</v>
      </c>
      <c r="E67" s="1573">
        <f>_xll.cw_map("BR","10-&gt;5265.300")</f>
        <v>0</v>
      </c>
      <c r="F67" s="1573">
        <f>_xll.cw_map("BR","10-&gt;5265.400")</f>
        <v>0</v>
      </c>
      <c r="G67" s="1573">
        <f>_xll.cw_map("BR","10-&gt;5265.500")</f>
        <v>0</v>
      </c>
      <c r="H67" s="1573">
        <f>_xll.cw_map("BR","10-&gt;5265.600")</f>
        <v>0</v>
      </c>
      <c r="I67" s="1574">
        <f>_xll.cw_map("BR","10-&gt;5265.700")</f>
        <v>0</v>
      </c>
      <c r="J67" s="1574">
        <f>_xll.cw_map("BR","10-&gt;5265.800")</f>
        <v>0</v>
      </c>
      <c r="K67" s="1677">
        <f>SUM(C67:J67)</f>
        <v>0</v>
      </c>
      <c r="L67" s="1586">
        <f>_xll.cw_map("BBR","10-&gt;5265")</f>
        <v>0</v>
      </c>
      <c r="M67" s="501"/>
      <c r="N67" s="501"/>
    </row>
    <row r="68" spans="1:14" s="321" customFormat="1" x14ac:dyDescent="0.2">
      <c r="A68" s="1274" t="s">
        <v>602</v>
      </c>
      <c r="B68" s="503">
        <v>2620</v>
      </c>
      <c r="C68" s="1573">
        <f>_xll.cw_map("BR","10-&gt;5264.100")</f>
        <v>0</v>
      </c>
      <c r="D68" s="1573">
        <f>_xll.cw_map("BR","10-&gt;5264.200")</f>
        <v>0</v>
      </c>
      <c r="E68" s="1573">
        <f>_xll.cw_map("BR","10-&gt;5264.300")</f>
        <v>0</v>
      </c>
      <c r="F68" s="1573">
        <f>_xll.cw_map("BR","10-&gt;5264.400")</f>
        <v>0</v>
      </c>
      <c r="G68" s="1573">
        <f>_xll.cw_map("BR","10-&gt;5264.500")</f>
        <v>0</v>
      </c>
      <c r="H68" s="1573">
        <f>_xll.cw_map("BR","10-&gt;5264.600")</f>
        <v>0</v>
      </c>
      <c r="I68" s="1574">
        <f>_xll.cw_map("BR","10-&gt;5264.700")</f>
        <v>0</v>
      </c>
      <c r="J68" s="1574">
        <f>_xll.cw_map("BR","10-&gt;5264.800")</f>
        <v>0</v>
      </c>
      <c r="K68" s="1677">
        <f>SUM(C68:J68)</f>
        <v>0</v>
      </c>
      <c r="L68" s="1573">
        <f>_xll.cw_map("BBR","10-&gt;5264")</f>
        <v>0</v>
      </c>
      <c r="M68" s="501"/>
      <c r="N68" s="501"/>
    </row>
    <row r="69" spans="1:14" s="321" customFormat="1" x14ac:dyDescent="0.2">
      <c r="A69" s="1274" t="s">
        <v>1053</v>
      </c>
      <c r="B69" s="503">
        <v>2630</v>
      </c>
      <c r="C69" s="1573">
        <f>_xll.cw_map("BR","10-&gt;5261.100")</f>
        <v>0</v>
      </c>
      <c r="D69" s="1573">
        <f>_xll.cw_map("BR","10-&gt;5261.200")</f>
        <v>0</v>
      </c>
      <c r="E69" s="1573">
        <f>_xll.cw_map("BR","10-&gt;5261.300")</f>
        <v>0</v>
      </c>
      <c r="F69" s="1573">
        <f>_xll.cw_map("BR","10-&gt;5261.400")</f>
        <v>0</v>
      </c>
      <c r="G69" s="1573">
        <f>_xll.cw_map("BR","10-&gt;5261.500")</f>
        <v>0</v>
      </c>
      <c r="H69" s="1573">
        <f>_xll.cw_map("BR","10-&gt;5261.600")</f>
        <v>0</v>
      </c>
      <c r="I69" s="1574">
        <f>_xll.cw_map("BR","10-&gt;5261.700")</f>
        <v>0</v>
      </c>
      <c r="J69" s="1574">
        <f>_xll.cw_map("BR","10-&gt;5261.800")</f>
        <v>0</v>
      </c>
      <c r="K69" s="1677">
        <f>SUM(C69:J69)</f>
        <v>0</v>
      </c>
      <c r="L69" s="1573">
        <f>_xll.cw_map("BBR","10-&gt;5261")</f>
        <v>0</v>
      </c>
      <c r="M69" s="501"/>
      <c r="N69" s="501"/>
    </row>
    <row r="70" spans="1:14" s="321" customFormat="1" x14ac:dyDescent="0.2">
      <c r="A70" s="1274" t="s">
        <v>399</v>
      </c>
      <c r="B70" s="503">
        <v>2640</v>
      </c>
      <c r="C70" s="1573">
        <f>_xll.cw_map("BR","10-&gt;5262.100")</f>
        <v>0</v>
      </c>
      <c r="D70" s="1573">
        <f>_xll.cw_map("BR","10-&gt;5262.200")</f>
        <v>0</v>
      </c>
      <c r="E70" s="1573">
        <f>_xll.cw_map("BR","10-&gt;5262.300")</f>
        <v>9819</v>
      </c>
      <c r="F70" s="1573">
        <f>_xll.cw_map("BR","10-&gt;5262.400")</f>
        <v>27803</v>
      </c>
      <c r="G70" s="1573">
        <f>_xll.cw_map("BR","10-&gt;5262.500")</f>
        <v>0</v>
      </c>
      <c r="H70" s="1573">
        <f>_xll.cw_map("BR","10-&gt;5262.600")</f>
        <v>0</v>
      </c>
      <c r="I70" s="1574">
        <f>_xll.cw_map("BR","10-&gt;5262.700")</f>
        <v>0</v>
      </c>
      <c r="J70" s="1574">
        <f>_xll.cw_map("BR","10-&gt;5262.800")</f>
        <v>0</v>
      </c>
      <c r="K70" s="1677">
        <f>SUM(C70:J70)</f>
        <v>37622</v>
      </c>
      <c r="L70" s="1573">
        <f>_xll.cw_map("BBR","10-&gt;5262")</f>
        <v>42000</v>
      </c>
      <c r="M70" s="501"/>
      <c r="N70" s="501"/>
    </row>
    <row r="71" spans="1:14" s="321" customFormat="1" x14ac:dyDescent="0.2">
      <c r="A71" s="1274" t="s">
        <v>400</v>
      </c>
      <c r="B71" s="503">
        <v>2660</v>
      </c>
      <c r="C71" s="1573">
        <f>_xll.cw_map("BR","10-&gt;5263.100")</f>
        <v>0</v>
      </c>
      <c r="D71" s="1573">
        <f>_xll.cw_map("BR","10-&gt;5263.200")</f>
        <v>0</v>
      </c>
      <c r="E71" s="1573">
        <f>_xll.cw_map("BR","10-&gt;5263.300")</f>
        <v>4830</v>
      </c>
      <c r="F71" s="1573">
        <f>_xll.cw_map("BR","10-&gt;5263.400")</f>
        <v>49226</v>
      </c>
      <c r="G71" s="1573">
        <f>_xll.cw_map("BR","10-&gt;5263.500")</f>
        <v>0</v>
      </c>
      <c r="H71" s="1573">
        <f>_xll.cw_map("BR","10-&gt;5263.600")</f>
        <v>0</v>
      </c>
      <c r="I71" s="1574">
        <f>_xll.cw_map("BR","10-&gt;5263.700")</f>
        <v>0</v>
      </c>
      <c r="J71" s="1574">
        <f>_xll.cw_map("BR","10-&gt;5263.800")</f>
        <v>0</v>
      </c>
      <c r="K71" s="1677">
        <f>SUM(C71:J71)</f>
        <v>54056</v>
      </c>
      <c r="L71" s="1573">
        <f>_xll.cw_map("BBR","10-&gt;5263")</f>
        <v>70000</v>
      </c>
      <c r="M71" s="501"/>
      <c r="N71" s="501"/>
    </row>
    <row r="72" spans="1:14" s="321" customFormat="1" ht="12.75" customHeight="1" thickBot="1" x14ac:dyDescent="0.25">
      <c r="A72" s="1380" t="s">
        <v>37</v>
      </c>
      <c r="B72" s="1383" t="s">
        <v>36</v>
      </c>
      <c r="C72" s="1673">
        <f>SUM(C67:C71)</f>
        <v>0</v>
      </c>
      <c r="D72" s="1673">
        <f t="shared" ref="D72:K72" si="9">SUM(D67:D71)</f>
        <v>0</v>
      </c>
      <c r="E72" s="1673">
        <f t="shared" si="9"/>
        <v>14649</v>
      </c>
      <c r="F72" s="1673">
        <f t="shared" si="9"/>
        <v>77029</v>
      </c>
      <c r="G72" s="1673">
        <f t="shared" si="9"/>
        <v>0</v>
      </c>
      <c r="H72" s="1673">
        <f t="shared" si="9"/>
        <v>0</v>
      </c>
      <c r="I72" s="1673">
        <f t="shared" si="9"/>
        <v>0</v>
      </c>
      <c r="J72" s="1673">
        <f t="shared" si="9"/>
        <v>0</v>
      </c>
      <c r="K72" s="1673">
        <f t="shared" si="9"/>
        <v>91678</v>
      </c>
      <c r="L72" s="1673">
        <f>SUM(L67:L71)</f>
        <v>112000</v>
      </c>
      <c r="M72" s="501"/>
      <c r="N72" s="501"/>
    </row>
    <row r="73" spans="1:14" s="321" customFormat="1" ht="14.25" thickTop="1" thickBot="1" x14ac:dyDescent="0.25">
      <c r="A73" s="1280" t="s">
        <v>972</v>
      </c>
      <c r="B73" s="515" t="s">
        <v>569</v>
      </c>
      <c r="C73" s="1648">
        <f>_xll.cw_map("BR","10-&gt;5248.100")</f>
        <v>0</v>
      </c>
      <c r="D73" s="1648">
        <f>_xll.cw_map("BR","10-&gt;5248.200")</f>
        <v>0</v>
      </c>
      <c r="E73" s="1648">
        <f>_xll.cw_map("BR","10-&gt;5248.300")</f>
        <v>0</v>
      </c>
      <c r="F73" s="1648">
        <f>_xll.cw_map("BR","10-&gt;5248.400")</f>
        <v>0</v>
      </c>
      <c r="G73" s="1648">
        <f>_xll.cw_map("BR","10-&gt;5248.500")</f>
        <v>0</v>
      </c>
      <c r="H73" s="1648">
        <f>_xll.cw_map("BR","10-&gt;5248.600")</f>
        <v>0</v>
      </c>
      <c r="I73" s="1626">
        <f>_xll.cw_map("BR","10-&gt;5248.700")</f>
        <v>0</v>
      </c>
      <c r="J73" s="1626">
        <f>_xll.cw_map("BR","10-&gt;5248.800")</f>
        <v>0</v>
      </c>
      <c r="K73" s="1673">
        <f>SUM(C73:J73)</f>
        <v>0</v>
      </c>
      <c r="L73" s="1650">
        <f>_xll.cw_map("BBR","10-&gt;5248")</f>
        <v>0</v>
      </c>
      <c r="M73" s="501"/>
      <c r="N73" s="501"/>
    </row>
    <row r="74" spans="1:14" ht="12.75" customHeight="1" thickTop="1" thickBot="1" x14ac:dyDescent="0.25">
      <c r="A74" s="1380" t="s">
        <v>805</v>
      </c>
      <c r="B74" s="1384">
        <v>2000</v>
      </c>
      <c r="C74" s="1680">
        <f>SUM(C42,C47,C53,C57,C65,C72,C73)</f>
        <v>3239465</v>
      </c>
      <c r="D74" s="1680">
        <f t="shared" ref="D74:K74" si="10">SUM(D42,D47,D53,D57,D65,D72,D73)</f>
        <v>690242</v>
      </c>
      <c r="E74" s="1680">
        <f t="shared" si="10"/>
        <v>952138</v>
      </c>
      <c r="F74" s="1680">
        <f t="shared" si="10"/>
        <v>263014</v>
      </c>
      <c r="G74" s="1680">
        <f t="shared" si="10"/>
        <v>543408</v>
      </c>
      <c r="H74" s="1680">
        <f t="shared" si="10"/>
        <v>17483</v>
      </c>
      <c r="I74" s="1680">
        <f t="shared" si="10"/>
        <v>0</v>
      </c>
      <c r="J74" s="1680">
        <f t="shared" si="10"/>
        <v>0</v>
      </c>
      <c r="K74" s="1680">
        <f t="shared" si="10"/>
        <v>5705750</v>
      </c>
      <c r="L74" s="1680">
        <f>SUM(L42,L47,L53,L57,L65,L72,L73)</f>
        <v>5399277</v>
      </c>
    </row>
    <row r="75" spans="1:14" s="254" customFormat="1" ht="15.75" customHeight="1" thickTop="1" thickBot="1" x14ac:dyDescent="0.25">
      <c r="A75" s="1348" t="s">
        <v>47</v>
      </c>
      <c r="B75" s="1349" t="s">
        <v>570</v>
      </c>
      <c r="C75" s="1648">
        <f>_xll.cw_map("BR","10-&gt;5320.100")</f>
        <v>0</v>
      </c>
      <c r="D75" s="1648">
        <f>_xll.cw_map("BR","10-&gt;5320.200")</f>
        <v>0</v>
      </c>
      <c r="E75" s="1648">
        <f>_xll.cw_map("BR","10-&gt;5320.300")</f>
        <v>4008</v>
      </c>
      <c r="F75" s="1648">
        <f>_xll.cw_map("BR","10-&gt;5320.400")</f>
        <v>10933</v>
      </c>
      <c r="G75" s="1648">
        <f>_xll.cw_map("BR","10-&gt;5320.500")</f>
        <v>0</v>
      </c>
      <c r="H75" s="1648">
        <f>_xll.cw_map("BR","10-&gt;5320.600")</f>
        <v>0</v>
      </c>
      <c r="I75" s="1626">
        <f>_xll.cw_map("BR","10-&gt;5320.700")</f>
        <v>0</v>
      </c>
      <c r="J75" s="1626">
        <f>_xll.cw_map("BR","10-&gt;5320.800")</f>
        <v>0</v>
      </c>
      <c r="K75" s="1673">
        <f>SUM(C75:J75)</f>
        <v>14941</v>
      </c>
      <c r="L75" s="1650">
        <f>_xll.cw_map("BBR","10-&gt;5320")</f>
        <v>20303</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6">
        <f>_xll.cw_map("BR","10-&gt;5341.300")</f>
        <v>0</v>
      </c>
      <c r="F78" s="1672"/>
      <c r="G78" s="1672"/>
      <c r="H78" s="1681">
        <f>_xll.cw_map("BR","10-&gt;5341.600")</f>
        <v>0</v>
      </c>
      <c r="I78" s="1582"/>
      <c r="J78" s="1582"/>
      <c r="K78" s="1671">
        <f t="shared" ref="K78:K83" si="11">SUM(C78:J78)</f>
        <v>0</v>
      </c>
      <c r="L78" s="1586">
        <f>_xll.cw_map("BBR","10-&gt;5341")</f>
        <v>25762</v>
      </c>
    </row>
    <row r="79" spans="1:14" x14ac:dyDescent="0.2">
      <c r="A79" s="1274" t="s">
        <v>300</v>
      </c>
      <c r="B79" s="503">
        <v>4120</v>
      </c>
      <c r="C79" s="1672"/>
      <c r="D79" s="1672"/>
      <c r="E79" s="1573">
        <f>_xll.cw_map("BR","10-&gt;5342.300")</f>
        <v>614736</v>
      </c>
      <c r="F79" s="1672"/>
      <c r="G79" s="1672"/>
      <c r="H79" s="1573">
        <f>_xll.cw_map("BR","10-&gt;5342.600")</f>
        <v>956916</v>
      </c>
      <c r="I79" s="1582"/>
      <c r="J79" s="1582"/>
      <c r="K79" s="1671">
        <f t="shared" si="11"/>
        <v>1571652</v>
      </c>
      <c r="L79" s="1573">
        <f>_xll.cw_map("BBR","10-&gt;5342")</f>
        <v>1508267</v>
      </c>
    </row>
    <row r="80" spans="1:14" x14ac:dyDescent="0.2">
      <c r="A80" s="1274" t="s">
        <v>301</v>
      </c>
      <c r="B80" s="503">
        <v>4130</v>
      </c>
      <c r="C80" s="1672"/>
      <c r="D80" s="1672"/>
      <c r="E80" s="1573">
        <f>_xll.cw_map("BR","10-&gt;5343.300")</f>
        <v>0</v>
      </c>
      <c r="F80" s="1672"/>
      <c r="G80" s="1672"/>
      <c r="H80" s="1573">
        <f>_xll.cw_map("BR","10-&gt;5343.600")</f>
        <v>0</v>
      </c>
      <c r="I80" s="1582"/>
      <c r="J80" s="1582"/>
      <c r="K80" s="1671">
        <f t="shared" si="11"/>
        <v>0</v>
      </c>
      <c r="L80" s="1573">
        <f>_xll.cw_map("BBR","10-&gt;5343")</f>
        <v>0</v>
      </c>
    </row>
    <row r="81" spans="1:12" x14ac:dyDescent="0.2">
      <c r="A81" s="1274" t="s">
        <v>691</v>
      </c>
      <c r="B81" s="503">
        <v>4140</v>
      </c>
      <c r="C81" s="1672"/>
      <c r="D81" s="1672"/>
      <c r="E81" s="1573">
        <f>_xll.cw_map("BR","10-&gt;5344.300")</f>
        <v>0</v>
      </c>
      <c r="F81" s="1672"/>
      <c r="G81" s="1672"/>
      <c r="H81" s="1573">
        <f>_xll.cw_map("BR","10-&gt;5344.600")</f>
        <v>0</v>
      </c>
      <c r="I81" s="1582"/>
      <c r="J81" s="1582"/>
      <c r="K81" s="1671">
        <f t="shared" si="11"/>
        <v>0</v>
      </c>
      <c r="L81" s="1573">
        <f>_xll.cw_map("BBR","10-&gt;5344")</f>
        <v>0</v>
      </c>
    </row>
    <row r="82" spans="1:12" x14ac:dyDescent="0.2">
      <c r="A82" s="1274" t="s">
        <v>86</v>
      </c>
      <c r="B82" s="503">
        <v>4170</v>
      </c>
      <c r="C82" s="1672"/>
      <c r="D82" s="1672"/>
      <c r="E82" s="1573">
        <f>_xll.cw_map("BR","10-&gt;5345.300")</f>
        <v>0</v>
      </c>
      <c r="F82" s="1672"/>
      <c r="G82" s="1672"/>
      <c r="H82" s="1573">
        <f>_xll.cw_map("BR","10-&gt;5345.600")</f>
        <v>0</v>
      </c>
      <c r="I82" s="1582"/>
      <c r="J82" s="1582"/>
      <c r="K82" s="1671">
        <f t="shared" si="11"/>
        <v>0</v>
      </c>
      <c r="L82" s="1573">
        <f>_xll.cw_map("BBR","10-&gt;5345")</f>
        <v>0</v>
      </c>
    </row>
    <row r="83" spans="1:12" x14ac:dyDescent="0.2">
      <c r="A83" s="1278" t="s">
        <v>692</v>
      </c>
      <c r="B83" s="512">
        <v>4190</v>
      </c>
      <c r="C83" s="1672"/>
      <c r="D83" s="1672"/>
      <c r="E83" s="1573">
        <f>_xll.cw_map("BR","10-&gt;5346.300")</f>
        <v>300</v>
      </c>
      <c r="F83" s="1672"/>
      <c r="G83" s="1672"/>
      <c r="H83" s="1573">
        <f>_xll.cw_map("BR","10-&gt;5346.600")</f>
        <v>0</v>
      </c>
      <c r="I83" s="1582"/>
      <c r="J83" s="1582"/>
      <c r="K83" s="1671">
        <f t="shared" si="11"/>
        <v>300</v>
      </c>
      <c r="L83" s="1573">
        <f>_xll.cw_map("BBR","10-&gt;5346")</f>
        <v>2000</v>
      </c>
    </row>
    <row r="84" spans="1:12" ht="13.5" thickBot="1" x14ac:dyDescent="0.25">
      <c r="A84" s="1380" t="s">
        <v>1470</v>
      </c>
      <c r="B84" s="1385">
        <v>4100</v>
      </c>
      <c r="C84" s="1672"/>
      <c r="D84" s="1672"/>
      <c r="E84" s="1673">
        <f>SUM(E78:E83)</f>
        <v>615036</v>
      </c>
      <c r="F84" s="1672"/>
      <c r="G84" s="1672"/>
      <c r="H84" s="1673">
        <f>SUM(H78:H83)</f>
        <v>956916</v>
      </c>
      <c r="I84" s="1582"/>
      <c r="J84" s="1582"/>
      <c r="K84" s="1673">
        <f>SUM(K78:K83)</f>
        <v>1571952</v>
      </c>
      <c r="L84" s="1673">
        <f>SUM(L78:L83)</f>
        <v>1536029</v>
      </c>
    </row>
    <row r="85" spans="1:12" ht="12.75" customHeight="1" thickTop="1" thickBot="1" x14ac:dyDescent="0.25">
      <c r="A85" s="1281" t="s">
        <v>253</v>
      </c>
      <c r="B85" s="517">
        <v>4210</v>
      </c>
      <c r="C85" s="1672"/>
      <c r="D85" s="1672"/>
      <c r="E85" s="1682"/>
      <c r="F85" s="1672"/>
      <c r="G85" s="1672"/>
      <c r="H85" s="1629">
        <f>_xll.cw_map("BR","10-&gt;5351.600")</f>
        <v>0</v>
      </c>
      <c r="I85" s="1582"/>
      <c r="J85" s="1582"/>
      <c r="K85" s="1680">
        <f>H85</f>
        <v>0</v>
      </c>
      <c r="L85" s="1625">
        <f>_xll.cw_map("BBR","10-&gt;5351")</f>
        <v>0</v>
      </c>
    </row>
    <row r="86" spans="1:12" ht="12.75" customHeight="1" thickTop="1" thickBot="1" x14ac:dyDescent="0.25">
      <c r="A86" s="1282" t="s">
        <v>693</v>
      </c>
      <c r="B86" s="518">
        <v>4220</v>
      </c>
      <c r="C86" s="1672"/>
      <c r="D86" s="1672"/>
      <c r="E86" s="1683"/>
      <c r="F86" s="1672"/>
      <c r="G86" s="1672"/>
      <c r="H86" s="1574">
        <f>_xll.cw_map("BR","10-&gt;5352.600")</f>
        <v>150595</v>
      </c>
      <c r="I86" s="1582"/>
      <c r="J86" s="1582"/>
      <c r="K86" s="1680">
        <f t="shared" ref="K86:K98" si="12">H86</f>
        <v>150595</v>
      </c>
      <c r="L86" s="1625">
        <f>_xll.cw_map("BBR","10-&gt;5352")</f>
        <v>180000</v>
      </c>
    </row>
    <row r="87" spans="1:12" ht="14.25" thickTop="1" thickBot="1" x14ac:dyDescent="0.25">
      <c r="A87" s="1283" t="s">
        <v>694</v>
      </c>
      <c r="B87" s="519">
        <v>4230</v>
      </c>
      <c r="C87" s="1672"/>
      <c r="D87" s="1672"/>
      <c r="E87" s="1683"/>
      <c r="F87" s="1672"/>
      <c r="G87" s="1672"/>
      <c r="H87" s="1574">
        <f>_xll.cw_map("BR","10-&gt;5353.600")</f>
        <v>0</v>
      </c>
      <c r="I87" s="1582"/>
      <c r="J87" s="1582"/>
      <c r="K87" s="1680">
        <f t="shared" si="12"/>
        <v>0</v>
      </c>
      <c r="L87" s="1625">
        <f>_xll.cw_map("BBR","10-&gt;5353")</f>
        <v>0</v>
      </c>
    </row>
    <row r="88" spans="1:12" ht="12.75" customHeight="1" thickTop="1" thickBot="1" x14ac:dyDescent="0.25">
      <c r="A88" s="1283" t="s">
        <v>759</v>
      </c>
      <c r="B88" s="519">
        <v>4240</v>
      </c>
      <c r="C88" s="1672"/>
      <c r="D88" s="1672"/>
      <c r="E88" s="1683"/>
      <c r="F88" s="1672"/>
      <c r="G88" s="1672"/>
      <c r="H88" s="1574">
        <f>_xll.cw_map("BR","10-&gt;5354.600")</f>
        <v>0</v>
      </c>
      <c r="I88" s="1582"/>
      <c r="J88" s="1582"/>
      <c r="K88" s="1680">
        <f t="shared" si="12"/>
        <v>0</v>
      </c>
      <c r="L88" s="1625">
        <f>_xll.cw_map("BBR","10-&gt;5354")</f>
        <v>0</v>
      </c>
    </row>
    <row r="89" spans="1:12" ht="12.75" customHeight="1" thickTop="1" thickBot="1" x14ac:dyDescent="0.25">
      <c r="A89" s="1283" t="s">
        <v>695</v>
      </c>
      <c r="B89" s="519">
        <v>4270</v>
      </c>
      <c r="C89" s="1672"/>
      <c r="D89" s="1672"/>
      <c r="E89" s="1683"/>
      <c r="F89" s="1672"/>
      <c r="G89" s="1672"/>
      <c r="H89" s="1574">
        <f>_xll.cw_map("BR","10-&gt;5356.600")</f>
        <v>0</v>
      </c>
      <c r="I89" s="1582"/>
      <c r="J89" s="1582"/>
      <c r="K89" s="1680">
        <f t="shared" si="12"/>
        <v>0</v>
      </c>
      <c r="L89" s="1625">
        <f>_xll.cw_map("BBR","10-&gt;5356")</f>
        <v>0</v>
      </c>
    </row>
    <row r="90" spans="1:12" ht="12.75" customHeight="1" thickTop="1" thickBot="1" x14ac:dyDescent="0.25">
      <c r="A90" s="1283" t="s">
        <v>680</v>
      </c>
      <c r="B90" s="519">
        <v>4280</v>
      </c>
      <c r="C90" s="1672"/>
      <c r="D90" s="1672"/>
      <c r="E90" s="1683"/>
      <c r="F90" s="1672"/>
      <c r="G90" s="1672"/>
      <c r="H90" s="1574">
        <f>_xll.cw_map("BR","10-&gt;5357.600")</f>
        <v>0</v>
      </c>
      <c r="I90" s="1582"/>
      <c r="J90" s="1582"/>
      <c r="K90" s="1680">
        <f t="shared" si="12"/>
        <v>0</v>
      </c>
      <c r="L90" s="1625">
        <f>_xll.cw_map("BBR","10-&gt;5357")</f>
        <v>0</v>
      </c>
    </row>
    <row r="91" spans="1:12" ht="12.75" customHeight="1" thickTop="1" thickBot="1" x14ac:dyDescent="0.25">
      <c r="A91" s="1283" t="s">
        <v>681</v>
      </c>
      <c r="B91" s="519">
        <v>4290</v>
      </c>
      <c r="C91" s="1672"/>
      <c r="D91" s="1672"/>
      <c r="E91" s="1683"/>
      <c r="F91" s="1672"/>
      <c r="G91" s="1672"/>
      <c r="H91" s="1574">
        <f>_xll.cw_map("BR","10-&gt;5358.600")</f>
        <v>0</v>
      </c>
      <c r="I91" s="1582"/>
      <c r="J91" s="1582"/>
      <c r="K91" s="1680">
        <f t="shared" si="12"/>
        <v>0</v>
      </c>
      <c r="L91" s="1625">
        <f>_xll.cw_map("BBR","10-&gt;5358")</f>
        <v>0</v>
      </c>
    </row>
    <row r="92" spans="1:12" ht="14.25" thickTop="1" thickBot="1" x14ac:dyDescent="0.25">
      <c r="A92" s="1386" t="s">
        <v>1545</v>
      </c>
      <c r="B92" s="1385">
        <v>4200</v>
      </c>
      <c r="C92" s="1672"/>
      <c r="D92" s="1672"/>
      <c r="E92" s="1683"/>
      <c r="F92" s="1672"/>
      <c r="G92" s="1672"/>
      <c r="H92" s="1673">
        <f>SUM(H85:H91)</f>
        <v>150595</v>
      </c>
      <c r="I92" s="1582"/>
      <c r="J92" s="1582"/>
      <c r="K92" s="1680">
        <f t="shared" si="12"/>
        <v>150595</v>
      </c>
      <c r="L92" s="1673">
        <f>SUM(L85:L91)</f>
        <v>180000</v>
      </c>
    </row>
    <row r="93" spans="1:12" ht="14.25" thickTop="1" thickBot="1" x14ac:dyDescent="0.25">
      <c r="A93" s="1282" t="s">
        <v>682</v>
      </c>
      <c r="B93" s="520">
        <v>4310</v>
      </c>
      <c r="C93" s="1672"/>
      <c r="D93" s="1672"/>
      <c r="E93" s="1683"/>
      <c r="F93" s="1672"/>
      <c r="G93" s="1672"/>
      <c r="H93" s="1684">
        <f>_xll.cw_map("BR","10-&gt;5361.600")</f>
        <v>0</v>
      </c>
      <c r="I93" s="1582"/>
      <c r="J93" s="1582"/>
      <c r="K93" s="1680">
        <f t="shared" si="12"/>
        <v>0</v>
      </c>
      <c r="L93" s="1627">
        <f>_xll.cw_map("BBR","10-&gt;5361")</f>
        <v>0</v>
      </c>
    </row>
    <row r="94" spans="1:12" ht="12.75" customHeight="1" thickTop="1" thickBot="1" x14ac:dyDescent="0.25">
      <c r="A94" s="1283" t="s">
        <v>683</v>
      </c>
      <c r="B94" s="519">
        <v>4320</v>
      </c>
      <c r="C94" s="1672"/>
      <c r="D94" s="1672"/>
      <c r="E94" s="1683"/>
      <c r="F94" s="1672"/>
      <c r="G94" s="1672"/>
      <c r="H94" s="1574">
        <f>_xll.cw_map("BR","10-&gt;5362.600")</f>
        <v>0</v>
      </c>
      <c r="I94" s="1582"/>
      <c r="J94" s="1582"/>
      <c r="K94" s="1680">
        <f t="shared" si="12"/>
        <v>0</v>
      </c>
      <c r="L94" s="1625">
        <f>_xll.cw_map("BBR","10-&gt;5362")</f>
        <v>0</v>
      </c>
    </row>
    <row r="95" spans="1:12" ht="15" customHeight="1" thickTop="1" thickBot="1" x14ac:dyDescent="0.25">
      <c r="A95" s="1283" t="s">
        <v>1473</v>
      </c>
      <c r="B95" s="519">
        <v>4330</v>
      </c>
      <c r="C95" s="1672"/>
      <c r="D95" s="1672"/>
      <c r="E95" s="1683"/>
      <c r="F95" s="1672"/>
      <c r="G95" s="1672"/>
      <c r="H95" s="1574">
        <f>_xll.cw_map("BR","10-&gt;5363.600")</f>
        <v>0</v>
      </c>
      <c r="I95" s="1582"/>
      <c r="J95" s="1582"/>
      <c r="K95" s="1680">
        <f t="shared" si="12"/>
        <v>0</v>
      </c>
      <c r="L95" s="1625">
        <f>_xll.cw_map("BBR","10-&gt;5363")</f>
        <v>0</v>
      </c>
    </row>
    <row r="96" spans="1:12" ht="14.25" thickTop="1" thickBot="1" x14ac:dyDescent="0.25">
      <c r="A96" s="1283" t="s">
        <v>684</v>
      </c>
      <c r="B96" s="519">
        <v>4340</v>
      </c>
      <c r="C96" s="1672"/>
      <c r="D96" s="1672"/>
      <c r="E96" s="1683"/>
      <c r="F96" s="1672"/>
      <c r="G96" s="1672"/>
      <c r="H96" s="1574">
        <f>_xll.cw_map("BR","10-&gt;5364.600")</f>
        <v>0</v>
      </c>
      <c r="I96" s="1582"/>
      <c r="J96" s="1582"/>
      <c r="K96" s="1680">
        <f t="shared" si="12"/>
        <v>0</v>
      </c>
      <c r="L96" s="1625">
        <f>_xll.cw_map("BBR","10-&gt;5364")</f>
        <v>0</v>
      </c>
    </row>
    <row r="97" spans="1:14" ht="12.75" customHeight="1" thickTop="1" thickBot="1" x14ac:dyDescent="0.25">
      <c r="A97" s="1283" t="s">
        <v>757</v>
      </c>
      <c r="B97" s="519">
        <v>4370</v>
      </c>
      <c r="C97" s="1672"/>
      <c r="D97" s="1672"/>
      <c r="E97" s="1683"/>
      <c r="F97" s="1672"/>
      <c r="G97" s="1672"/>
      <c r="H97" s="1574">
        <f>_xll.cw_map("BR","10-&gt;5365.600")</f>
        <v>0</v>
      </c>
      <c r="I97" s="1582"/>
      <c r="J97" s="1582"/>
      <c r="K97" s="1680">
        <f t="shared" si="12"/>
        <v>0</v>
      </c>
      <c r="L97" s="1625">
        <f>_xll.cw_map("BBR","10-&gt;5365")</f>
        <v>0</v>
      </c>
    </row>
    <row r="98" spans="1:14" ht="14.25" thickTop="1" thickBot="1" x14ac:dyDescent="0.25">
      <c r="A98" s="1283" t="s">
        <v>758</v>
      </c>
      <c r="B98" s="519">
        <v>4380</v>
      </c>
      <c r="C98" s="1672"/>
      <c r="D98" s="1672"/>
      <c r="E98" s="1685"/>
      <c r="F98" s="1672"/>
      <c r="G98" s="1672"/>
      <c r="H98" s="1574">
        <f>_xll.cw_map("BR","10-&gt;5367.600")</f>
        <v>0</v>
      </c>
      <c r="I98" s="1582"/>
      <c r="J98" s="1582"/>
      <c r="K98" s="1680">
        <f t="shared" si="12"/>
        <v>0</v>
      </c>
      <c r="L98" s="1625">
        <f>_xll.cw_map("BBR","10-&gt;5367")</f>
        <v>0</v>
      </c>
    </row>
    <row r="99" spans="1:14" ht="14.25" thickTop="1" thickBot="1" x14ac:dyDescent="0.25">
      <c r="A99" s="1283" t="s">
        <v>363</v>
      </c>
      <c r="B99" s="519">
        <v>4390</v>
      </c>
      <c r="C99" s="1672"/>
      <c r="D99" s="1672"/>
      <c r="E99" s="1627">
        <f>_xll.cw_map("BR","10-&gt;5368.300")</f>
        <v>0</v>
      </c>
      <c r="F99" s="1672"/>
      <c r="G99" s="1672"/>
      <c r="H99" s="1574">
        <f>_xll.cw_map("BR","10-&gt;5368.600")</f>
        <v>0</v>
      </c>
      <c r="I99" s="1582"/>
      <c r="J99" s="1582"/>
      <c r="K99" s="1680">
        <f>SUM(E99,H99)</f>
        <v>0</v>
      </c>
      <c r="L99" s="1625">
        <f>_xll.cw_map("BBR","10-&gt;5368")</f>
        <v>0</v>
      </c>
    </row>
    <row r="100" spans="1:14" ht="14.25" thickTop="1" thickBot="1" x14ac:dyDescent="0.25">
      <c r="A100" s="1386" t="s">
        <v>1471</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1474</v>
      </c>
      <c r="B101" s="521" t="s">
        <v>924</v>
      </c>
      <c r="C101" s="1672"/>
      <c r="D101" s="1672"/>
      <c r="E101" s="1626">
        <f>_xll.cw_map("BR","10-&gt;5369.300")</f>
        <v>0</v>
      </c>
      <c r="F101" s="1672"/>
      <c r="G101" s="1672"/>
      <c r="H101" s="1626">
        <f>_xll.cw_map("BR","10-&gt;5369.600")</f>
        <v>0</v>
      </c>
      <c r="I101" s="1582"/>
      <c r="J101" s="1582"/>
      <c r="K101" s="1686">
        <f>SUM(C101:J101)</f>
        <v>0</v>
      </c>
      <c r="L101" s="1625">
        <f>_xll.cw_map("BBR","10-&gt;5369.600")</f>
        <v>0</v>
      </c>
    </row>
    <row r="102" spans="1:14" ht="12.75" customHeight="1" thickTop="1" thickBot="1" x14ac:dyDescent="0.25">
      <c r="A102" s="1380" t="s">
        <v>1472</v>
      </c>
      <c r="B102" s="1385">
        <v>4000</v>
      </c>
      <c r="C102" s="1672"/>
      <c r="D102" s="1672"/>
      <c r="E102" s="1680">
        <f>SUM(E84,E92,E100,E101)</f>
        <v>615036</v>
      </c>
      <c r="F102" s="1672"/>
      <c r="G102" s="1672"/>
      <c r="H102" s="1680">
        <f>SUM(H84,H92,H100,H101)</f>
        <v>1107511</v>
      </c>
      <c r="I102" s="1582"/>
      <c r="J102" s="1582"/>
      <c r="K102" s="1680">
        <f>SUM(K84,K92,K100,K101)</f>
        <v>1722547</v>
      </c>
      <c r="L102" s="1680">
        <f>SUM(L84,L92,L100,L101)</f>
        <v>1716029</v>
      </c>
    </row>
    <row r="103" spans="1:14" s="516" customFormat="1" ht="15.75" customHeight="1" thickTop="1" x14ac:dyDescent="0.2">
      <c r="A103" s="1350" t="s">
        <v>509</v>
      </c>
      <c r="B103" s="1347" t="s">
        <v>488</v>
      </c>
      <c r="C103" s="1672"/>
      <c r="D103" s="1672"/>
      <c r="E103" s="1672"/>
      <c r="F103" s="1672"/>
      <c r="G103" s="1672"/>
      <c r="H103" s="1674"/>
      <c r="I103" s="1575"/>
      <c r="J103" s="1575"/>
      <c r="K103" s="1674"/>
      <c r="L103" s="1674"/>
      <c r="M103" s="179"/>
      <c r="N103" s="179"/>
    </row>
    <row r="104" spans="1:14" s="524" customFormat="1" ht="15.75" customHeight="1" x14ac:dyDescent="0.2">
      <c r="A104" s="522" t="s">
        <v>610</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f>_xll.cw_map("BR","10-&gt;5402.110")</f>
        <v>0</v>
      </c>
      <c r="I105" s="1575"/>
      <c r="J105" s="1575"/>
      <c r="K105" s="1671">
        <f>H105</f>
        <v>0</v>
      </c>
      <c r="L105" s="1586">
        <f>_xll.cw_map("BBR","10-&gt;5402.110")</f>
        <v>0</v>
      </c>
      <c r="M105" s="205"/>
      <c r="N105" s="205"/>
    </row>
    <row r="106" spans="1:14" s="493" customFormat="1" x14ac:dyDescent="0.2">
      <c r="A106" s="1274" t="s">
        <v>88</v>
      </c>
      <c r="B106" s="503">
        <v>5120</v>
      </c>
      <c r="C106" s="1672"/>
      <c r="D106" s="1672"/>
      <c r="E106" s="1672"/>
      <c r="F106" s="1672"/>
      <c r="G106" s="1672"/>
      <c r="H106" s="1573">
        <f>_xll.cw_map("BR","10-&gt;5402.120")</f>
        <v>0</v>
      </c>
      <c r="I106" s="1575"/>
      <c r="J106" s="1575"/>
      <c r="K106" s="1671">
        <f>H106</f>
        <v>0</v>
      </c>
      <c r="L106" s="1573">
        <f>_xll.cw_map("BBR","10-&gt;5402.120")</f>
        <v>0</v>
      </c>
      <c r="M106" s="205"/>
      <c r="N106" s="205"/>
    </row>
    <row r="107" spans="1:14" s="493" customFormat="1" ht="12.75" customHeight="1" x14ac:dyDescent="0.2">
      <c r="A107" s="1274" t="s">
        <v>1161</v>
      </c>
      <c r="B107" s="503">
        <v>5130</v>
      </c>
      <c r="C107" s="1672"/>
      <c r="D107" s="1672"/>
      <c r="E107" s="1672"/>
      <c r="F107" s="1672"/>
      <c r="G107" s="1672"/>
      <c r="H107" s="1573">
        <f>_xll.cw_map("BR","10-&gt;5402.130")</f>
        <v>0</v>
      </c>
      <c r="I107" s="1575"/>
      <c r="J107" s="1575"/>
      <c r="K107" s="1671">
        <f>H107</f>
        <v>0</v>
      </c>
      <c r="L107" s="1573">
        <f>_xll.cw_map("BBR","10-&gt;5402.130")</f>
        <v>0</v>
      </c>
      <c r="M107" s="205"/>
      <c r="N107" s="205"/>
    </row>
    <row r="108" spans="1:14" s="493" customFormat="1" x14ac:dyDescent="0.2">
      <c r="A108" s="1274" t="s">
        <v>89</v>
      </c>
      <c r="B108" s="503" t="s">
        <v>584</v>
      </c>
      <c r="C108" s="1672"/>
      <c r="D108" s="1672"/>
      <c r="E108" s="1672"/>
      <c r="F108" s="1672"/>
      <c r="G108" s="1672"/>
      <c r="H108" s="1573">
        <f>_xll.cw_map("BR","10-&gt;5402.140")</f>
        <v>0</v>
      </c>
      <c r="I108" s="1575"/>
      <c r="J108" s="1575"/>
      <c r="K108" s="1671">
        <f>H108</f>
        <v>0</v>
      </c>
      <c r="L108" s="1573">
        <f>_xll.cw_map("BBR","10-&gt;5402.140")</f>
        <v>0</v>
      </c>
      <c r="M108" s="205"/>
      <c r="N108" s="205"/>
    </row>
    <row r="109" spans="1:14" s="493" customFormat="1" x14ac:dyDescent="0.2">
      <c r="A109" s="1274" t="s">
        <v>252</v>
      </c>
      <c r="B109" s="512">
        <v>5150</v>
      </c>
      <c r="C109" s="1672"/>
      <c r="D109" s="1672"/>
      <c r="E109" s="1672"/>
      <c r="F109" s="1672"/>
      <c r="G109" s="1672"/>
      <c r="H109" s="1573">
        <f>_xll.cw_map("BR","10-&gt;5402.150")</f>
        <v>0</v>
      </c>
      <c r="I109" s="1575"/>
      <c r="J109" s="1575"/>
      <c r="K109" s="1671">
        <f>H109</f>
        <v>0</v>
      </c>
      <c r="L109" s="1573">
        <f>_xll.cw_map("BBR","10-&gt;5402.150")</f>
        <v>0</v>
      </c>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f>_xll.cw_map("BR","10-&gt;5401.120")</f>
        <v>0</v>
      </c>
      <c r="I111" s="1575"/>
      <c r="J111" s="1575"/>
      <c r="K111" s="1687">
        <f>H111</f>
        <v>0</v>
      </c>
      <c r="L111" s="1627">
        <f>_xll.cw_map("BBR","10-&gt;5401.120")</f>
        <v>0</v>
      </c>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5"/>
      <c r="J113" s="1575"/>
      <c r="K113" s="1675"/>
      <c r="L113" s="1626">
        <f>_xll.cw_map("BBR","10-&gt;5410.100")</f>
        <v>0</v>
      </c>
      <c r="M113" s="502"/>
      <c r="N113" s="502"/>
    </row>
    <row r="114" spans="1:14" ht="12.75" customHeight="1" thickTop="1" thickBot="1" x14ac:dyDescent="0.25">
      <c r="A114" s="1380" t="s">
        <v>48</v>
      </c>
      <c r="B114" s="1388"/>
      <c r="C114" s="1673">
        <f>SUM(C33,C74,C75,C102,C112,C113)</f>
        <v>12563539</v>
      </c>
      <c r="D114" s="1673">
        <f t="shared" ref="D114:K114" si="13">SUM(D33,D74,D75,D102,D112,D113)</f>
        <v>2175220</v>
      </c>
      <c r="E114" s="1673">
        <f t="shared" si="13"/>
        <v>1653778</v>
      </c>
      <c r="F114" s="1673">
        <f t="shared" si="13"/>
        <v>700100</v>
      </c>
      <c r="G114" s="1673">
        <f t="shared" si="13"/>
        <v>1664230</v>
      </c>
      <c r="H114" s="1673">
        <f>SUM(H33,H74,H75,H102,H112,H113)</f>
        <v>1126761</v>
      </c>
      <c r="I114" s="1673">
        <f t="shared" si="13"/>
        <v>0</v>
      </c>
      <c r="J114" s="1673">
        <f t="shared" si="13"/>
        <v>0</v>
      </c>
      <c r="K114" s="1673">
        <f t="shared" si="13"/>
        <v>19883628</v>
      </c>
      <c r="L114" s="1673">
        <f>SUM(L33,L74,L75,L102,L112,L113)</f>
        <v>20079786</v>
      </c>
    </row>
    <row r="115" spans="1:14" ht="13.5" thickTop="1" x14ac:dyDescent="0.2">
      <c r="A115" s="2295" t="s">
        <v>988</v>
      </c>
      <c r="B115" s="2296"/>
      <c r="C115" s="1674"/>
      <c r="D115" s="1674"/>
      <c r="E115" s="1674"/>
      <c r="F115" s="1674"/>
      <c r="G115" s="1674"/>
      <c r="H115" s="1674"/>
      <c r="I115" s="1674"/>
      <c r="J115" s="1674"/>
      <c r="K115" s="1688">
        <f>'Revenues 9-14'!C268-'Expenditures 15-22'!K114</f>
        <v>-1761082</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300" t="s">
        <v>292</v>
      </c>
      <c r="B117" s="2301"/>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1962</v>
      </c>
      <c r="B120" s="512" t="s">
        <v>710</v>
      </c>
      <c r="C120" s="1573">
        <f>_xll.cw_map("BR","20-&gt;520?.100")</f>
        <v>0</v>
      </c>
      <c r="D120" s="1573">
        <f>_xll.cw_map("BR","20-&gt;520?.200")</f>
        <v>0</v>
      </c>
      <c r="E120" s="1573">
        <f>_xll.cw_map("BR","20-&gt;520?.300")</f>
        <v>0</v>
      </c>
      <c r="F120" s="1573">
        <f>_xll.cw_map("BR","20-&gt;520?.400")</f>
        <v>0</v>
      </c>
      <c r="G120" s="1573">
        <f>_xll.cw_map("BR","20-&gt;520?.500")</f>
        <v>0</v>
      </c>
      <c r="H120" s="1573">
        <f>_xll.cw_map("BR","20-&gt;520?.600")</f>
        <v>0</v>
      </c>
      <c r="I120" s="1574">
        <f>_xll.cw_map("BR","20-&gt;520?.700")</f>
        <v>0</v>
      </c>
      <c r="J120" s="1574">
        <f>_xll.cw_map("BR","20-&gt;520?.800")</f>
        <v>0</v>
      </c>
      <c r="K120" s="1671">
        <f>SUM(C120:J120)</f>
        <v>0</v>
      </c>
      <c r="L120" s="1573">
        <f>_xll.cw_map("BBR","20-&gt;520?")</f>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3">
        <f>_xll.cw_map("BR","20-&gt;5241.100")</f>
        <v>0</v>
      </c>
      <c r="D122" s="1573">
        <f>_xll.cw_map("BR","20-&gt;5241.200")</f>
        <v>0</v>
      </c>
      <c r="E122" s="1573">
        <f>_xll.cw_map("BR","20-&gt;5241.300")</f>
        <v>0</v>
      </c>
      <c r="F122" s="1573">
        <f>_xll.cw_map("BR","20-&gt;5241.400")</f>
        <v>0</v>
      </c>
      <c r="G122" s="1573">
        <f>_xll.cw_map("BR","20-&gt;5241.500")</f>
        <v>0</v>
      </c>
      <c r="H122" s="1573">
        <f>_xll.cw_map("BR","20-&gt;5241.600")</f>
        <v>0</v>
      </c>
      <c r="I122" s="1574">
        <f>_xll.cw_map("BR","20-&gt;5241.700")</f>
        <v>0</v>
      </c>
      <c r="J122" s="1574">
        <f>_xll.cw_map("BR","20-&gt;5241.800")</f>
        <v>0</v>
      </c>
      <c r="K122" s="1673">
        <f>SUM(C122:J122)</f>
        <v>0</v>
      </c>
      <c r="L122" s="1573">
        <f>_xll.cw_map("BBR","20-&gt;5241")</f>
        <v>0</v>
      </c>
    </row>
    <row r="123" spans="1:14" ht="14.25" thickTop="1" thickBot="1" x14ac:dyDescent="0.25">
      <c r="A123" s="1274" t="s">
        <v>4</v>
      </c>
      <c r="B123" s="503">
        <v>2530</v>
      </c>
      <c r="C123" s="1573">
        <f>_xll.cw_map("BR","20-&gt;5245.100")</f>
        <v>0</v>
      </c>
      <c r="D123" s="1573">
        <f>_xll.cw_map("BR","20-&gt;5245.200")</f>
        <v>0</v>
      </c>
      <c r="E123" s="1573">
        <f>_xll.cw_map("BR","20-&gt;5245.300")</f>
        <v>0</v>
      </c>
      <c r="F123" s="1573">
        <f>_xll.cw_map("BR","20-&gt;5245.400")</f>
        <v>0</v>
      </c>
      <c r="G123" s="1573">
        <f>_xll.cw_map("BR","20-&gt;5245.500")</f>
        <v>0</v>
      </c>
      <c r="H123" s="1573">
        <f>_xll.cw_map("BR","20-&gt;5245.600")</f>
        <v>0</v>
      </c>
      <c r="I123" s="1574">
        <f>_xll.cw_map("BR","20-&gt;5245.700")</f>
        <v>0</v>
      </c>
      <c r="J123" s="1574">
        <f>_xll.cw_map("BR","20-&gt;5245.800")</f>
        <v>0</v>
      </c>
      <c r="K123" s="1673">
        <f>SUM(C123:J123)</f>
        <v>0</v>
      </c>
      <c r="L123" s="1573">
        <f>_xll.cw_map("BBR","20-&gt;5245")</f>
        <v>0</v>
      </c>
    </row>
    <row r="124" spans="1:14" ht="14.25" thickTop="1" thickBot="1" x14ac:dyDescent="0.25">
      <c r="A124" s="1274" t="s">
        <v>195</v>
      </c>
      <c r="B124" s="503">
        <v>2540</v>
      </c>
      <c r="C124" s="1573">
        <f>_xll.cw_map("BR","20-&gt;5243.100")</f>
        <v>248619</v>
      </c>
      <c r="D124" s="1573">
        <f>_xll.cw_map("BR","20-&gt;5243.200")</f>
        <v>60002</v>
      </c>
      <c r="E124" s="1573">
        <f>_xll.cw_map("BR","20-&gt;5243.300")</f>
        <v>782445</v>
      </c>
      <c r="F124" s="1573">
        <f>_xll.cw_map("BR","20-&gt;5243.400")</f>
        <v>360110</v>
      </c>
      <c r="G124" s="1573">
        <f>_xll.cw_map("BR","20-&gt;5243.500")</f>
        <v>244392</v>
      </c>
      <c r="H124" s="1573">
        <f>_xll.cw_map("BR","20-&gt;5243.600")</f>
        <v>0</v>
      </c>
      <c r="I124" s="1574">
        <f>_xll.cw_map("BR","20-&gt;5243.700")</f>
        <v>0</v>
      </c>
      <c r="J124" s="1574">
        <f>_xll.cw_map("BR","20-&gt;5243.800")</f>
        <v>0</v>
      </c>
      <c r="K124" s="1673">
        <f>SUM(C124:J124)</f>
        <v>1695568</v>
      </c>
      <c r="L124" s="1573">
        <f>_xll.cw_map("BBR","20-&gt;5243")</f>
        <v>1834042</v>
      </c>
    </row>
    <row r="125" spans="1:14" ht="14.25" thickTop="1" thickBot="1" x14ac:dyDescent="0.25">
      <c r="A125" s="1274" t="s">
        <v>946</v>
      </c>
      <c r="B125" s="503">
        <v>2550</v>
      </c>
      <c r="C125" s="1573">
        <f>_xll.cw_map("BR","20-&gt;5244.100")</f>
        <v>0</v>
      </c>
      <c r="D125" s="1573">
        <f>_xll.cw_map("BR","20-&gt;5244.200")</f>
        <v>0</v>
      </c>
      <c r="E125" s="1573">
        <f>_xll.cw_map("BR","20-&gt;5244.300")</f>
        <v>0</v>
      </c>
      <c r="F125" s="1573">
        <f>_xll.cw_map("BR","20-&gt;5244.400")</f>
        <v>0</v>
      </c>
      <c r="G125" s="1573">
        <f>_xll.cw_map("BR","20-&gt;5244.500")</f>
        <v>0</v>
      </c>
      <c r="H125" s="1573">
        <f>_xll.cw_map("BR","20-&gt;5244.600")</f>
        <v>0</v>
      </c>
      <c r="I125" s="1574">
        <f>_xll.cw_map("BR","20-&gt;5244.700")</f>
        <v>0</v>
      </c>
      <c r="J125" s="1574">
        <f>_xll.cw_map("BR","20-&gt;5244.800")</f>
        <v>0</v>
      </c>
      <c r="K125" s="1673">
        <f>SUM(C125:J125)</f>
        <v>0</v>
      </c>
      <c r="L125" s="1573">
        <f>_xll.cw_map("BBR","20-&gt;5244")</f>
        <v>0</v>
      </c>
    </row>
    <row r="126" spans="1:14" ht="14.25" thickTop="1" thickBot="1" x14ac:dyDescent="0.25">
      <c r="A126" s="1274" t="s">
        <v>100</v>
      </c>
      <c r="B126" s="503">
        <v>2560</v>
      </c>
      <c r="C126" s="1693"/>
      <c r="D126" s="1693"/>
      <c r="E126" s="1693"/>
      <c r="F126" s="1693"/>
      <c r="G126" s="1573">
        <f>_xll.cw_map("BR","20-&gt;5246.500")</f>
        <v>0</v>
      </c>
      <c r="H126" s="1693"/>
      <c r="I126" s="1579">
        <f>_xll.cw_map("BR","20-&gt;5246.700")</f>
        <v>0</v>
      </c>
      <c r="J126" s="1672"/>
      <c r="K126" s="1673">
        <f>SUM(C126:J126)</f>
        <v>0</v>
      </c>
      <c r="L126" s="1573">
        <f>_xll.cw_map("BBR","20-&gt;5246")</f>
        <v>0</v>
      </c>
    </row>
    <row r="127" spans="1:14" ht="12.75" customHeight="1" thickTop="1" thickBot="1" x14ac:dyDescent="0.25">
      <c r="A127" s="1380" t="s">
        <v>713</v>
      </c>
      <c r="B127" s="1381" t="s">
        <v>35</v>
      </c>
      <c r="C127" s="1673">
        <f>SUM(C122:C126)</f>
        <v>248619</v>
      </c>
      <c r="D127" s="1673">
        <f t="shared" ref="D127:L127" si="14">SUM(D122:D126)</f>
        <v>60002</v>
      </c>
      <c r="E127" s="1673">
        <f t="shared" si="14"/>
        <v>782445</v>
      </c>
      <c r="F127" s="1673">
        <f t="shared" si="14"/>
        <v>360110</v>
      </c>
      <c r="G127" s="1673">
        <f t="shared" si="14"/>
        <v>244392</v>
      </c>
      <c r="H127" s="1673">
        <f t="shared" si="14"/>
        <v>0</v>
      </c>
      <c r="I127" s="1673">
        <f t="shared" si="14"/>
        <v>0</v>
      </c>
      <c r="J127" s="1673">
        <f t="shared" si="14"/>
        <v>0</v>
      </c>
      <c r="K127" s="1673">
        <f t="shared" si="14"/>
        <v>1695568</v>
      </c>
      <c r="L127" s="1673">
        <f t="shared" si="14"/>
        <v>1834042</v>
      </c>
    </row>
    <row r="128" spans="1:14" ht="12.75" customHeight="1" thickTop="1" x14ac:dyDescent="0.2">
      <c r="A128" s="1281" t="s">
        <v>972</v>
      </c>
      <c r="B128" s="531" t="s">
        <v>569</v>
      </c>
      <c r="C128" s="1694">
        <f>_xll.cw_map("BR","20-&gt;5248.100")</f>
        <v>0</v>
      </c>
      <c r="D128" s="1694">
        <f>_xll.cw_map("BR","20-&gt;5248.200")</f>
        <v>0</v>
      </c>
      <c r="E128" s="1694">
        <f>_xll.cw_map("BR","20-&gt;5248.300")</f>
        <v>0</v>
      </c>
      <c r="F128" s="1694">
        <f>_xll.cw_map("BR","20-&gt;5248.400")</f>
        <v>0</v>
      </c>
      <c r="G128" s="1694">
        <f>_xll.cw_map("BR","20-&gt;5248.500")</f>
        <v>0</v>
      </c>
      <c r="H128" s="1694">
        <f>_xll.cw_map("BR","20-&gt;5248.600")</f>
        <v>0</v>
      </c>
      <c r="I128" s="1629">
        <f>_xll.cw_map("BR","20-&gt;5248.700")</f>
        <v>0</v>
      </c>
      <c r="J128" s="1629">
        <f>_xll.cw_map("BR","20-&gt;5248.800")</f>
        <v>0</v>
      </c>
      <c r="K128" s="1695">
        <f>SUM(C128:J128)</f>
        <v>0</v>
      </c>
      <c r="L128" s="1694">
        <f>_xll.cw_map("BBR","20-&gt;5248")</f>
        <v>0</v>
      </c>
    </row>
    <row r="129" spans="1:14" ht="12.75" customHeight="1" thickBot="1" x14ac:dyDescent="0.25">
      <c r="A129" s="1389" t="s">
        <v>805</v>
      </c>
      <c r="B129" s="1390" t="s">
        <v>564</v>
      </c>
      <c r="C129" s="1680">
        <f>SUM(C120,C127,C128)</f>
        <v>248619</v>
      </c>
      <c r="D129" s="1680">
        <f t="shared" ref="D129:L129" si="15">SUM(D120,D127,D128)</f>
        <v>60002</v>
      </c>
      <c r="E129" s="1680">
        <f t="shared" si="15"/>
        <v>782445</v>
      </c>
      <c r="F129" s="1680">
        <f t="shared" si="15"/>
        <v>360110</v>
      </c>
      <c r="G129" s="1680">
        <f t="shared" si="15"/>
        <v>244392</v>
      </c>
      <c r="H129" s="1680">
        <f t="shared" si="15"/>
        <v>0</v>
      </c>
      <c r="I129" s="1680">
        <f t="shared" si="15"/>
        <v>0</v>
      </c>
      <c r="J129" s="1680">
        <f t="shared" si="15"/>
        <v>0</v>
      </c>
      <c r="K129" s="1680">
        <f t="shared" si="15"/>
        <v>1695568</v>
      </c>
      <c r="L129" s="1680">
        <f t="shared" si="15"/>
        <v>1834042</v>
      </c>
    </row>
    <row r="130" spans="1:14" ht="15.75" customHeight="1" thickTop="1" thickBot="1" x14ac:dyDescent="0.25">
      <c r="A130" s="1348" t="s">
        <v>1028</v>
      </c>
      <c r="B130" s="1349" t="s">
        <v>570</v>
      </c>
      <c r="C130" s="1650">
        <f>_xll.cw_map("BR","20-&gt;5320.100")</f>
        <v>0</v>
      </c>
      <c r="D130" s="1650">
        <f>_xll.cw_map("BR","20-&gt;5320.200")</f>
        <v>0</v>
      </c>
      <c r="E130" s="1650">
        <f>_xll.cw_map("BR","20-&gt;5320.300")</f>
        <v>0</v>
      </c>
      <c r="F130" s="1650">
        <f>_xll.cw_map("BR","20-&gt;5320.400")</f>
        <v>0</v>
      </c>
      <c r="G130" s="1650">
        <f>_xll.cw_map("BR","20-&gt;5320.500")</f>
        <v>0</v>
      </c>
      <c r="H130" s="1650">
        <f>_xll.cw_map("BR","20-&gt;5320.600")</f>
        <v>0</v>
      </c>
      <c r="I130" s="1626">
        <f>_xll.cw_map("BR","20-&gt;5320.700")</f>
        <v>0</v>
      </c>
      <c r="J130" s="1626">
        <f>_xll.cw_map("BR","20-&gt;5320.800")</f>
        <v>0</v>
      </c>
      <c r="K130" s="1673">
        <f>SUM(C130:J130)</f>
        <v>0</v>
      </c>
      <c r="L130" s="1650">
        <f>_xll.cw_map("BBR","20-&gt;5320")</f>
        <v>0</v>
      </c>
    </row>
    <row r="131" spans="1:14" ht="15.75" customHeight="1" thickTop="1" x14ac:dyDescent="0.2">
      <c r="A131" s="1354" t="s">
        <v>611</v>
      </c>
      <c r="B131" s="1347" t="s">
        <v>854</v>
      </c>
      <c r="C131" s="1575"/>
      <c r="D131" s="1575"/>
      <c r="E131" s="1644"/>
      <c r="F131" s="1575"/>
      <c r="G131" s="1575"/>
      <c r="H131" s="1644"/>
      <c r="I131" s="1575"/>
      <c r="J131" s="1575"/>
      <c r="K131" s="1644"/>
      <c r="L131" s="1644"/>
    </row>
    <row r="132" spans="1:14" s="361" customFormat="1" ht="13.5" customHeight="1" x14ac:dyDescent="0.2">
      <c r="A132" s="532" t="s">
        <v>609</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492</v>
      </c>
      <c r="B133" s="1474" t="s">
        <v>1815</v>
      </c>
      <c r="C133" s="1575"/>
      <c r="D133" s="1575"/>
      <c r="E133" s="1684">
        <f>_xll.cw_map("BR","20-&gt;5341.300")</f>
        <v>0</v>
      </c>
      <c r="F133" s="1575"/>
      <c r="G133" s="1575"/>
      <c r="H133" s="1684">
        <f>_xll.cw_map("BR","20-&gt;5341.600")</f>
        <v>0</v>
      </c>
      <c r="I133" s="1575"/>
      <c r="J133" s="1575"/>
      <c r="K133" s="1696">
        <f>SUM(E133,H133)</f>
        <v>0</v>
      </c>
      <c r="L133" s="1684">
        <f>_xll.cw_map("BBR","20-&gt;5341")</f>
        <v>0</v>
      </c>
      <c r="M133" s="201"/>
      <c r="N133" s="201"/>
    </row>
    <row r="134" spans="1:14" x14ac:dyDescent="0.2">
      <c r="A134" s="1274" t="s">
        <v>300</v>
      </c>
      <c r="B134" s="503">
        <v>4120</v>
      </c>
      <c r="C134" s="1672"/>
      <c r="D134" s="1672"/>
      <c r="E134" s="1583">
        <f>_xll.cw_map("BR","20-&gt;5342.300")</f>
        <v>0</v>
      </c>
      <c r="F134" s="1672"/>
      <c r="G134" s="1672"/>
      <c r="H134" s="1586">
        <f>_xll.cw_map("BR","20-&gt;5342.600")</f>
        <v>0</v>
      </c>
      <c r="I134" s="1582"/>
      <c r="J134" s="1672"/>
      <c r="K134" s="1677">
        <f>SUM(E134,H134)</f>
        <v>0</v>
      </c>
      <c r="L134" s="1586">
        <f>_xll.cw_map("BBR","20-&gt;5342")</f>
        <v>0</v>
      </c>
    </row>
    <row r="135" spans="1:14" x14ac:dyDescent="0.2">
      <c r="A135" s="1274" t="s">
        <v>691</v>
      </c>
      <c r="B135" s="503">
        <v>4140</v>
      </c>
      <c r="C135" s="1672"/>
      <c r="D135" s="1672"/>
      <c r="E135" s="1574">
        <f>_xll.cw_map("BR","20-&gt;5344.300")</f>
        <v>0</v>
      </c>
      <c r="F135" s="1672"/>
      <c r="G135" s="1672"/>
      <c r="H135" s="1573">
        <f>_xll.cw_map("BR","20-&gt;5344.600")</f>
        <v>0</v>
      </c>
      <c r="I135" s="1582"/>
      <c r="J135" s="1672"/>
      <c r="K135" s="1677">
        <f>SUM(E135,H135)</f>
        <v>0</v>
      </c>
      <c r="L135" s="1573">
        <f>_xll.cw_map("BBR","20-&gt;5344")</f>
        <v>0</v>
      </c>
    </row>
    <row r="136" spans="1:14" x14ac:dyDescent="0.2">
      <c r="A136" s="1278" t="s">
        <v>692</v>
      </c>
      <c r="B136" s="512">
        <v>4190</v>
      </c>
      <c r="C136" s="1672"/>
      <c r="D136" s="1672"/>
      <c r="E136" s="1574">
        <f>_xll.cw_map("BR","20-&gt;5346.300")</f>
        <v>0</v>
      </c>
      <c r="F136" s="1672"/>
      <c r="G136" s="1672"/>
      <c r="H136" s="1573">
        <f>_xll.cw_map("BR","20-&gt;5346.600")</f>
        <v>0</v>
      </c>
      <c r="I136" s="1582"/>
      <c r="J136" s="1672"/>
      <c r="K136" s="1677">
        <f>SUM(E136,H136)</f>
        <v>0</v>
      </c>
      <c r="L136" s="1573">
        <f>_xll.cw_map("BBR","20-&gt;5346")</f>
        <v>0</v>
      </c>
    </row>
    <row r="137" spans="1:14" ht="12.75" customHeight="1" thickBot="1" x14ac:dyDescent="0.25">
      <c r="A137" s="1380" t="s">
        <v>476</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924</v>
      </c>
      <c r="C138" s="1672"/>
      <c r="D138" s="1672"/>
      <c r="E138" s="1584">
        <f>_xll.cw_map("BR","20-&gt;5369.300")</f>
        <v>0</v>
      </c>
      <c r="F138" s="1672"/>
      <c r="G138" s="1672"/>
      <c r="H138" s="1650">
        <f>_xll.cw_map("BR","20-&gt;5369.600")</f>
        <v>0</v>
      </c>
      <c r="I138" s="1582"/>
      <c r="J138" s="1672"/>
      <c r="K138" s="1677">
        <f>SUM(E138,H138)</f>
        <v>0</v>
      </c>
      <c r="L138" s="1650">
        <f>_xll.cw_map("BBR","20-&gt;5369")</f>
        <v>0</v>
      </c>
    </row>
    <row r="139" spans="1:14" ht="12.75" customHeight="1" thickTop="1" thickBot="1" x14ac:dyDescent="0.25">
      <c r="A139" s="1380" t="s">
        <v>1472</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2"/>
      <c r="J140" s="1683"/>
      <c r="K140" s="1682"/>
      <c r="L140" s="1682"/>
    </row>
    <row r="141" spans="1:14" ht="15.75" customHeight="1" x14ac:dyDescent="0.2">
      <c r="A141" s="530" t="s">
        <v>610</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f>_xll.cw_map("BR","20-&gt;5402.110")</f>
        <v>0</v>
      </c>
      <c r="I142" s="1575"/>
      <c r="J142" s="1672"/>
      <c r="K142" s="1677">
        <f>SUM(H142)</f>
        <v>0</v>
      </c>
      <c r="L142" s="1586">
        <f>_xll.cw_map("BBR","20-&gt;5402.110")</f>
        <v>0</v>
      </c>
    </row>
    <row r="143" spans="1:14" x14ac:dyDescent="0.2">
      <c r="A143" s="1274" t="s">
        <v>88</v>
      </c>
      <c r="B143" s="503">
        <v>5120</v>
      </c>
      <c r="C143" s="1672"/>
      <c r="D143" s="1672"/>
      <c r="E143" s="1672"/>
      <c r="F143" s="1672"/>
      <c r="G143" s="1672"/>
      <c r="H143" s="1573">
        <f>_xll.cw_map("BR","20-&gt;5402.120")</f>
        <v>0</v>
      </c>
      <c r="I143" s="1575"/>
      <c r="J143" s="1672"/>
      <c r="K143" s="1677">
        <f>SUM(H143)</f>
        <v>0</v>
      </c>
      <c r="L143" s="1573">
        <f>_xll.cw_map("BBR","20-&gt;5402.120")</f>
        <v>0</v>
      </c>
    </row>
    <row r="144" spans="1:14" ht="12.75" customHeight="1" x14ac:dyDescent="0.2">
      <c r="A144" s="1274" t="s">
        <v>1161</v>
      </c>
      <c r="B144" s="512" t="s">
        <v>612</v>
      </c>
      <c r="C144" s="1672"/>
      <c r="D144" s="1672"/>
      <c r="E144" s="1672"/>
      <c r="F144" s="1672"/>
      <c r="G144" s="1672"/>
      <c r="H144" s="1573">
        <f>_xll.cw_map("BR","20-&gt;5402.130")</f>
        <v>0</v>
      </c>
      <c r="I144" s="1575"/>
      <c r="J144" s="1672"/>
      <c r="K144" s="1677">
        <f>SUM(H144)</f>
        <v>0</v>
      </c>
      <c r="L144" s="1573">
        <f>_xll.cw_map("BBR","20-&gt;5402.130")</f>
        <v>0</v>
      </c>
    </row>
    <row r="145" spans="1:14" x14ac:dyDescent="0.2">
      <c r="A145" s="1274" t="s">
        <v>89</v>
      </c>
      <c r="B145" s="503" t="s">
        <v>584</v>
      </c>
      <c r="C145" s="1672"/>
      <c r="D145" s="1672"/>
      <c r="E145" s="1672"/>
      <c r="F145" s="1672"/>
      <c r="G145" s="1672"/>
      <c r="H145" s="1573">
        <f>_xll.cw_map("BR","20-&gt;5402.140")</f>
        <v>0</v>
      </c>
      <c r="I145" s="1575"/>
      <c r="J145" s="1672"/>
      <c r="K145" s="1677">
        <f>SUM(H145)</f>
        <v>0</v>
      </c>
      <c r="L145" s="1573">
        <f>_xll.cw_map("BBR","20-&gt;5402.140")</f>
        <v>0</v>
      </c>
    </row>
    <row r="146" spans="1:14" ht="12.75" customHeight="1" x14ac:dyDescent="0.2">
      <c r="A146" s="1274" t="s">
        <v>614</v>
      </c>
      <c r="B146" s="503" t="s">
        <v>613</v>
      </c>
      <c r="C146" s="1672"/>
      <c r="D146" s="1672"/>
      <c r="E146" s="1672"/>
      <c r="F146" s="1672"/>
      <c r="G146" s="1672"/>
      <c r="H146" s="1573">
        <f>_xll.cw_map("BR","20-&gt;5402.150")</f>
        <v>0</v>
      </c>
      <c r="I146" s="1575"/>
      <c r="J146" s="1672"/>
      <c r="K146" s="1677">
        <f>SUM(H146)</f>
        <v>0</v>
      </c>
      <c r="L146" s="1573">
        <f>_xll.cw_map("BBR","20-&gt;5402.150")</f>
        <v>0</v>
      </c>
    </row>
    <row r="147" spans="1:14" ht="12.75" customHeight="1" thickBot="1" x14ac:dyDescent="0.25">
      <c r="A147" s="1285" t="s">
        <v>621</v>
      </c>
      <c r="B147" s="534" t="s">
        <v>712</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1095</v>
      </c>
      <c r="B148" s="536" t="s">
        <v>38</v>
      </c>
      <c r="C148" s="1672"/>
      <c r="D148" s="1672"/>
      <c r="E148" s="1672"/>
      <c r="F148" s="1672"/>
      <c r="G148" s="1672"/>
      <c r="H148" s="1584">
        <f>_xll.cw_map("BR","20-&gt;5401.120")</f>
        <v>0</v>
      </c>
      <c r="I148" s="1575"/>
      <c r="J148" s="1672"/>
      <c r="K148" s="1677">
        <f>SUM(H148)</f>
        <v>0</v>
      </c>
      <c r="L148" s="1598">
        <f>_xll.cw_map("BBR","20-&gt;5401.120")</f>
        <v>0</v>
      </c>
    </row>
    <row r="149" spans="1:14" ht="12.75" customHeight="1" thickBot="1" x14ac:dyDescent="0.25">
      <c r="A149" s="1277" t="s">
        <v>632</v>
      </c>
      <c r="B149" s="504" t="s">
        <v>488</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1030</v>
      </c>
      <c r="B150" s="1351" t="s">
        <v>855</v>
      </c>
      <c r="C150" s="1672"/>
      <c r="D150" s="1672"/>
      <c r="E150" s="1672"/>
      <c r="F150" s="1672"/>
      <c r="G150" s="1672"/>
      <c r="H150" s="1697"/>
      <c r="I150" s="1616"/>
      <c r="J150" s="1672"/>
      <c r="K150" s="1675"/>
      <c r="L150" s="1648">
        <f>_xll.cw_map("BBR","20-&gt;5410.100")</f>
        <v>0</v>
      </c>
    </row>
    <row r="151" spans="1:14" ht="12.75" customHeight="1" thickTop="1" thickBot="1" x14ac:dyDescent="0.25">
      <c r="A151" s="2312" t="s">
        <v>615</v>
      </c>
      <c r="B151" s="2292"/>
      <c r="C151" s="1673">
        <f>SUM(C129,C130,C139,C149,C150)</f>
        <v>248619</v>
      </c>
      <c r="D151" s="1673">
        <f t="shared" ref="D151:K151" si="16">SUM(D129,D130,D139,D149,D150)</f>
        <v>60002</v>
      </c>
      <c r="E151" s="1673">
        <f t="shared" si="16"/>
        <v>782445</v>
      </c>
      <c r="F151" s="1673">
        <f t="shared" si="16"/>
        <v>360110</v>
      </c>
      <c r="G151" s="1673">
        <f t="shared" si="16"/>
        <v>244392</v>
      </c>
      <c r="H151" s="1673">
        <f t="shared" si="16"/>
        <v>0</v>
      </c>
      <c r="I151" s="1673">
        <f t="shared" si="16"/>
        <v>0</v>
      </c>
      <c r="J151" s="1673">
        <f t="shared" si="16"/>
        <v>0</v>
      </c>
      <c r="K151" s="1673">
        <f t="shared" si="16"/>
        <v>1695568</v>
      </c>
      <c r="L151" s="1673">
        <f>SUM(L129,L130,L139,L149,L150)</f>
        <v>1834042</v>
      </c>
    </row>
    <row r="152" spans="1:14" ht="12.75" customHeight="1" thickTop="1" x14ac:dyDescent="0.2">
      <c r="A152" s="2315" t="s">
        <v>1169</v>
      </c>
      <c r="B152" s="2316"/>
      <c r="C152" s="1674"/>
      <c r="D152" s="1674"/>
      <c r="E152" s="1674"/>
      <c r="F152" s="1674"/>
      <c r="G152" s="1674"/>
      <c r="H152" s="1674"/>
      <c r="I152" s="1674"/>
      <c r="J152" s="1672"/>
      <c r="K152" s="1688">
        <f>'Revenues 9-14'!D268-'Expenditures 15-22'!K151</f>
        <v>48158</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300" t="s">
        <v>616</v>
      </c>
      <c r="B154" s="2302"/>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1816</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1815</v>
      </c>
      <c r="C157" s="1672"/>
      <c r="D157" s="1672"/>
      <c r="E157" s="1672"/>
      <c r="F157" s="1672"/>
      <c r="G157" s="1672"/>
      <c r="H157" s="1684">
        <f>_xll.cw_map("BR","30-&gt;5341.600")</f>
        <v>0</v>
      </c>
      <c r="I157" s="1672"/>
      <c r="J157" s="1672"/>
      <c r="K157" s="1671">
        <f>H157</f>
        <v>0</v>
      </c>
      <c r="L157" s="1574">
        <f>_xll.cw_map("BBR","30-&gt;5341")</f>
        <v>0</v>
      </c>
      <c r="M157" s="505"/>
      <c r="N157" s="505"/>
    </row>
    <row r="158" spans="1:14" s="506" customFormat="1" ht="12" x14ac:dyDescent="0.2">
      <c r="A158" s="1462" t="s">
        <v>300</v>
      </c>
      <c r="B158" s="1463" t="s">
        <v>1817</v>
      </c>
      <c r="C158" s="1672"/>
      <c r="D158" s="1672"/>
      <c r="E158" s="1672"/>
      <c r="F158" s="1672"/>
      <c r="G158" s="1672"/>
      <c r="H158" s="1574">
        <f>_xll.cw_map("BR","30-&gt;5342.600")</f>
        <v>0</v>
      </c>
      <c r="I158" s="1672"/>
      <c r="J158" s="1672"/>
      <c r="K158" s="1671">
        <f>H158</f>
        <v>0</v>
      </c>
      <c r="L158" s="1574">
        <f>_xll.cw_map("BBR","30-&gt;5342")</f>
        <v>0</v>
      </c>
      <c r="M158" s="505"/>
      <c r="N158" s="505"/>
    </row>
    <row r="159" spans="1:14" s="506" customFormat="1" ht="12" x14ac:dyDescent="0.2">
      <c r="A159" s="1462" t="s">
        <v>1818</v>
      </c>
      <c r="B159" s="1463" t="s">
        <v>553</v>
      </c>
      <c r="C159" s="1672"/>
      <c r="D159" s="1672"/>
      <c r="E159" s="1672"/>
      <c r="F159" s="1672"/>
      <c r="G159" s="1672"/>
      <c r="H159" s="1574">
        <f>_xll.cw_map("BR","30-&gt;5346.600")</f>
        <v>0</v>
      </c>
      <c r="I159" s="1672"/>
      <c r="J159" s="1672"/>
      <c r="K159" s="1671">
        <f>H159</f>
        <v>0</v>
      </c>
      <c r="L159" s="1574">
        <f>_xll.cw_map("BBR","30-&gt;5346")</f>
        <v>0</v>
      </c>
      <c r="M159" s="505"/>
      <c r="N159" s="505"/>
    </row>
    <row r="160" spans="1:14" s="506" customFormat="1" ht="15.75" customHeight="1" thickBot="1" x14ac:dyDescent="0.25">
      <c r="A160" s="1464" t="s">
        <v>1819</v>
      </c>
      <c r="B160" s="1465" t="s">
        <v>854</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f>_xll.cw_map("BR","30-&gt;5402.110")</f>
        <v>0</v>
      </c>
      <c r="I163" s="1672"/>
      <c r="J163" s="1672"/>
      <c r="K163" s="1671">
        <f>SUM(C163:J163)</f>
        <v>0</v>
      </c>
      <c r="L163" s="1573">
        <f>_xll.cw_map("BBR","30-&gt;5402.110")</f>
        <v>0</v>
      </c>
    </row>
    <row r="164" spans="1:14" x14ac:dyDescent="0.2">
      <c r="A164" s="1274" t="s">
        <v>88</v>
      </c>
      <c r="B164" s="503">
        <v>5120</v>
      </c>
      <c r="C164" s="1672"/>
      <c r="D164" s="1672"/>
      <c r="E164" s="1672"/>
      <c r="F164" s="1672"/>
      <c r="G164" s="1672"/>
      <c r="H164" s="1573">
        <f>_xll.cw_map("BR","30-&gt;5402.120")</f>
        <v>0</v>
      </c>
      <c r="I164" s="1672"/>
      <c r="J164" s="1672"/>
      <c r="K164" s="1671">
        <f>SUM(C164:J164)</f>
        <v>0</v>
      </c>
      <c r="L164" s="1573">
        <f>_xll.cw_map("BBR","30-&gt;5402.120")</f>
        <v>0</v>
      </c>
    </row>
    <row r="165" spans="1:14" ht="12.75" customHeight="1" x14ac:dyDescent="0.2">
      <c r="A165" s="1274" t="s">
        <v>1161</v>
      </c>
      <c r="B165" s="503" t="s">
        <v>612</v>
      </c>
      <c r="C165" s="1672"/>
      <c r="D165" s="1672"/>
      <c r="E165" s="1672"/>
      <c r="F165" s="1672"/>
      <c r="G165" s="1672"/>
      <c r="H165" s="1573">
        <f>_xll.cw_map("BR","30-&gt;5402.130")</f>
        <v>0</v>
      </c>
      <c r="I165" s="1672"/>
      <c r="J165" s="1672"/>
      <c r="K165" s="1671">
        <f>SUM(C165:J165)</f>
        <v>0</v>
      </c>
      <c r="L165" s="1573">
        <f>_xll.cw_map("BBR","30-&gt;5402.130")</f>
        <v>0</v>
      </c>
    </row>
    <row r="166" spans="1:14" x14ac:dyDescent="0.2">
      <c r="A166" s="1274" t="s">
        <v>89</v>
      </c>
      <c r="B166" s="512" t="s">
        <v>584</v>
      </c>
      <c r="C166" s="1672"/>
      <c r="D166" s="1672"/>
      <c r="E166" s="1672"/>
      <c r="F166" s="1672"/>
      <c r="G166" s="1672"/>
      <c r="H166" s="1573">
        <f>_xll.cw_map("BR","30-&gt;5402.140")</f>
        <v>0</v>
      </c>
      <c r="I166" s="1672"/>
      <c r="J166" s="1672"/>
      <c r="K166" s="1671">
        <f>SUM(C166:J166)</f>
        <v>0</v>
      </c>
      <c r="L166" s="1573">
        <f>_xll.cw_map("BBR","30-&gt;5402.140")</f>
        <v>0</v>
      </c>
    </row>
    <row r="167" spans="1:14" ht="12.75" customHeight="1" x14ac:dyDescent="0.2">
      <c r="A167" s="1274" t="s">
        <v>614</v>
      </c>
      <c r="B167" s="503" t="s">
        <v>613</v>
      </c>
      <c r="C167" s="1672"/>
      <c r="D167" s="1672"/>
      <c r="E167" s="1672"/>
      <c r="F167" s="1672"/>
      <c r="G167" s="1672"/>
      <c r="H167" s="1573">
        <f>_xll.cw_map("BR","30-&gt;5402.150")</f>
        <v>0</v>
      </c>
      <c r="I167" s="1672"/>
      <c r="J167" s="1672"/>
      <c r="K167" s="1671">
        <f>SUM(C167:J167)</f>
        <v>0</v>
      </c>
      <c r="L167" s="1573">
        <f>_xll.cw_map("BBR","30-&gt;5402.150")</f>
        <v>0</v>
      </c>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f>_xll.cw_map("BR","30-&gt;5401.120")</f>
        <v>1407727</v>
      </c>
      <c r="I169" s="1672"/>
      <c r="J169" s="1672"/>
      <c r="K169" s="1671">
        <f>SUM(C169:H169)</f>
        <v>1407727</v>
      </c>
      <c r="L169" s="1694">
        <f>_xll.cw_map("BBR","30-&gt;5401.120")</f>
        <v>1470158</v>
      </c>
    </row>
    <row r="170" spans="1:14" ht="33.75" customHeight="1" x14ac:dyDescent="0.2">
      <c r="A170" s="543" t="s">
        <v>1653</v>
      </c>
      <c r="B170" s="545" t="s">
        <v>31</v>
      </c>
      <c r="C170" s="1672"/>
      <c r="D170" s="1672"/>
      <c r="E170" s="1672"/>
      <c r="F170" s="1672"/>
      <c r="G170" s="1672"/>
      <c r="H170" s="1645">
        <f>_xll.cw_map("BR","30-&gt;5401.110")</f>
        <v>1497176</v>
      </c>
      <c r="I170" s="1672"/>
      <c r="J170" s="1672"/>
      <c r="K170" s="1671">
        <f>SUM(C170:J170)</f>
        <v>1497176</v>
      </c>
      <c r="L170" s="1645">
        <f>_xll.cw_map("BBR","30-&gt;5401.110")</f>
        <v>1635000</v>
      </c>
    </row>
    <row r="171" spans="1:14" ht="15.75" customHeight="1" x14ac:dyDescent="0.2">
      <c r="A171" s="507" t="s">
        <v>760</v>
      </c>
      <c r="B171" s="546" t="s">
        <v>84</v>
      </c>
      <c r="C171" s="1672"/>
      <c r="D171" s="1672"/>
      <c r="E171" s="1573">
        <f>_xll.cw_map("BR","30-&gt;5402.160")</f>
        <v>0</v>
      </c>
      <c r="F171" s="1672"/>
      <c r="G171" s="1672"/>
      <c r="H171" s="1645">
        <f>_xll.cw_map("BR","30-&gt;5401.125")</f>
        <v>1850</v>
      </c>
      <c r="I171" s="1582"/>
      <c r="J171" s="1672"/>
      <c r="K171" s="1671">
        <f>SUM(C171:J171)</f>
        <v>1850</v>
      </c>
      <c r="L171" s="1645">
        <f>_xll.cw_map("BBR","30-&gt;5401.125")</f>
        <v>3000</v>
      </c>
    </row>
    <row r="172" spans="1:14" ht="12.75" customHeight="1" thickBot="1" x14ac:dyDescent="0.25">
      <c r="A172" s="1380" t="s">
        <v>632</v>
      </c>
      <c r="B172" s="1381" t="s">
        <v>488</v>
      </c>
      <c r="C172" s="1672"/>
      <c r="D172" s="1672"/>
      <c r="E172" s="1680">
        <f>SUM(E168,E169,E170,E171)</f>
        <v>0</v>
      </c>
      <c r="F172" s="1672"/>
      <c r="G172" s="1672"/>
      <c r="H172" s="1680">
        <f>SUM(H168,H169,H170,H171)</f>
        <v>2906753</v>
      </c>
      <c r="I172" s="1683"/>
      <c r="J172" s="1672"/>
      <c r="K172" s="1680">
        <f>SUM(K168,K169,K170,K171)</f>
        <v>2906753</v>
      </c>
      <c r="L172" s="1680">
        <f>SUM(L168,L169,L170,L171)</f>
        <v>3108158</v>
      </c>
    </row>
    <row r="173" spans="1:14" ht="15.75" customHeight="1" thickTop="1" thickBot="1" x14ac:dyDescent="0.25">
      <c r="A173" s="1357" t="s">
        <v>85</v>
      </c>
      <c r="B173" s="1349" t="s">
        <v>855</v>
      </c>
      <c r="C173" s="1672"/>
      <c r="D173" s="1672"/>
      <c r="E173" s="1675"/>
      <c r="F173" s="1672"/>
      <c r="G173" s="1672"/>
      <c r="H173" s="1676"/>
      <c r="I173" s="1683"/>
      <c r="J173" s="1672"/>
      <c r="K173" s="1675"/>
      <c r="L173" s="1650">
        <f>_xll.cw_map("BBR","30-&gt;5410.100")</f>
        <v>0</v>
      </c>
    </row>
    <row r="174" spans="1:14" ht="12.75" customHeight="1" thickTop="1" thickBot="1" x14ac:dyDescent="0.25">
      <c r="A174" s="1391" t="s">
        <v>90</v>
      </c>
      <c r="B174" s="1392"/>
      <c r="C174" s="1672"/>
      <c r="D174" s="1672"/>
      <c r="E174" s="1680">
        <f>SUM(E172,E173)</f>
        <v>0</v>
      </c>
      <c r="F174" s="1672"/>
      <c r="G174" s="1672"/>
      <c r="H174" s="1680">
        <f>SUM(H160,H172,H173)</f>
        <v>2906753</v>
      </c>
      <c r="I174" s="1683"/>
      <c r="J174" s="1672"/>
      <c r="K174" s="1680">
        <f>SUM(K160,K172,K173)</f>
        <v>2906753</v>
      </c>
      <c r="L174" s="1680">
        <f>SUM(L160,L172,L173)</f>
        <v>3108158</v>
      </c>
    </row>
    <row r="175" spans="1:14" ht="13.5" thickTop="1" x14ac:dyDescent="0.2">
      <c r="A175" s="2295" t="s">
        <v>988</v>
      </c>
      <c r="B175" s="2296"/>
      <c r="C175" s="1672"/>
      <c r="D175" s="1672"/>
      <c r="E175" s="1672"/>
      <c r="F175" s="1672"/>
      <c r="G175" s="1672"/>
      <c r="H175" s="1674"/>
      <c r="I175" s="1672"/>
      <c r="J175" s="1672"/>
      <c r="K175" s="1688">
        <f>'Revenues 9-14'!E268-'Expenditures 15-22'!K174</f>
        <v>44132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1962</v>
      </c>
      <c r="B180" s="503" t="s">
        <v>710</v>
      </c>
      <c r="C180" s="1573">
        <f>_xll.cw_map("BR","40-&gt;520?.100")</f>
        <v>0</v>
      </c>
      <c r="D180" s="1573">
        <f>_xll.cw_map("BR","40-&gt;520?.200")</f>
        <v>0</v>
      </c>
      <c r="E180" s="1573">
        <f>_xll.cw_map("BR","40-&gt;520?.300")</f>
        <v>0</v>
      </c>
      <c r="F180" s="1573">
        <f>_xll.cw_map("BR","40-&gt;520?.400")</f>
        <v>0</v>
      </c>
      <c r="G180" s="1573">
        <f>_xll.cw_map("BR","40-&gt;520?.500")</f>
        <v>0</v>
      </c>
      <c r="H180" s="1573">
        <f>_xll.cw_map("BR","40-&gt;520?.600")</f>
        <v>0</v>
      </c>
      <c r="I180" s="1574">
        <f>_xll.cw_map("BR","40-&gt;520?.700")</f>
        <v>0</v>
      </c>
      <c r="J180" s="1574">
        <f>_xll.cw_map("BR","40-&gt;520?.800")</f>
        <v>0</v>
      </c>
      <c r="K180" s="1671">
        <f>SUM(C180:J180)</f>
        <v>0</v>
      </c>
      <c r="L180" s="1573">
        <f>_xll.cw_map("BBR","40-&gt;520?")</f>
        <v>0</v>
      </c>
    </row>
    <row r="181" spans="1:14" ht="15.75" customHeight="1" x14ac:dyDescent="0.2">
      <c r="A181" s="509" t="s">
        <v>607</v>
      </c>
      <c r="B181" s="550"/>
      <c r="C181" s="1646"/>
      <c r="D181" s="1646"/>
      <c r="E181" s="1646"/>
      <c r="F181" s="1646"/>
      <c r="G181" s="1646"/>
      <c r="H181" s="1646"/>
      <c r="I181" s="1575"/>
      <c r="J181" s="1575"/>
      <c r="K181" s="1646"/>
      <c r="L181" s="1646"/>
    </row>
    <row r="182" spans="1:14" ht="12.75" customHeight="1" x14ac:dyDescent="0.2">
      <c r="A182" s="1274" t="s">
        <v>946</v>
      </c>
      <c r="B182" s="503">
        <v>2550</v>
      </c>
      <c r="C182" s="1573">
        <f>_xll.cw_map("BR","40-&gt;5244.100")</f>
        <v>193929</v>
      </c>
      <c r="D182" s="1573">
        <f>_xll.cw_map("BR","40-&gt;5244.200")</f>
        <v>10616</v>
      </c>
      <c r="E182" s="1573">
        <f>_xll.cw_map("BR","40-&gt;5244.300")</f>
        <v>421964</v>
      </c>
      <c r="F182" s="1573">
        <f>_xll.cw_map("BR","40-&gt;5244.400")</f>
        <v>35972</v>
      </c>
      <c r="G182" s="1573">
        <f>_xll.cw_map("BR","40-&gt;5244.500")</f>
        <v>0</v>
      </c>
      <c r="H182" s="1573">
        <f>_xll.cw_map("BR","40-&gt;5244.600")</f>
        <v>678</v>
      </c>
      <c r="I182" s="1574">
        <f>_xll.cw_map("BR","40-&gt;5244.700")</f>
        <v>0</v>
      </c>
      <c r="J182" s="1574">
        <f>_xll.cw_map("BR","40-&gt;5244.800")</f>
        <v>0</v>
      </c>
      <c r="K182" s="1671">
        <f>SUM(C182:J182)</f>
        <v>663159</v>
      </c>
      <c r="L182" s="1573">
        <f>_xll.cw_map("BBR","40-&gt;5244")</f>
        <v>829231</v>
      </c>
    </row>
    <row r="183" spans="1:14" ht="12.75" customHeight="1" thickBot="1" x14ac:dyDescent="0.25">
      <c r="A183" s="1279" t="s">
        <v>972</v>
      </c>
      <c r="B183" s="551">
        <v>2900</v>
      </c>
      <c r="C183" s="1648">
        <f>_xll.cw_map("BR","40-&gt;5270.100")</f>
        <v>0</v>
      </c>
      <c r="D183" s="1648">
        <f>_xll.cw_map("BR","40-&gt;5270.200")</f>
        <v>0</v>
      </c>
      <c r="E183" s="1648">
        <f>_xll.cw_map("BR","40-&gt;5270.300")</f>
        <v>0</v>
      </c>
      <c r="F183" s="1648">
        <f>_xll.cw_map("BR","40-&gt;5270.400")</f>
        <v>0</v>
      </c>
      <c r="G183" s="1648">
        <f>_xll.cw_map("BR","40-&gt;5270.500")</f>
        <v>0</v>
      </c>
      <c r="H183" s="1648">
        <f>_xll.cw_map("BR","40-&gt;5270.600")</f>
        <v>0</v>
      </c>
      <c r="I183" s="1627">
        <f>_xll.cw_map("BR","40-&gt;5270.700")</f>
        <v>0</v>
      </c>
      <c r="J183" s="1627">
        <f>_xll.cw_map("BR","40-&gt;5270.800")</f>
        <v>0</v>
      </c>
      <c r="K183" s="1680">
        <f>SUM(C183:J183)</f>
        <v>0</v>
      </c>
      <c r="L183" s="1648">
        <f>_xll.cw_map("BBR","40-&gt;5270")</f>
        <v>0</v>
      </c>
    </row>
    <row r="184" spans="1:14" ht="12.75" customHeight="1" thickTop="1" thickBot="1" x14ac:dyDescent="0.25">
      <c r="A184" s="1393" t="s">
        <v>805</v>
      </c>
      <c r="B184" s="1381" t="s">
        <v>564</v>
      </c>
      <c r="C184" s="1680">
        <f>SUM(C180,C182,C183)</f>
        <v>193929</v>
      </c>
      <c r="D184" s="1680">
        <f t="shared" ref="D184:J184" si="17">SUM(D180,D182,D183)</f>
        <v>10616</v>
      </c>
      <c r="E184" s="1680">
        <f t="shared" si="17"/>
        <v>421964</v>
      </c>
      <c r="F184" s="1680">
        <f t="shared" si="17"/>
        <v>35972</v>
      </c>
      <c r="G184" s="1680">
        <f t="shared" si="17"/>
        <v>0</v>
      </c>
      <c r="H184" s="1680">
        <f t="shared" si="17"/>
        <v>678</v>
      </c>
      <c r="I184" s="1680">
        <f t="shared" si="17"/>
        <v>0</v>
      </c>
      <c r="J184" s="1680">
        <f t="shared" si="17"/>
        <v>0</v>
      </c>
      <c r="K184" s="1680">
        <f>SUM(K180,K182,K183)</f>
        <v>663159</v>
      </c>
      <c r="L184" s="1680">
        <f>SUM(L180, L182:L183)</f>
        <v>829231</v>
      </c>
    </row>
    <row r="185" spans="1:14" ht="15.75" customHeight="1" thickTop="1" thickBot="1" x14ac:dyDescent="0.25">
      <c r="A185" s="1360" t="s">
        <v>932</v>
      </c>
      <c r="B185" s="1349">
        <v>3000</v>
      </c>
      <c r="C185" s="1650">
        <f>_xll.cw_map("BR","40-&gt;5320.100")</f>
        <v>0</v>
      </c>
      <c r="D185" s="1650">
        <f>_xll.cw_map("BR","40-&gt;5320.200")</f>
        <v>0</v>
      </c>
      <c r="E185" s="1650">
        <f>_xll.cw_map("BR","40-&gt;5320.300")</f>
        <v>0</v>
      </c>
      <c r="F185" s="1650">
        <f>_xll.cw_map("BR","40-&gt;5320.400")</f>
        <v>0</v>
      </c>
      <c r="G185" s="1650">
        <f>_xll.cw_map("BR","40-&gt;5320.500")</f>
        <v>0</v>
      </c>
      <c r="H185" s="1650">
        <f>_xll.cw_map("BR","40-&gt;5320.600")</f>
        <v>0</v>
      </c>
      <c r="I185" s="1626">
        <f>_xll.cw_map("BR","40-&gt;5320.700")</f>
        <v>0</v>
      </c>
      <c r="J185" s="1626">
        <f>_xll.cw_map("BR","40-&gt;5320.800")</f>
        <v>0</v>
      </c>
      <c r="K185" s="1673">
        <f>SUM(C185:J185)</f>
        <v>0</v>
      </c>
      <c r="L185" s="1650">
        <f>_xll.cw_map("BBR","40-&gt;5320")</f>
        <v>0</v>
      </c>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3">
        <f>_xll.cw_map("BR","40-&gt;5341.300")</f>
        <v>0</v>
      </c>
      <c r="F188" s="1672"/>
      <c r="G188" s="1672"/>
      <c r="H188" s="1573">
        <f>_xll.cw_map("BR","40-&gt;5341.600")</f>
        <v>0</v>
      </c>
      <c r="I188" s="1582"/>
      <c r="J188" s="1672"/>
      <c r="K188" s="1671">
        <f t="shared" ref="K188:K193" si="18">SUM(E188,H188)</f>
        <v>0</v>
      </c>
      <c r="L188" s="1573">
        <f>_xll.cw_map("BBR","40-&gt;5341")</f>
        <v>0</v>
      </c>
    </row>
    <row r="189" spans="1:14" x14ac:dyDescent="0.2">
      <c r="A189" s="1274" t="s">
        <v>300</v>
      </c>
      <c r="B189" s="503">
        <v>4120</v>
      </c>
      <c r="C189" s="1672"/>
      <c r="D189" s="1672"/>
      <c r="E189" s="1573">
        <f>_xll.cw_map("BR","40-&gt;5342.300")</f>
        <v>0</v>
      </c>
      <c r="F189" s="1672"/>
      <c r="G189" s="1672"/>
      <c r="H189" s="1573">
        <f>_xll.cw_map("BR","40-&gt;5342.600")</f>
        <v>0</v>
      </c>
      <c r="I189" s="1582"/>
      <c r="J189" s="1672"/>
      <c r="K189" s="1671">
        <f t="shared" si="18"/>
        <v>0</v>
      </c>
      <c r="L189" s="1573">
        <f>_xll.cw_map("BBR","40-&gt;5342")</f>
        <v>0</v>
      </c>
    </row>
    <row r="190" spans="1:14" x14ac:dyDescent="0.2">
      <c r="A190" s="1274" t="s">
        <v>301</v>
      </c>
      <c r="B190" s="512">
        <v>4130</v>
      </c>
      <c r="C190" s="1672"/>
      <c r="D190" s="1672"/>
      <c r="E190" s="1573">
        <f>_xll.cw_map("BR","40-&gt;5343.300")</f>
        <v>0</v>
      </c>
      <c r="F190" s="1672"/>
      <c r="G190" s="1672"/>
      <c r="H190" s="1573">
        <f>_xll.cw_map("BR","40-&gt;5343.600")</f>
        <v>0</v>
      </c>
      <c r="I190" s="1582"/>
      <c r="J190" s="1672"/>
      <c r="K190" s="1671">
        <f t="shared" si="18"/>
        <v>0</v>
      </c>
      <c r="L190" s="1573">
        <f>_xll.cw_map("BBR","40-&gt;5343")</f>
        <v>0</v>
      </c>
    </row>
    <row r="191" spans="1:14" x14ac:dyDescent="0.2">
      <c r="A191" s="1274" t="s">
        <v>691</v>
      </c>
      <c r="B191" s="503">
        <v>4140</v>
      </c>
      <c r="C191" s="1672"/>
      <c r="D191" s="1672"/>
      <c r="E191" s="1573">
        <f>_xll.cw_map("BR","40-&gt;5344.300")</f>
        <v>0</v>
      </c>
      <c r="F191" s="1672"/>
      <c r="G191" s="1672"/>
      <c r="H191" s="1573">
        <f>_xll.cw_map("BR","40-&gt;5344.600")</f>
        <v>0</v>
      </c>
      <c r="I191" s="1582"/>
      <c r="J191" s="1672"/>
      <c r="K191" s="1671">
        <f t="shared" si="18"/>
        <v>0</v>
      </c>
      <c r="L191" s="1573">
        <f>_xll.cw_map("BBR","40-&gt;5344")</f>
        <v>0</v>
      </c>
    </row>
    <row r="192" spans="1:14" x14ac:dyDescent="0.2">
      <c r="A192" s="1274" t="s">
        <v>86</v>
      </c>
      <c r="B192" s="503">
        <v>4170</v>
      </c>
      <c r="C192" s="1672"/>
      <c r="D192" s="1672"/>
      <c r="E192" s="1573">
        <f>_xll.cw_map("BR","40-&gt;5345.300")</f>
        <v>0</v>
      </c>
      <c r="F192" s="1672"/>
      <c r="G192" s="1672"/>
      <c r="H192" s="1573">
        <f>_xll.cw_map("BR","40-&gt;5345.600")</f>
        <v>0</v>
      </c>
      <c r="I192" s="1582"/>
      <c r="J192" s="1672"/>
      <c r="K192" s="1671">
        <f t="shared" si="18"/>
        <v>0</v>
      </c>
      <c r="L192" s="1573">
        <f>_xll.cw_map("BBR","40-&gt;5345")</f>
        <v>0</v>
      </c>
    </row>
    <row r="193" spans="1:14" x14ac:dyDescent="0.2">
      <c r="A193" s="1278" t="s">
        <v>692</v>
      </c>
      <c r="B193" s="512">
        <v>4190</v>
      </c>
      <c r="C193" s="1672"/>
      <c r="D193" s="1672"/>
      <c r="E193" s="1573">
        <f>_xll.cw_map("BR","40-&gt;5346.300")</f>
        <v>0</v>
      </c>
      <c r="F193" s="1672"/>
      <c r="G193" s="1672"/>
      <c r="H193" s="1573">
        <f>_xll.cw_map("BR","40-&gt;5346.600")</f>
        <v>0</v>
      </c>
      <c r="I193" s="1582"/>
      <c r="J193" s="1672"/>
      <c r="K193" s="1671">
        <f t="shared" si="18"/>
        <v>0</v>
      </c>
      <c r="L193" s="1573">
        <f>_xll.cw_map("BBR","40-&gt;5346")</f>
        <v>0</v>
      </c>
    </row>
    <row r="194" spans="1:14" ht="12.75" customHeight="1" thickBot="1" x14ac:dyDescent="0.25">
      <c r="A194" s="1380" t="s">
        <v>1131</v>
      </c>
      <c r="B194" s="1381" t="s">
        <v>554</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924</v>
      </c>
      <c r="C195" s="1672"/>
      <c r="D195" s="1672"/>
      <c r="E195" s="1694">
        <f>_xll.cw_map("BR","40-&gt;5369.300")</f>
        <v>0</v>
      </c>
      <c r="F195" s="1672"/>
      <c r="G195" s="1672"/>
      <c r="H195" s="1694">
        <f>_xll.cw_map("BR","40-&gt;5369.600")</f>
        <v>0</v>
      </c>
      <c r="I195" s="1582"/>
      <c r="J195" s="1672"/>
      <c r="K195" s="1695">
        <f>SUM(E195,H195)</f>
        <v>0</v>
      </c>
      <c r="L195" s="1694">
        <f>_xll.cw_map("BBR","40-&gt;5369")</f>
        <v>0</v>
      </c>
    </row>
    <row r="196" spans="1:14" ht="12.75" customHeight="1" thickBot="1" x14ac:dyDescent="0.25">
      <c r="A196" s="1380" t="s">
        <v>1472</v>
      </c>
      <c r="B196" s="1381" t="s">
        <v>854</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f>_xll.cw_map("BR","40-&gt;5402.110")</f>
        <v>0</v>
      </c>
      <c r="I199" s="1672"/>
      <c r="J199" s="1672"/>
      <c r="K199" s="1671">
        <f>SUM(H199)</f>
        <v>0</v>
      </c>
      <c r="L199" s="1573">
        <f>_xll.cw_map("BBR","40-&gt;5402.110")</f>
        <v>0</v>
      </c>
    </row>
    <row r="200" spans="1:14" x14ac:dyDescent="0.2">
      <c r="A200" s="1274" t="s">
        <v>88</v>
      </c>
      <c r="B200" s="503">
        <v>5120</v>
      </c>
      <c r="C200" s="1672"/>
      <c r="D200" s="1672"/>
      <c r="E200" s="1672"/>
      <c r="F200" s="1672"/>
      <c r="G200" s="1672"/>
      <c r="H200" s="1573">
        <f>_xll.cw_map("BR","40-&gt;5402.120")</f>
        <v>0</v>
      </c>
      <c r="I200" s="1672"/>
      <c r="J200" s="1672"/>
      <c r="K200" s="1671">
        <f>SUM(H200)</f>
        <v>0</v>
      </c>
      <c r="L200" s="1573">
        <f>_xll.cw_map("BBR","40-&gt;5402.120")</f>
        <v>0</v>
      </c>
    </row>
    <row r="201" spans="1:14" ht="12.75" customHeight="1" x14ac:dyDescent="0.2">
      <c r="A201" s="1274" t="s">
        <v>1161</v>
      </c>
      <c r="B201" s="512" t="s">
        <v>612</v>
      </c>
      <c r="C201" s="1672"/>
      <c r="D201" s="1672"/>
      <c r="E201" s="1672"/>
      <c r="F201" s="1672"/>
      <c r="G201" s="1672"/>
      <c r="H201" s="1573">
        <f>_xll.cw_map("BR","40-&gt;5402.130")</f>
        <v>0</v>
      </c>
      <c r="I201" s="1672"/>
      <c r="J201" s="1672"/>
      <c r="K201" s="1671">
        <f>SUM(H201)</f>
        <v>0</v>
      </c>
      <c r="L201" s="1573">
        <f>_xll.cw_map("BBR","40-&gt;5402.130")</f>
        <v>0</v>
      </c>
    </row>
    <row r="202" spans="1:14" x14ac:dyDescent="0.2">
      <c r="A202" s="1274" t="s">
        <v>89</v>
      </c>
      <c r="B202" s="503" t="s">
        <v>584</v>
      </c>
      <c r="C202" s="1672"/>
      <c r="D202" s="1672"/>
      <c r="E202" s="1672"/>
      <c r="F202" s="1672"/>
      <c r="G202" s="1672"/>
      <c r="H202" s="1573">
        <f>_xll.cw_map("BR","40-&gt;5402.140")</f>
        <v>0</v>
      </c>
      <c r="I202" s="1672"/>
      <c r="J202" s="1672"/>
      <c r="K202" s="1671">
        <f>SUM(H202)</f>
        <v>0</v>
      </c>
      <c r="L202" s="1573">
        <f>_xll.cw_map("BBR","40-&gt;5402.140")</f>
        <v>0</v>
      </c>
    </row>
    <row r="203" spans="1:14" x14ac:dyDescent="0.2">
      <c r="A203" s="1286" t="s">
        <v>614</v>
      </c>
      <c r="B203" s="503" t="s">
        <v>613</v>
      </c>
      <c r="C203" s="1672"/>
      <c r="D203" s="1672"/>
      <c r="E203" s="1672"/>
      <c r="F203" s="1672"/>
      <c r="G203" s="1672"/>
      <c r="H203" s="1577">
        <f>_xll.cw_map("BR","40-&gt;5402.150")</f>
        <v>0</v>
      </c>
      <c r="I203" s="1672"/>
      <c r="J203" s="1672"/>
      <c r="K203" s="1671">
        <f>SUM(H203)</f>
        <v>0</v>
      </c>
      <c r="L203" s="1577">
        <f>_xll.cw_map("BBR","40-&gt;5402.150")</f>
        <v>0</v>
      </c>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f>_xll.cw_map("BR","40-&gt;5401.120")</f>
        <v>16982</v>
      </c>
      <c r="I205" s="1672"/>
      <c r="J205" s="1672"/>
      <c r="K205" s="1695">
        <f>SUM(H205)</f>
        <v>16982</v>
      </c>
      <c r="L205" s="1629">
        <f>_xll.cw_map("BBR","40-&gt;5401.120")</f>
        <v>0</v>
      </c>
    </row>
    <row r="206" spans="1:14" ht="30" customHeight="1" x14ac:dyDescent="0.2">
      <c r="A206" s="555" t="s">
        <v>1654</v>
      </c>
      <c r="B206" s="546" t="s">
        <v>31</v>
      </c>
      <c r="C206" s="1672"/>
      <c r="D206" s="1672"/>
      <c r="E206" s="1672"/>
      <c r="F206" s="1672"/>
      <c r="G206" s="1672"/>
      <c r="H206" s="1573">
        <f>_xll.cw_map("BR","40-&gt;5401.110")</f>
        <v>86284</v>
      </c>
      <c r="I206" s="1672"/>
      <c r="J206" s="1672"/>
      <c r="K206" s="1671">
        <f>SUM(H206)</f>
        <v>86284</v>
      </c>
      <c r="L206" s="1573">
        <f>_xll.cw_map("BBR","40-&gt;5401.110")</f>
        <v>0</v>
      </c>
    </row>
    <row r="207" spans="1:14" ht="15.75" customHeight="1" x14ac:dyDescent="0.2">
      <c r="A207" s="507" t="s">
        <v>760</v>
      </c>
      <c r="B207" s="546" t="s">
        <v>84</v>
      </c>
      <c r="C207" s="1672"/>
      <c r="D207" s="1672"/>
      <c r="E207" s="1672"/>
      <c r="F207" s="1672"/>
      <c r="G207" s="1672"/>
      <c r="H207" s="1574">
        <f>_xll.cw_map("BR","40-&gt;5401.125")</f>
        <v>0</v>
      </c>
      <c r="I207" s="1672"/>
      <c r="J207" s="1672"/>
      <c r="K207" s="1671">
        <f>H207</f>
        <v>0</v>
      </c>
      <c r="L207" s="1573">
        <f>_xll.cw_map("BBR","40-&gt;5401.125")</f>
        <v>0</v>
      </c>
    </row>
    <row r="208" spans="1:14" ht="12.75" customHeight="1" thickBot="1" x14ac:dyDescent="0.25">
      <c r="A208" s="1389" t="s">
        <v>632</v>
      </c>
      <c r="B208" s="1390" t="s">
        <v>488</v>
      </c>
      <c r="C208" s="1672"/>
      <c r="D208" s="1672"/>
      <c r="E208" s="1672"/>
      <c r="F208" s="1672"/>
      <c r="G208" s="1672"/>
      <c r="H208" s="1680">
        <f>SUM(H204,H205,H206,H207)</f>
        <v>103266</v>
      </c>
      <c r="I208" s="1672"/>
      <c r="J208" s="1672"/>
      <c r="K208" s="1680">
        <f>SUM(K204,K205,K206,K207)</f>
        <v>103266</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f>_xll.cw_map("BBR","40-&gt;5410.100")</f>
        <v>0</v>
      </c>
    </row>
    <row r="210" spans="1:14" ht="12.75" customHeight="1" thickTop="1" thickBot="1" x14ac:dyDescent="0.25">
      <c r="A210" s="1394" t="s">
        <v>274</v>
      </c>
      <c r="B210" s="1395"/>
      <c r="C210" s="1673">
        <f>SUM(C184,C185)</f>
        <v>193929</v>
      </c>
      <c r="D210" s="1673">
        <f>SUM(D184,D185)</f>
        <v>10616</v>
      </c>
      <c r="E210" s="1673">
        <f>SUM(E184,E185,E196)</f>
        <v>421964</v>
      </c>
      <c r="F210" s="1673">
        <f>SUM(F184,F185)</f>
        <v>35972</v>
      </c>
      <c r="G210" s="1673">
        <f>SUM(G184,G185)</f>
        <v>0</v>
      </c>
      <c r="H210" s="1673">
        <f>SUM(H184,H185,H196,H208,H209)</f>
        <v>103944</v>
      </c>
      <c r="I210" s="1673">
        <f>SUM(I184,I185)</f>
        <v>0</v>
      </c>
      <c r="J210" s="1673">
        <f>SUM(J184,J185)</f>
        <v>0</v>
      </c>
      <c r="K210" s="1671">
        <f>SUM(K184,K185,K196,K208,K209)</f>
        <v>766425</v>
      </c>
      <c r="L210" s="1673">
        <f>SUM(L184,L185,L196,L208,L209)</f>
        <v>829231</v>
      </c>
    </row>
    <row r="211" spans="1:14" ht="13.5" thickTop="1" x14ac:dyDescent="0.2">
      <c r="A211" s="2295" t="s">
        <v>988</v>
      </c>
      <c r="B211" s="2296"/>
      <c r="C211" s="1674"/>
      <c r="D211" s="1674"/>
      <c r="E211" s="1674"/>
      <c r="F211" s="1674"/>
      <c r="G211" s="1674"/>
      <c r="H211" s="1674"/>
      <c r="I211" s="1672"/>
      <c r="J211" s="1672"/>
      <c r="K211" s="1688">
        <f>'Revenues 9-14'!F268-'Expenditures 15-22'!K210</f>
        <v>92639</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317" t="s">
        <v>958</v>
      </c>
      <c r="B213" s="2318"/>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3">
        <f>_xll.cw_map("BR","50-&gt;5101.200")</f>
        <v>5190</v>
      </c>
      <c r="E215" s="1672"/>
      <c r="F215" s="1672"/>
      <c r="G215" s="1672"/>
      <c r="H215" s="1672"/>
      <c r="I215" s="1672"/>
      <c r="J215" s="1672"/>
      <c r="K215" s="1671">
        <f>D215</f>
        <v>5190</v>
      </c>
      <c r="L215" s="1573">
        <f>_xll.cw_map("BBR","50-&gt;5101")</f>
        <v>12320</v>
      </c>
    </row>
    <row r="216" spans="1:14" x14ac:dyDescent="0.2">
      <c r="A216" s="1274" t="s">
        <v>162</v>
      </c>
      <c r="B216" s="503" t="s">
        <v>960</v>
      </c>
      <c r="C216" s="1672"/>
      <c r="D216" s="1574">
        <f>_xll.cw_map("BR","50-&gt;5116.200")</f>
        <v>0</v>
      </c>
      <c r="E216" s="1672"/>
      <c r="F216" s="1672"/>
      <c r="G216" s="1672"/>
      <c r="H216" s="1672"/>
      <c r="I216" s="1672"/>
      <c r="J216" s="1672"/>
      <c r="K216" s="1671">
        <f t="shared" ref="K216:K228" si="19">D216</f>
        <v>0</v>
      </c>
      <c r="L216" s="1573">
        <f>_xll.cw_map("BBR","50-&gt;5116")</f>
        <v>0</v>
      </c>
    </row>
    <row r="217" spans="1:14" x14ac:dyDescent="0.2">
      <c r="A217" s="1274" t="s">
        <v>163</v>
      </c>
      <c r="B217" s="503">
        <v>1200</v>
      </c>
      <c r="C217" s="1672"/>
      <c r="D217" s="1573">
        <f>_xll.cw_map("BR","50-&gt;5102.200")</f>
        <v>72599</v>
      </c>
      <c r="E217" s="1672"/>
      <c r="F217" s="1672"/>
      <c r="G217" s="1672"/>
      <c r="H217" s="1672"/>
      <c r="I217" s="1672"/>
      <c r="J217" s="1672"/>
      <c r="K217" s="1671">
        <f t="shared" si="19"/>
        <v>72599</v>
      </c>
      <c r="L217" s="1573">
        <f>_xll.cw_map("BBR","50-&gt;5102")</f>
        <v>80855</v>
      </c>
    </row>
    <row r="218" spans="1:14" x14ac:dyDescent="0.2">
      <c r="A218" s="1274" t="s">
        <v>275</v>
      </c>
      <c r="B218" s="503" t="s">
        <v>961</v>
      </c>
      <c r="C218" s="1672"/>
      <c r="D218" s="1574">
        <f>_xll.cw_map("BR","50-&gt;5103.200")</f>
        <v>9788</v>
      </c>
      <c r="E218" s="1672"/>
      <c r="F218" s="1672"/>
      <c r="G218" s="1672"/>
      <c r="H218" s="1672"/>
      <c r="I218" s="1672"/>
      <c r="J218" s="1672"/>
      <c r="K218" s="1671">
        <f t="shared" si="19"/>
        <v>9788</v>
      </c>
      <c r="L218" s="1573">
        <f>_xll.cw_map("BBR","50-&gt;5103")</f>
        <v>16427</v>
      </c>
    </row>
    <row r="219" spans="1:14" x14ac:dyDescent="0.2">
      <c r="A219" s="1274" t="s">
        <v>276</v>
      </c>
      <c r="B219" s="503">
        <v>1250</v>
      </c>
      <c r="C219" s="1672"/>
      <c r="D219" s="1573">
        <f>_xll.cw_map("BR","50-&gt;5104.200")</f>
        <v>0</v>
      </c>
      <c r="E219" s="1672"/>
      <c r="F219" s="1672"/>
      <c r="G219" s="1672"/>
      <c r="H219" s="1672"/>
      <c r="I219" s="1672"/>
      <c r="J219" s="1672"/>
      <c r="K219" s="1671">
        <f t="shared" si="19"/>
        <v>0</v>
      </c>
      <c r="L219" s="1573">
        <f>_xll.cw_map("BBR","50-&gt;5104")</f>
        <v>0</v>
      </c>
    </row>
    <row r="220" spans="1:14" x14ac:dyDescent="0.2">
      <c r="A220" s="1274" t="s">
        <v>277</v>
      </c>
      <c r="B220" s="503" t="s">
        <v>160</v>
      </c>
      <c r="C220" s="1672"/>
      <c r="D220" s="1574">
        <f>_xll.cw_map("BR","50-&gt;5105.200")</f>
        <v>0</v>
      </c>
      <c r="E220" s="1672"/>
      <c r="F220" s="1672"/>
      <c r="G220" s="1672"/>
      <c r="H220" s="1672"/>
      <c r="I220" s="1672"/>
      <c r="J220" s="1672"/>
      <c r="K220" s="1671">
        <f t="shared" si="19"/>
        <v>0</v>
      </c>
      <c r="L220" s="1573">
        <f>_xll.cw_map("BBR","50-&gt;5105")</f>
        <v>0</v>
      </c>
    </row>
    <row r="221" spans="1:14" x14ac:dyDescent="0.2">
      <c r="A221" s="1274" t="s">
        <v>955</v>
      </c>
      <c r="B221" s="503">
        <v>1300</v>
      </c>
      <c r="C221" s="1672"/>
      <c r="D221" s="1573">
        <f>_xll.cw_map("BR","50-&gt;5106.200")</f>
        <v>0</v>
      </c>
      <c r="E221" s="1672"/>
      <c r="F221" s="1672"/>
      <c r="G221" s="1672"/>
      <c r="H221" s="1672"/>
      <c r="I221" s="1672"/>
      <c r="J221" s="1672"/>
      <c r="K221" s="1671">
        <f t="shared" si="19"/>
        <v>0</v>
      </c>
      <c r="L221" s="1573">
        <f>_xll.cw_map("BBR","50-&gt;5106")</f>
        <v>0</v>
      </c>
    </row>
    <row r="222" spans="1:14" x14ac:dyDescent="0.2">
      <c r="A222" s="1274" t="s">
        <v>717</v>
      </c>
      <c r="B222" s="503">
        <v>1400</v>
      </c>
      <c r="C222" s="1672"/>
      <c r="D222" s="1573">
        <f>_xll.cw_map("BR","50-&gt;5107.200")</f>
        <v>0</v>
      </c>
      <c r="E222" s="1672"/>
      <c r="F222" s="1672"/>
      <c r="G222" s="1672"/>
      <c r="H222" s="1672"/>
      <c r="I222" s="1672"/>
      <c r="J222" s="1672"/>
      <c r="K222" s="1671">
        <f t="shared" si="19"/>
        <v>0</v>
      </c>
      <c r="L222" s="1573">
        <f>_xll.cw_map("BBR","50-&gt;5107")</f>
        <v>0</v>
      </c>
    </row>
    <row r="223" spans="1:14" x14ac:dyDescent="0.2">
      <c r="A223" s="1274" t="s">
        <v>956</v>
      </c>
      <c r="B223" s="503">
        <v>1500</v>
      </c>
      <c r="C223" s="1672"/>
      <c r="D223" s="1573">
        <f>_xll.cw_map("BR","50-&gt;5108.200")</f>
        <v>1463</v>
      </c>
      <c r="E223" s="1672"/>
      <c r="F223" s="1672"/>
      <c r="G223" s="1672"/>
      <c r="H223" s="1672"/>
      <c r="I223" s="1672"/>
      <c r="J223" s="1672"/>
      <c r="K223" s="1671">
        <f t="shared" si="19"/>
        <v>1463</v>
      </c>
      <c r="L223" s="1573">
        <f>_xll.cw_map("BBR","50-&gt;5108")</f>
        <v>0</v>
      </c>
    </row>
    <row r="224" spans="1:14" x14ac:dyDescent="0.2">
      <c r="A224" s="1274" t="s">
        <v>957</v>
      </c>
      <c r="B224" s="503">
        <v>1600</v>
      </c>
      <c r="C224" s="1672"/>
      <c r="D224" s="1573">
        <f>_xll.cw_map("BR","50-&gt;5109.200")</f>
        <v>205</v>
      </c>
      <c r="E224" s="1672"/>
      <c r="F224" s="1672"/>
      <c r="G224" s="1672"/>
      <c r="H224" s="1672"/>
      <c r="I224" s="1672"/>
      <c r="J224" s="1672"/>
      <c r="K224" s="1671">
        <f t="shared" si="19"/>
        <v>205</v>
      </c>
      <c r="L224" s="1573">
        <f>_xll.cw_map("BBR","50-&gt;5109")</f>
        <v>0</v>
      </c>
    </row>
    <row r="225" spans="1:12" x14ac:dyDescent="0.2">
      <c r="A225" s="1274" t="s">
        <v>979</v>
      </c>
      <c r="B225" s="503">
        <v>1650</v>
      </c>
      <c r="C225" s="1672"/>
      <c r="D225" s="1573">
        <f>_xll.cw_map("BR","50-&gt;5110.200")</f>
        <v>0</v>
      </c>
      <c r="E225" s="1672"/>
      <c r="F225" s="1672"/>
      <c r="G225" s="1672"/>
      <c r="H225" s="1672"/>
      <c r="I225" s="1672"/>
      <c r="J225" s="1672"/>
      <c r="K225" s="1671">
        <f t="shared" si="19"/>
        <v>0</v>
      </c>
      <c r="L225" s="1573">
        <f>_xll.cw_map("BBR","50-&gt;5110")</f>
        <v>0</v>
      </c>
    </row>
    <row r="226" spans="1:12" x14ac:dyDescent="0.2">
      <c r="A226" s="1274" t="s">
        <v>718</v>
      </c>
      <c r="B226" s="503" t="s">
        <v>161</v>
      </c>
      <c r="C226" s="1672"/>
      <c r="D226" s="1574">
        <f>_xll.cw_map("BR","50-&gt;5111.200")</f>
        <v>0</v>
      </c>
      <c r="E226" s="1672"/>
      <c r="F226" s="1672"/>
      <c r="G226" s="1672"/>
      <c r="H226" s="1672"/>
      <c r="I226" s="1672"/>
      <c r="J226" s="1672"/>
      <c r="K226" s="1671">
        <f t="shared" si="19"/>
        <v>0</v>
      </c>
      <c r="L226" s="1573">
        <f>_xll.cw_map("BBR","50-&gt;5111")</f>
        <v>0</v>
      </c>
    </row>
    <row r="227" spans="1:12" x14ac:dyDescent="0.2">
      <c r="A227" s="1274" t="s">
        <v>1079</v>
      </c>
      <c r="B227" s="503">
        <v>1800</v>
      </c>
      <c r="C227" s="1672"/>
      <c r="D227" s="1573">
        <f>_xll.cw_map("BR","50-&gt;5112.200")</f>
        <v>3701</v>
      </c>
      <c r="E227" s="1672"/>
      <c r="F227" s="1672"/>
      <c r="G227" s="1672"/>
      <c r="H227" s="1672"/>
      <c r="I227" s="1672"/>
      <c r="J227" s="1672"/>
      <c r="K227" s="1671">
        <f t="shared" si="19"/>
        <v>3701</v>
      </c>
      <c r="L227" s="1573">
        <f>_xll.cw_map("BBR","50-&gt;5112")</f>
        <v>6920</v>
      </c>
    </row>
    <row r="228" spans="1:12" x14ac:dyDescent="0.2">
      <c r="A228" s="1274" t="s">
        <v>1080</v>
      </c>
      <c r="B228" s="503">
        <v>1900</v>
      </c>
      <c r="C228" s="1672"/>
      <c r="D228" s="1573">
        <f>_xll.cw_map("BR","50-&gt;5113.200")</f>
        <v>0</v>
      </c>
      <c r="E228" s="1672"/>
      <c r="F228" s="1672"/>
      <c r="G228" s="1672"/>
      <c r="H228" s="1672"/>
      <c r="I228" s="1672"/>
      <c r="J228" s="1672"/>
      <c r="K228" s="1671">
        <f t="shared" si="19"/>
        <v>0</v>
      </c>
      <c r="L228" s="1573">
        <f>_xll.cw_map("BBR","50-&gt;5113")</f>
        <v>0</v>
      </c>
    </row>
    <row r="229" spans="1:12" ht="12.75" customHeight="1" thickBot="1" x14ac:dyDescent="0.25">
      <c r="A229" s="1380" t="s">
        <v>709</v>
      </c>
      <c r="B229" s="1383" t="s">
        <v>565</v>
      </c>
      <c r="C229" s="1672"/>
      <c r="D229" s="1673">
        <f>SUM(D215:D228)</f>
        <v>92946</v>
      </c>
      <c r="E229" s="1672"/>
      <c r="F229" s="1672"/>
      <c r="G229" s="1672"/>
      <c r="H229" s="1672"/>
      <c r="I229" s="1672"/>
      <c r="J229" s="1672"/>
      <c r="K229" s="1673">
        <f>SUM(K215:K228)</f>
        <v>92946</v>
      </c>
      <c r="L229" s="1673">
        <f>SUM(L215:L228)</f>
        <v>116522</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3">
        <f>_xll.cw_map("BR","50-&gt;5201.200")</f>
        <v>0</v>
      </c>
      <c r="E232" s="1672"/>
      <c r="F232" s="1672"/>
      <c r="G232" s="1672"/>
      <c r="H232" s="1672"/>
      <c r="I232" s="1672"/>
      <c r="J232" s="1672"/>
      <c r="K232" s="1671">
        <f t="shared" ref="K232:K237" si="20">D232</f>
        <v>0</v>
      </c>
      <c r="L232" s="1573">
        <f>_xll.cw_map("BBR","50-&gt;5201")</f>
        <v>0</v>
      </c>
    </row>
    <row r="233" spans="1:12" x14ac:dyDescent="0.2">
      <c r="A233" s="1274" t="s">
        <v>1082</v>
      </c>
      <c r="B233" s="503">
        <v>2120</v>
      </c>
      <c r="C233" s="1672"/>
      <c r="D233" s="1573">
        <f>_xll.cw_map("BR","50-&gt;5202.200")</f>
        <v>0</v>
      </c>
      <c r="E233" s="1672"/>
      <c r="F233" s="1672"/>
      <c r="G233" s="1672"/>
      <c r="H233" s="1672"/>
      <c r="I233" s="1672"/>
      <c r="J233" s="1672"/>
      <c r="K233" s="1671">
        <f t="shared" si="20"/>
        <v>0</v>
      </c>
      <c r="L233" s="1573">
        <f>_xll.cw_map("BBR","50-&gt;5202")</f>
        <v>0</v>
      </c>
    </row>
    <row r="234" spans="1:12" x14ac:dyDescent="0.2">
      <c r="A234" s="1274" t="s">
        <v>196</v>
      </c>
      <c r="B234" s="503">
        <v>2130</v>
      </c>
      <c r="C234" s="1672"/>
      <c r="D234" s="1573">
        <f>_xll.cw_map("BR","50-&gt;5203.200")</f>
        <v>12364</v>
      </c>
      <c r="E234" s="1672"/>
      <c r="F234" s="1672"/>
      <c r="G234" s="1672"/>
      <c r="H234" s="1672"/>
      <c r="I234" s="1672"/>
      <c r="J234" s="1672"/>
      <c r="K234" s="1671">
        <f t="shared" si="20"/>
        <v>12364</v>
      </c>
      <c r="L234" s="1573">
        <f>_xll.cw_map("BBR","50-&gt;5203")</f>
        <v>12995</v>
      </c>
    </row>
    <row r="235" spans="1:12" x14ac:dyDescent="0.2">
      <c r="A235" s="1274" t="s">
        <v>197</v>
      </c>
      <c r="B235" s="503">
        <v>2140</v>
      </c>
      <c r="C235" s="1672"/>
      <c r="D235" s="1573">
        <f>_xll.cw_map("BR","50-&gt;5204.200")</f>
        <v>0</v>
      </c>
      <c r="E235" s="1672"/>
      <c r="F235" s="1672"/>
      <c r="G235" s="1672"/>
      <c r="H235" s="1672"/>
      <c r="I235" s="1672"/>
      <c r="J235" s="1672"/>
      <c r="K235" s="1671">
        <f t="shared" si="20"/>
        <v>0</v>
      </c>
      <c r="L235" s="1573">
        <f>_xll.cw_map("BBR","50-&gt;5204")</f>
        <v>0</v>
      </c>
    </row>
    <row r="236" spans="1:12" x14ac:dyDescent="0.2">
      <c r="A236" s="1274" t="s">
        <v>198</v>
      </c>
      <c r="B236" s="503">
        <v>2150</v>
      </c>
      <c r="C236" s="1672"/>
      <c r="D236" s="1573">
        <f>_xll.cw_map("BR","50-&gt;5205.200")</f>
        <v>0</v>
      </c>
      <c r="E236" s="1672"/>
      <c r="F236" s="1672"/>
      <c r="G236" s="1672"/>
      <c r="H236" s="1672"/>
      <c r="I236" s="1672"/>
      <c r="J236" s="1672"/>
      <c r="K236" s="1671">
        <f t="shared" si="20"/>
        <v>0</v>
      </c>
      <c r="L236" s="1573">
        <f>_xll.cw_map("BBR","50-&gt;5205")</f>
        <v>0</v>
      </c>
    </row>
    <row r="237" spans="1:12" x14ac:dyDescent="0.2">
      <c r="A237" s="1274" t="s">
        <v>164</v>
      </c>
      <c r="B237" s="503">
        <v>2190</v>
      </c>
      <c r="C237" s="1672"/>
      <c r="D237" s="1573">
        <f>_xll.cw_map("BR","50-&gt;5206.200")</f>
        <v>0</v>
      </c>
      <c r="E237" s="1672"/>
      <c r="F237" s="1672"/>
      <c r="G237" s="1672"/>
      <c r="H237" s="1672"/>
      <c r="I237" s="1672"/>
      <c r="J237" s="1672"/>
      <c r="K237" s="1671">
        <f t="shared" si="20"/>
        <v>0</v>
      </c>
      <c r="L237" s="1573">
        <f>_xll.cw_map("BBR","50-&gt;5206")</f>
        <v>0</v>
      </c>
    </row>
    <row r="238" spans="1:12" ht="12.75" customHeight="1" thickBot="1" x14ac:dyDescent="0.25">
      <c r="A238" s="1380" t="s">
        <v>555</v>
      </c>
      <c r="B238" s="1383" t="s">
        <v>710</v>
      </c>
      <c r="C238" s="1672"/>
      <c r="D238" s="1673">
        <f>SUM(D232:D237)</f>
        <v>12364</v>
      </c>
      <c r="E238" s="1672"/>
      <c r="F238" s="1672"/>
      <c r="G238" s="1672"/>
      <c r="H238" s="1672"/>
      <c r="I238" s="1672"/>
      <c r="J238" s="1672"/>
      <c r="K238" s="1673">
        <f>SUM(K232:K237)</f>
        <v>12364</v>
      </c>
      <c r="L238" s="1673">
        <f>SUM(L232:L237)</f>
        <v>12995</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586">
        <f>_xll.cw_map("BR","50-&gt;5211.200")</f>
        <v>0</v>
      </c>
      <c r="E240" s="1672"/>
      <c r="F240" s="1672"/>
      <c r="G240" s="1672"/>
      <c r="H240" s="1672"/>
      <c r="I240" s="1672"/>
      <c r="J240" s="1672"/>
      <c r="K240" s="1677">
        <f>D240</f>
        <v>0</v>
      </c>
      <c r="L240" s="1586">
        <f>_xll.cw_map("BBR","50-&gt;5211")</f>
        <v>0</v>
      </c>
    </row>
    <row r="241" spans="1:12" x14ac:dyDescent="0.2">
      <c r="A241" s="1274" t="s">
        <v>809</v>
      </c>
      <c r="B241" s="503">
        <v>2220</v>
      </c>
      <c r="C241" s="1672"/>
      <c r="D241" s="1573">
        <f>_xll.cw_map("BR","50-&gt;5212.200")</f>
        <v>33513</v>
      </c>
      <c r="E241" s="1672"/>
      <c r="F241" s="1672"/>
      <c r="G241" s="1672"/>
      <c r="H241" s="1672"/>
      <c r="I241" s="1672"/>
      <c r="J241" s="1672"/>
      <c r="K241" s="1677">
        <f>D241</f>
        <v>33513</v>
      </c>
      <c r="L241" s="1573">
        <f>_xll.cw_map("BBR","50-&gt;5212")</f>
        <v>32721</v>
      </c>
    </row>
    <row r="242" spans="1:12" x14ac:dyDescent="0.2">
      <c r="A242" s="1274" t="s">
        <v>810</v>
      </c>
      <c r="B242" s="503">
        <v>2230</v>
      </c>
      <c r="C242" s="1672"/>
      <c r="D242" s="1573">
        <f>_xll.cw_map("BR","50-&gt;5213.200")</f>
        <v>18735</v>
      </c>
      <c r="E242" s="1672"/>
      <c r="F242" s="1672"/>
      <c r="G242" s="1672"/>
      <c r="H242" s="1672"/>
      <c r="I242" s="1672"/>
      <c r="J242" s="1672"/>
      <c r="K242" s="1677">
        <f>D242</f>
        <v>18735</v>
      </c>
      <c r="L242" s="1573">
        <f>_xll.cw_map("BBR","50-&gt;5213")</f>
        <v>12685</v>
      </c>
    </row>
    <row r="243" spans="1:12" ht="12.75" customHeight="1" thickBot="1" x14ac:dyDescent="0.25">
      <c r="A243" s="1396" t="s">
        <v>556</v>
      </c>
      <c r="B243" s="1397">
        <v>2200</v>
      </c>
      <c r="C243" s="1672"/>
      <c r="D243" s="1673">
        <f>SUM(D240:D242)</f>
        <v>52248</v>
      </c>
      <c r="E243" s="1672"/>
      <c r="F243" s="1672"/>
      <c r="G243" s="1672"/>
      <c r="H243" s="1672"/>
      <c r="I243" s="1672"/>
      <c r="J243" s="1672"/>
      <c r="K243" s="1673">
        <f>SUM(K240:K242)</f>
        <v>52248</v>
      </c>
      <c r="L243" s="1673">
        <f>SUM(L240:L242)</f>
        <v>45406</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6">
        <f>_xll.cw_map("BR","50-&gt;5221.200")</f>
        <v>0</v>
      </c>
      <c r="E245" s="1672"/>
      <c r="F245" s="1672"/>
      <c r="G245" s="1672"/>
      <c r="H245" s="1672"/>
      <c r="I245" s="1672"/>
      <c r="J245" s="1672"/>
      <c r="K245" s="1677">
        <f>D245</f>
        <v>0</v>
      </c>
      <c r="L245" s="1586">
        <f>_xll.cw_map("BBR","50-&gt;5221")</f>
        <v>0</v>
      </c>
    </row>
    <row r="246" spans="1:12" x14ac:dyDescent="0.2">
      <c r="A246" s="1274" t="s">
        <v>812</v>
      </c>
      <c r="B246" s="503">
        <v>2320</v>
      </c>
      <c r="C246" s="1672"/>
      <c r="D246" s="1573">
        <f>_xll.cw_map("BR","50-&gt;5222.200")</f>
        <v>14030</v>
      </c>
      <c r="E246" s="1672"/>
      <c r="F246" s="1672"/>
      <c r="G246" s="1672"/>
      <c r="H246" s="1672"/>
      <c r="I246" s="1672"/>
      <c r="J246" s="1672"/>
      <c r="K246" s="1677">
        <f t="shared" ref="K246:K256" si="21">D246</f>
        <v>14030</v>
      </c>
      <c r="L246" s="1573">
        <f>_xll.cw_map("BBR","50-&gt;5222")</f>
        <v>13555</v>
      </c>
    </row>
    <row r="247" spans="1:12" x14ac:dyDescent="0.2">
      <c r="A247" s="1274" t="s">
        <v>813</v>
      </c>
      <c r="B247" s="503">
        <v>2330</v>
      </c>
      <c r="C247" s="1672"/>
      <c r="D247" s="1573">
        <f>_xll.cw_map("BR","50-&gt;5223.200")</f>
        <v>5446</v>
      </c>
      <c r="E247" s="1672"/>
      <c r="F247" s="1672"/>
      <c r="G247" s="1672"/>
      <c r="H247" s="1672"/>
      <c r="I247" s="1672"/>
      <c r="J247" s="1672"/>
      <c r="K247" s="1677">
        <f t="shared" si="21"/>
        <v>5446</v>
      </c>
      <c r="L247" s="1573">
        <f>_xll.cw_map("BBR","50-&gt;5223")</f>
        <v>11440</v>
      </c>
    </row>
    <row r="248" spans="1:12" x14ac:dyDescent="0.2">
      <c r="A248" s="1275" t="s">
        <v>295</v>
      </c>
      <c r="B248" s="494" t="s">
        <v>278</v>
      </c>
      <c r="C248" s="1672"/>
      <c r="D248" s="1579">
        <f>_xll.cw_map("BR","50-&gt;5225.1.A.200")</f>
        <v>0</v>
      </c>
      <c r="E248" s="1672"/>
      <c r="F248" s="1672"/>
      <c r="G248" s="1672"/>
      <c r="H248" s="1672"/>
      <c r="I248" s="1672"/>
      <c r="J248" s="1672"/>
      <c r="K248" s="1677">
        <f t="shared" si="21"/>
        <v>0</v>
      </c>
      <c r="L248" s="1573">
        <f>_xll.cw_map("BBR","50-&gt;5225.1")</f>
        <v>0</v>
      </c>
    </row>
    <row r="249" spans="1:12" x14ac:dyDescent="0.2">
      <c r="A249" s="1276" t="s">
        <v>1781</v>
      </c>
      <c r="B249" s="557" t="s">
        <v>279</v>
      </c>
      <c r="C249" s="1672"/>
      <c r="D249" s="1579">
        <f>_xll.cw_map("BR","50-&gt;5225.1.B.200")</f>
        <v>0</v>
      </c>
      <c r="E249" s="1672"/>
      <c r="F249" s="1672"/>
      <c r="G249" s="1672"/>
      <c r="H249" s="1672"/>
      <c r="I249" s="1672"/>
      <c r="J249" s="1672"/>
      <c r="K249" s="1677">
        <f t="shared" si="21"/>
        <v>0</v>
      </c>
      <c r="L249" s="1573">
        <f>_xll.cw_map("BBR","50-&gt;5225.2")</f>
        <v>0</v>
      </c>
    </row>
    <row r="250" spans="1:12" x14ac:dyDescent="0.2">
      <c r="A250" s="1275" t="s">
        <v>1782</v>
      </c>
      <c r="B250" s="494" t="s">
        <v>280</v>
      </c>
      <c r="C250" s="1672"/>
      <c r="D250" s="1579">
        <f>_xll.cw_map("BR","50-&gt;5225.1.C.200")</f>
        <v>0</v>
      </c>
      <c r="E250" s="1672"/>
      <c r="F250" s="1672"/>
      <c r="G250" s="1672"/>
      <c r="H250" s="1672"/>
      <c r="I250" s="1672"/>
      <c r="J250" s="1672"/>
      <c r="K250" s="1677">
        <f t="shared" si="21"/>
        <v>0</v>
      </c>
      <c r="L250" s="1573">
        <f>_xll.cw_map("BBR","50-&gt;5225.3")</f>
        <v>0</v>
      </c>
    </row>
    <row r="251" spans="1:12" x14ac:dyDescent="0.2">
      <c r="A251" s="1275" t="s">
        <v>236</v>
      </c>
      <c r="B251" s="494" t="s">
        <v>281</v>
      </c>
      <c r="C251" s="1672"/>
      <c r="D251" s="1579">
        <f>_xll.cw_map("BR","50-&gt;5225.1.D.200")</f>
        <v>0</v>
      </c>
      <c r="E251" s="1672"/>
      <c r="F251" s="1672"/>
      <c r="G251" s="1672"/>
      <c r="H251" s="1672"/>
      <c r="I251" s="1672"/>
      <c r="J251" s="1672"/>
      <c r="K251" s="1677">
        <f t="shared" si="21"/>
        <v>0</v>
      </c>
      <c r="L251" s="1573">
        <f>_xll.cw_map("BBR","50-&gt;5225.4")</f>
        <v>0</v>
      </c>
    </row>
    <row r="252" spans="1:12" x14ac:dyDescent="0.2">
      <c r="A252" s="1275" t="s">
        <v>696</v>
      </c>
      <c r="B252" s="494" t="s">
        <v>282</v>
      </c>
      <c r="C252" s="1672"/>
      <c r="D252" s="1579">
        <f>_xll.cw_map("BR","50-&gt;5225.1.E.200")</f>
        <v>0</v>
      </c>
      <c r="E252" s="1672"/>
      <c r="F252" s="1672"/>
      <c r="G252" s="1672"/>
      <c r="H252" s="1672"/>
      <c r="I252" s="1672"/>
      <c r="J252" s="1672"/>
      <c r="K252" s="1677">
        <f t="shared" si="21"/>
        <v>0</v>
      </c>
      <c r="L252" s="1573">
        <f>_xll.cw_map("BBR","50-&gt;5225.5")</f>
        <v>0</v>
      </c>
    </row>
    <row r="253" spans="1:12" x14ac:dyDescent="0.2">
      <c r="A253" s="1275" t="s">
        <v>237</v>
      </c>
      <c r="B253" s="494" t="s">
        <v>283</v>
      </c>
      <c r="C253" s="1672"/>
      <c r="D253" s="1579">
        <f>_xll.cw_map("BR","50-&gt;5225.1.F.200")</f>
        <v>0</v>
      </c>
      <c r="E253" s="1672"/>
      <c r="F253" s="1672"/>
      <c r="G253" s="1672"/>
      <c r="H253" s="1672"/>
      <c r="I253" s="1672"/>
      <c r="J253" s="1672"/>
      <c r="K253" s="1677">
        <f t="shared" si="21"/>
        <v>0</v>
      </c>
      <c r="L253" s="1573">
        <f>_xll.cw_map("BBR","50-&gt;5225.6")</f>
        <v>0</v>
      </c>
    </row>
    <row r="254" spans="1:12" ht="22.5" x14ac:dyDescent="0.2">
      <c r="A254" s="1275" t="s">
        <v>1021</v>
      </c>
      <c r="B254" s="557" t="s">
        <v>284</v>
      </c>
      <c r="C254" s="1672"/>
      <c r="D254" s="1579">
        <f>_xll.cw_map("BR","50-&gt;5225.1.G.200")</f>
        <v>0</v>
      </c>
      <c r="E254" s="1672"/>
      <c r="F254" s="1672"/>
      <c r="G254" s="1672"/>
      <c r="H254" s="1672"/>
      <c r="I254" s="1672"/>
      <c r="J254" s="1672"/>
      <c r="K254" s="1677">
        <f t="shared" si="21"/>
        <v>0</v>
      </c>
      <c r="L254" s="1573">
        <f>_xll.cw_map("BBR","50-&gt;5225.7")</f>
        <v>0</v>
      </c>
    </row>
    <row r="255" spans="1:12" x14ac:dyDescent="0.2">
      <c r="A255" s="1275" t="s">
        <v>1022</v>
      </c>
      <c r="B255" s="494" t="s">
        <v>285</v>
      </c>
      <c r="C255" s="1672"/>
      <c r="D255" s="1579">
        <f>_xll.cw_map("BR","50-&gt;5225.1.H.200")</f>
        <v>0</v>
      </c>
      <c r="E255" s="1672"/>
      <c r="F255" s="1672"/>
      <c r="G255" s="1672"/>
      <c r="H255" s="1672"/>
      <c r="I255" s="1672"/>
      <c r="J255" s="1672"/>
      <c r="K255" s="1677">
        <f t="shared" si="21"/>
        <v>0</v>
      </c>
      <c r="L255" s="1573">
        <f>_xll.cw_map("BBR","50-&gt;5225.8")</f>
        <v>0</v>
      </c>
    </row>
    <row r="256" spans="1:12" x14ac:dyDescent="0.2">
      <c r="A256" s="1275" t="s">
        <v>964</v>
      </c>
      <c r="B256" s="503" t="s">
        <v>286</v>
      </c>
      <c r="C256" s="1672"/>
      <c r="D256" s="1579">
        <f>_xll.cw_map("BR","50-&gt;5225.1.I.200")</f>
        <v>0</v>
      </c>
      <c r="E256" s="1672"/>
      <c r="F256" s="1672"/>
      <c r="G256" s="1672"/>
      <c r="H256" s="1672"/>
      <c r="I256" s="1672"/>
      <c r="J256" s="1672"/>
      <c r="K256" s="1677">
        <f t="shared" si="21"/>
        <v>0</v>
      </c>
      <c r="L256" s="1573">
        <f>_xll.cw_map("BBR","50-&gt;5225.9")</f>
        <v>0</v>
      </c>
    </row>
    <row r="257" spans="1:14" ht="12.75" customHeight="1" thickBot="1" x14ac:dyDescent="0.25">
      <c r="A257" s="1380" t="s">
        <v>711</v>
      </c>
      <c r="B257" s="1398">
        <v>2300</v>
      </c>
      <c r="C257" s="1672"/>
      <c r="D257" s="1673">
        <f>SUM(D245:D256)</f>
        <v>19476</v>
      </c>
      <c r="E257" s="1672"/>
      <c r="F257" s="1672"/>
      <c r="G257" s="1672"/>
      <c r="H257" s="1672"/>
      <c r="I257" s="1672"/>
      <c r="J257" s="1672"/>
      <c r="K257" s="1673">
        <f>SUM(K245:K256)</f>
        <v>19476</v>
      </c>
      <c r="L257" s="1673">
        <f>SUM(L245:L256)</f>
        <v>24995</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586">
        <f>_xll.cw_map("BR","50-&gt;5231.200")</f>
        <v>40897</v>
      </c>
      <c r="E259" s="1672"/>
      <c r="F259" s="1672"/>
      <c r="G259" s="1672"/>
      <c r="H259" s="1672"/>
      <c r="I259" s="1672"/>
      <c r="J259" s="1672"/>
      <c r="K259" s="1677">
        <f>D259</f>
        <v>40897</v>
      </c>
      <c r="L259" s="1586">
        <f>_xll.cw_map("BBR","50-&gt;5231")</f>
        <v>39624</v>
      </c>
    </row>
    <row r="260" spans="1:14" s="493" customFormat="1" x14ac:dyDescent="0.2">
      <c r="A260" s="1292" t="s">
        <v>1780</v>
      </c>
      <c r="B260" s="512">
        <v>2490</v>
      </c>
      <c r="C260" s="1672"/>
      <c r="D260" s="1573">
        <f>_xll.cw_map("BR","50-&gt;5232.200")</f>
        <v>0</v>
      </c>
      <c r="E260" s="1672"/>
      <c r="F260" s="1672"/>
      <c r="G260" s="1672"/>
      <c r="H260" s="1672"/>
      <c r="I260" s="1672"/>
      <c r="J260" s="1672"/>
      <c r="K260" s="1677">
        <f>D260</f>
        <v>0</v>
      </c>
      <c r="L260" s="1573">
        <f>_xll.cw_map("BBR","50-&gt;5232")</f>
        <v>0</v>
      </c>
      <c r="M260" s="205"/>
      <c r="N260" s="205"/>
    </row>
    <row r="261" spans="1:14" ht="12.75" customHeight="1" thickBot="1" x14ac:dyDescent="0.25">
      <c r="A261" s="1394" t="s">
        <v>261</v>
      </c>
      <c r="B261" s="1399" t="s">
        <v>34</v>
      </c>
      <c r="C261" s="1672"/>
      <c r="D261" s="1673">
        <f>SUM(D259:D260)</f>
        <v>40897</v>
      </c>
      <c r="E261" s="1672"/>
      <c r="F261" s="1672"/>
      <c r="G261" s="1672"/>
      <c r="H261" s="1672"/>
      <c r="I261" s="1672"/>
      <c r="J261" s="1672"/>
      <c r="K261" s="1673">
        <f>SUM(K259:K260)</f>
        <v>40897</v>
      </c>
      <c r="L261" s="1673">
        <f>SUM(L259:L260)</f>
        <v>39624</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3">
        <f>_xll.cw_map("BR","50-&gt;5241.200")</f>
        <v>0</v>
      </c>
      <c r="E263" s="1672"/>
      <c r="F263" s="1672"/>
      <c r="G263" s="1672"/>
      <c r="H263" s="1672"/>
      <c r="I263" s="1672"/>
      <c r="J263" s="1672"/>
      <c r="K263" s="1677">
        <f>D263</f>
        <v>0</v>
      </c>
      <c r="L263" s="1586">
        <f>_xll.cw_map("BBR","50-&gt;5241")</f>
        <v>0</v>
      </c>
    </row>
    <row r="264" spans="1:14" x14ac:dyDescent="0.2">
      <c r="A264" s="1274" t="s">
        <v>459</v>
      </c>
      <c r="B264" s="559">
        <v>2520</v>
      </c>
      <c r="C264" s="1672"/>
      <c r="D264" s="1573">
        <f>_xll.cw_map("BR","50-&gt;5242.200")</f>
        <v>21133</v>
      </c>
      <c r="E264" s="1672"/>
      <c r="F264" s="1672"/>
      <c r="G264" s="1672"/>
      <c r="H264" s="1672"/>
      <c r="I264" s="1672"/>
      <c r="J264" s="1672"/>
      <c r="K264" s="1677">
        <f t="shared" ref="K264:K269" si="22">D264</f>
        <v>21133</v>
      </c>
      <c r="L264" s="1573">
        <f>_xll.cw_map("BBR","50-&gt;5242")</f>
        <v>20171</v>
      </c>
    </row>
    <row r="265" spans="1:14" x14ac:dyDescent="0.2">
      <c r="A265" s="1274" t="s">
        <v>4</v>
      </c>
      <c r="B265" s="503">
        <v>2530</v>
      </c>
      <c r="C265" s="1672"/>
      <c r="D265" s="1573">
        <f>_xll.cw_map("BR","50-&gt;5245.200")</f>
        <v>0</v>
      </c>
      <c r="E265" s="1672"/>
      <c r="F265" s="1672"/>
      <c r="G265" s="1672"/>
      <c r="H265" s="1672"/>
      <c r="I265" s="1672"/>
      <c r="J265" s="1672"/>
      <c r="K265" s="1677">
        <f t="shared" si="22"/>
        <v>0</v>
      </c>
      <c r="L265" s="1573">
        <f>_xll.cw_map("BBR","50-&gt;5245")</f>
        <v>0</v>
      </c>
    </row>
    <row r="266" spans="1:14" x14ac:dyDescent="0.2">
      <c r="A266" s="1274" t="s">
        <v>195</v>
      </c>
      <c r="B266" s="503">
        <v>2540</v>
      </c>
      <c r="C266" s="1672"/>
      <c r="D266" s="1573">
        <f>_xll.cw_map("BR","50-&gt;5243.200")</f>
        <v>49145</v>
      </c>
      <c r="E266" s="1672"/>
      <c r="F266" s="1672"/>
      <c r="G266" s="1672"/>
      <c r="H266" s="1672"/>
      <c r="I266" s="1672"/>
      <c r="J266" s="1672"/>
      <c r="K266" s="1677">
        <f t="shared" si="22"/>
        <v>49145</v>
      </c>
      <c r="L266" s="1573">
        <f>_xll.cw_map("BBR","50-&gt;5243")</f>
        <v>64945</v>
      </c>
    </row>
    <row r="267" spans="1:14" x14ac:dyDescent="0.2">
      <c r="A267" s="1274" t="s">
        <v>946</v>
      </c>
      <c r="B267" s="503">
        <v>2550</v>
      </c>
      <c r="C267" s="1672"/>
      <c r="D267" s="1573">
        <f>_xll.cw_map("BR","50-&gt;5244.200")</f>
        <v>36960</v>
      </c>
      <c r="E267" s="1672"/>
      <c r="F267" s="1672"/>
      <c r="G267" s="1672"/>
      <c r="H267" s="1672"/>
      <c r="I267" s="1672"/>
      <c r="J267" s="1672"/>
      <c r="K267" s="1677">
        <f t="shared" si="22"/>
        <v>36960</v>
      </c>
      <c r="L267" s="1573">
        <f>_xll.cw_map("BBR","50-&gt;5244")</f>
        <v>37057</v>
      </c>
    </row>
    <row r="268" spans="1:14" x14ac:dyDescent="0.2">
      <c r="A268" s="1274" t="s">
        <v>100</v>
      </c>
      <c r="B268" s="503">
        <v>2560</v>
      </c>
      <c r="C268" s="1672"/>
      <c r="D268" s="1573">
        <f>_xll.cw_map("BR","50-&gt;5246.200")</f>
        <v>32779</v>
      </c>
      <c r="E268" s="1672"/>
      <c r="F268" s="1672"/>
      <c r="G268" s="1672"/>
      <c r="H268" s="1672"/>
      <c r="I268" s="1672"/>
      <c r="J268" s="1672"/>
      <c r="K268" s="1677">
        <f t="shared" si="22"/>
        <v>32779</v>
      </c>
      <c r="L268" s="1573">
        <f>_xll.cw_map("BBR","50-&gt;5246")</f>
        <v>33255</v>
      </c>
    </row>
    <row r="269" spans="1:14" x14ac:dyDescent="0.2">
      <c r="A269" s="1274" t="s">
        <v>101</v>
      </c>
      <c r="B269" s="503">
        <v>2570</v>
      </c>
      <c r="C269" s="1672"/>
      <c r="D269" s="1573">
        <f>_xll.cw_map("BR","50-&gt;5247.200")</f>
        <v>0</v>
      </c>
      <c r="E269" s="1672"/>
      <c r="F269" s="1672"/>
      <c r="G269" s="1672"/>
      <c r="H269" s="1672"/>
      <c r="I269" s="1672"/>
      <c r="J269" s="1672"/>
      <c r="K269" s="1677">
        <f t="shared" si="22"/>
        <v>0</v>
      </c>
      <c r="L269" s="1573">
        <f>_xll.cw_map("BBR","50-&gt;5247")</f>
        <v>0</v>
      </c>
    </row>
    <row r="270" spans="1:14" ht="12.75" customHeight="1" thickBot="1" x14ac:dyDescent="0.25">
      <c r="A270" s="1380" t="s">
        <v>713</v>
      </c>
      <c r="B270" s="1383" t="s">
        <v>35</v>
      </c>
      <c r="C270" s="1672"/>
      <c r="D270" s="1673">
        <f>SUM(D263:D269)</f>
        <v>140017</v>
      </c>
      <c r="E270" s="1672"/>
      <c r="F270" s="1672"/>
      <c r="G270" s="1672"/>
      <c r="H270" s="1672"/>
      <c r="I270" s="1672"/>
      <c r="J270" s="1672"/>
      <c r="K270" s="1673">
        <f>SUM(K263:K269)</f>
        <v>140017</v>
      </c>
      <c r="L270" s="1673">
        <f>SUM(L263:L269)</f>
        <v>155428</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6">
        <f>_xll.cw_map("BR","50-&gt;5265.200")</f>
        <v>0</v>
      </c>
      <c r="E272" s="1672"/>
      <c r="F272" s="1672"/>
      <c r="G272" s="1672"/>
      <c r="H272" s="1672"/>
      <c r="I272" s="1672"/>
      <c r="J272" s="1672"/>
      <c r="K272" s="1677">
        <f>D272</f>
        <v>0</v>
      </c>
      <c r="L272" s="1586">
        <f>_xll.cw_map("BBR","50-&gt;5265")</f>
        <v>0</v>
      </c>
    </row>
    <row r="273" spans="1:12" x14ac:dyDescent="0.2">
      <c r="A273" s="1274" t="s">
        <v>602</v>
      </c>
      <c r="B273" s="512">
        <v>2620</v>
      </c>
      <c r="C273" s="1672"/>
      <c r="D273" s="1573">
        <f>_xll.cw_map("BR","50-&gt;5264.200")</f>
        <v>0</v>
      </c>
      <c r="E273" s="1672"/>
      <c r="F273" s="1672"/>
      <c r="G273" s="1672"/>
      <c r="H273" s="1672"/>
      <c r="I273" s="1672"/>
      <c r="J273" s="1672"/>
      <c r="K273" s="1677">
        <f>D273</f>
        <v>0</v>
      </c>
      <c r="L273" s="1573">
        <f>_xll.cw_map("BBR","50-&gt;5264")</f>
        <v>0</v>
      </c>
    </row>
    <row r="274" spans="1:12" ht="12" customHeight="1" x14ac:dyDescent="0.2">
      <c r="A274" s="1274" t="s">
        <v>1053</v>
      </c>
      <c r="B274" s="503">
        <v>2630</v>
      </c>
      <c r="C274" s="1672"/>
      <c r="D274" s="1573">
        <f>_xll.cw_map("BR","50-&gt;5261.200")</f>
        <v>0</v>
      </c>
      <c r="E274" s="1672"/>
      <c r="F274" s="1672"/>
      <c r="G274" s="1672"/>
      <c r="H274" s="1672"/>
      <c r="I274" s="1672"/>
      <c r="J274" s="1672"/>
      <c r="K274" s="1677">
        <f>D274</f>
        <v>0</v>
      </c>
      <c r="L274" s="1573">
        <f>_xll.cw_map("BBR","50-&gt;5261")</f>
        <v>0</v>
      </c>
    </row>
    <row r="275" spans="1:12" x14ac:dyDescent="0.2">
      <c r="A275" s="1274" t="s">
        <v>399</v>
      </c>
      <c r="B275" s="503">
        <v>2640</v>
      </c>
      <c r="C275" s="1672"/>
      <c r="D275" s="1573">
        <f>_xll.cw_map("BR","50-&gt;5262.200")</f>
        <v>0</v>
      </c>
      <c r="E275" s="1672"/>
      <c r="F275" s="1672"/>
      <c r="G275" s="1672"/>
      <c r="H275" s="1672"/>
      <c r="I275" s="1672"/>
      <c r="J275" s="1672"/>
      <c r="K275" s="1677">
        <f>D275</f>
        <v>0</v>
      </c>
      <c r="L275" s="1573">
        <f>_xll.cw_map("BBR","50-&gt;5262")</f>
        <v>0</v>
      </c>
    </row>
    <row r="276" spans="1:12" x14ac:dyDescent="0.2">
      <c r="A276" s="1274" t="s">
        <v>400</v>
      </c>
      <c r="B276" s="503">
        <v>2660</v>
      </c>
      <c r="C276" s="1672"/>
      <c r="D276" s="1573">
        <f>_xll.cw_map("BR","50-&gt;5263.200")</f>
        <v>0</v>
      </c>
      <c r="E276" s="1672"/>
      <c r="F276" s="1672"/>
      <c r="G276" s="1672"/>
      <c r="H276" s="1672"/>
      <c r="I276" s="1672"/>
      <c r="J276" s="1672"/>
      <c r="K276" s="1677">
        <f>D276</f>
        <v>0</v>
      </c>
      <c r="L276" s="1573">
        <f>_xll.cw_map("BBR","50-&gt;5263")</f>
        <v>0</v>
      </c>
    </row>
    <row r="277" spans="1:12" ht="12.75" customHeight="1" thickBot="1" x14ac:dyDescent="0.25">
      <c r="A277" s="1393" t="s">
        <v>37</v>
      </c>
      <c r="B277" s="1381" t="s">
        <v>36</v>
      </c>
      <c r="C277" s="1672"/>
      <c r="D277" s="1673">
        <f>SUM(D272:D276)</f>
        <v>0</v>
      </c>
      <c r="E277" s="1672"/>
      <c r="F277" s="1672"/>
      <c r="G277" s="1672"/>
      <c r="H277" s="1672"/>
      <c r="I277" s="1672"/>
      <c r="J277" s="1672"/>
      <c r="K277" s="1673">
        <f>SUM(K272:K276)</f>
        <v>0</v>
      </c>
      <c r="L277" s="1673">
        <f>SUM(L272:L276)</f>
        <v>0</v>
      </c>
    </row>
    <row r="278" spans="1:12" ht="13.5" customHeight="1" thickTop="1" x14ac:dyDescent="0.2">
      <c r="A278" s="1280" t="s">
        <v>972</v>
      </c>
      <c r="B278" s="531" t="s">
        <v>569</v>
      </c>
      <c r="C278" s="1672"/>
      <c r="D278" s="1694">
        <f>_xll.cw_map("BR","50-&gt;5270.200")</f>
        <v>0</v>
      </c>
      <c r="E278" s="1672"/>
      <c r="F278" s="1672"/>
      <c r="G278" s="1672"/>
      <c r="H278" s="1672"/>
      <c r="I278" s="1672"/>
      <c r="J278" s="1672"/>
      <c r="K278" s="1695">
        <f>D278</f>
        <v>0</v>
      </c>
      <c r="L278" s="1694">
        <f>_xll.cw_map("BBR","50-&gt;5248")</f>
        <v>0</v>
      </c>
    </row>
    <row r="279" spans="1:12" ht="12.75" customHeight="1" thickBot="1" x14ac:dyDescent="0.25">
      <c r="A279" s="1400" t="s">
        <v>805</v>
      </c>
      <c r="B279" s="1387">
        <v>2000</v>
      </c>
      <c r="C279" s="1672"/>
      <c r="D279" s="1680">
        <f>SUM(D238,D243,D257,D261,D270,D277,D278)</f>
        <v>265002</v>
      </c>
      <c r="E279" s="1672"/>
      <c r="F279" s="1672"/>
      <c r="G279" s="1672"/>
      <c r="H279" s="1672"/>
      <c r="I279" s="1672"/>
      <c r="J279" s="1672"/>
      <c r="K279" s="1680">
        <f>SUM(K238,K243,K257,K261,K270,K277,K278)</f>
        <v>265002</v>
      </c>
      <c r="L279" s="1680">
        <f>SUM(L238,L243,L257,L261,L270,L277,L278)</f>
        <v>278448</v>
      </c>
    </row>
    <row r="280" spans="1:12" ht="15.75" customHeight="1" thickTop="1" thickBot="1" x14ac:dyDescent="0.25">
      <c r="A280" s="1362" t="s">
        <v>869</v>
      </c>
      <c r="B280" s="1351">
        <v>3000</v>
      </c>
      <c r="C280" s="1672"/>
      <c r="D280" s="1650">
        <f>_xll.cw_map("BR","50-&gt;5320.200")</f>
        <v>0</v>
      </c>
      <c r="E280" s="1672"/>
      <c r="F280" s="1672"/>
      <c r="G280" s="1672"/>
      <c r="H280" s="1672"/>
      <c r="I280" s="1672"/>
      <c r="J280" s="1672"/>
      <c r="K280" s="1686">
        <f>D280</f>
        <v>0</v>
      </c>
      <c r="L280" s="1650">
        <f>_xll.cw_map("BBR","50-&gt;5320")</f>
        <v>0</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1815</v>
      </c>
      <c r="C282" s="1672"/>
      <c r="D282" s="1574">
        <f>_xll.cw_map("BR","50-&gt;5341.200")</f>
        <v>0</v>
      </c>
      <c r="E282" s="1672"/>
      <c r="F282" s="1672"/>
      <c r="G282" s="1672"/>
      <c r="H282" s="1672"/>
      <c r="I282" s="1672"/>
      <c r="J282" s="1672"/>
      <c r="K282" s="1671">
        <f>D282</f>
        <v>0</v>
      </c>
      <c r="L282" s="1574">
        <f>_xll.cw_map("BBR","50-&gt;5341")</f>
        <v>0</v>
      </c>
    </row>
    <row r="283" spans="1:12" x14ac:dyDescent="0.2">
      <c r="A283" s="1274" t="s">
        <v>300</v>
      </c>
      <c r="B283" s="503">
        <v>4120</v>
      </c>
      <c r="C283" s="1672"/>
      <c r="D283" s="1573">
        <f>_xll.cw_map("BR","50-&gt;5342.200")</f>
        <v>0</v>
      </c>
      <c r="E283" s="1672"/>
      <c r="F283" s="1672"/>
      <c r="G283" s="1672"/>
      <c r="H283" s="1672"/>
      <c r="I283" s="1672"/>
      <c r="J283" s="1672"/>
      <c r="K283" s="1671">
        <f>D283</f>
        <v>0</v>
      </c>
      <c r="L283" s="1573">
        <f>_xll.cw_map("BBR","50-&gt;5342")</f>
        <v>0</v>
      </c>
    </row>
    <row r="284" spans="1:12" x14ac:dyDescent="0.2">
      <c r="A284" s="1274" t="s">
        <v>691</v>
      </c>
      <c r="B284" s="503">
        <v>4140</v>
      </c>
      <c r="C284" s="1672"/>
      <c r="D284" s="1574">
        <f>_xll.cw_map("BR","50-&gt;5344.200")</f>
        <v>0</v>
      </c>
      <c r="E284" s="1672"/>
      <c r="F284" s="1672"/>
      <c r="G284" s="1672"/>
      <c r="H284" s="1672"/>
      <c r="I284" s="1672"/>
      <c r="J284" s="1672"/>
      <c r="K284" s="1671">
        <f>D284</f>
        <v>0</v>
      </c>
      <c r="L284" s="1573">
        <f>_xll.cw_map("BBR","50-&gt;5344")</f>
        <v>0</v>
      </c>
    </row>
    <row r="285" spans="1:12" ht="12.75" customHeight="1" thickBot="1" x14ac:dyDescent="0.25">
      <c r="A285" s="1380" t="s">
        <v>1472</v>
      </c>
      <c r="B285" s="1381" t="s">
        <v>854</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f>_xll.cw_map("BR","50-&gt;5402.110")</f>
        <v>0</v>
      </c>
      <c r="I288" s="1672"/>
      <c r="J288" s="1672"/>
      <c r="K288" s="1671">
        <f>H288</f>
        <v>0</v>
      </c>
      <c r="L288" s="1573">
        <f>_xll.cw_map("BBR","50-&gt;5402.110")</f>
        <v>0</v>
      </c>
    </row>
    <row r="289" spans="1:14" x14ac:dyDescent="0.2">
      <c r="A289" s="1274" t="s">
        <v>88</v>
      </c>
      <c r="B289" s="503">
        <v>5120</v>
      </c>
      <c r="C289" s="1672"/>
      <c r="D289" s="1672"/>
      <c r="E289" s="1672"/>
      <c r="F289" s="1672"/>
      <c r="G289" s="1672"/>
      <c r="H289" s="1573">
        <f>_xll.cw_map("BR","50-&gt;5402.120")</f>
        <v>0</v>
      </c>
      <c r="I289" s="1672"/>
      <c r="J289" s="1672"/>
      <c r="K289" s="1671">
        <f>H289</f>
        <v>0</v>
      </c>
      <c r="L289" s="1573">
        <f>_xll.cw_map("BBR","50-&gt;5402.120")</f>
        <v>0</v>
      </c>
    </row>
    <row r="290" spans="1:14" ht="12.75" customHeight="1" x14ac:dyDescent="0.2">
      <c r="A290" s="1274" t="s">
        <v>1161</v>
      </c>
      <c r="B290" s="512" t="s">
        <v>612</v>
      </c>
      <c r="C290" s="1672"/>
      <c r="D290" s="1672"/>
      <c r="E290" s="1672"/>
      <c r="F290" s="1672"/>
      <c r="G290" s="1672"/>
      <c r="H290" s="1573">
        <f>_xll.cw_map("BR","50-&gt;5402.130")</f>
        <v>0</v>
      </c>
      <c r="I290" s="1672"/>
      <c r="J290" s="1672"/>
      <c r="K290" s="1671">
        <f>H290</f>
        <v>0</v>
      </c>
      <c r="L290" s="1573">
        <f>_xll.cw_map("BBR","50-&gt;5402.130")</f>
        <v>0</v>
      </c>
    </row>
    <row r="291" spans="1:14" x14ac:dyDescent="0.2">
      <c r="A291" s="1274" t="s">
        <v>89</v>
      </c>
      <c r="B291" s="503" t="s">
        <v>584</v>
      </c>
      <c r="C291" s="1672"/>
      <c r="D291" s="1672"/>
      <c r="E291" s="1672"/>
      <c r="F291" s="1672"/>
      <c r="G291" s="1672"/>
      <c r="H291" s="1573">
        <f>_xll.cw_map("BR","50-&gt;5402.140")</f>
        <v>0</v>
      </c>
      <c r="I291" s="1672"/>
      <c r="J291" s="1672"/>
      <c r="K291" s="1671">
        <f>H291</f>
        <v>0</v>
      </c>
      <c r="L291" s="1573">
        <f>_xll.cw_map("BBR","50-&gt;5402.140")</f>
        <v>0</v>
      </c>
    </row>
    <row r="292" spans="1:14" x14ac:dyDescent="0.2">
      <c r="A292" s="1274" t="s">
        <v>756</v>
      </c>
      <c r="B292" s="503" t="s">
        <v>613</v>
      </c>
      <c r="C292" s="1672"/>
      <c r="D292" s="1672"/>
      <c r="E292" s="1672"/>
      <c r="F292" s="1672"/>
      <c r="G292" s="1672"/>
      <c r="H292" s="1573">
        <f>_xll.cw_map("BR","50-&gt;5402.150")</f>
        <v>0</v>
      </c>
      <c r="I292" s="1672"/>
      <c r="J292" s="1672"/>
      <c r="K292" s="1671">
        <f>H292</f>
        <v>0</v>
      </c>
      <c r="L292" s="1573">
        <f>_xll.cw_map("BBR","50-&gt;5402.150")</f>
        <v>0</v>
      </c>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f>_xll.cw_map("BBR","50-&gt;5410.100")</f>
        <v>0</v>
      </c>
    </row>
    <row r="295" spans="1:14" ht="12.75" customHeight="1" thickTop="1" thickBot="1" x14ac:dyDescent="0.25">
      <c r="A295" s="2313" t="s">
        <v>501</v>
      </c>
      <c r="B295" s="2314"/>
      <c r="C295" s="1672"/>
      <c r="D295" s="1673">
        <f>SUM(D229,D279,D280,D285)</f>
        <v>357948</v>
      </c>
      <c r="E295" s="1672"/>
      <c r="F295" s="1672"/>
      <c r="G295" s="1672"/>
      <c r="H295" s="1673">
        <f>H293</f>
        <v>0</v>
      </c>
      <c r="I295" s="1672"/>
      <c r="J295" s="1672"/>
      <c r="K295" s="1673">
        <f>SUM(K229,K279,K280,K285,K293,K294)</f>
        <v>357948</v>
      </c>
      <c r="L295" s="1673">
        <f>SUM(L229,L279,L280,L285,L293,L294)</f>
        <v>394970</v>
      </c>
    </row>
    <row r="296" spans="1:14" ht="13.5" thickTop="1" x14ac:dyDescent="0.2">
      <c r="A296" s="2295" t="s">
        <v>988</v>
      </c>
      <c r="B296" s="2296"/>
      <c r="C296" s="1672"/>
      <c r="D296" s="1674"/>
      <c r="E296" s="1672"/>
      <c r="F296" s="1672"/>
      <c r="G296" s="1672"/>
      <c r="H296" s="1706"/>
      <c r="I296" s="1672"/>
      <c r="J296" s="1672"/>
      <c r="K296" s="1688">
        <f>'Revenues 9-14'!G268-'Expenditures 15-22'!K295</f>
        <v>-25519</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305" t="s">
        <v>142</v>
      </c>
      <c r="B298" s="2299"/>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3">
        <f>_xll.cw_map("BR","60-&gt;5245.100")</f>
        <v>0</v>
      </c>
      <c r="D301" s="1573">
        <f>_xll.cw_map("BR","60-&gt;5245.200")</f>
        <v>0</v>
      </c>
      <c r="E301" s="1573">
        <f>_xll.cw_map("BR","60-&gt;5245.300")</f>
        <v>1198136</v>
      </c>
      <c r="F301" s="1573">
        <f>_xll.cw_map("BR","60-&gt;5245.400")</f>
        <v>0</v>
      </c>
      <c r="G301" s="1573">
        <f>_xll.cw_map("BR","60-&gt;5245.500")</f>
        <v>19048778</v>
      </c>
      <c r="H301" s="1573">
        <f>_xll.cw_map("BR","60-&gt;5245.600")</f>
        <v>0</v>
      </c>
      <c r="I301" s="1574">
        <f>_xll.cw_map("BR","60-&gt;5245.700")</f>
        <v>0</v>
      </c>
      <c r="J301" s="1574">
        <f>_xll.cw_map("BR","60-&gt;5245.800")</f>
        <v>0</v>
      </c>
      <c r="K301" s="1671">
        <f>SUM(C301:J301)</f>
        <v>20246914</v>
      </c>
      <c r="L301" s="1574">
        <f>_xll.cw_map("BBR","60-&gt;5245")</f>
        <v>20958558</v>
      </c>
    </row>
    <row r="302" spans="1:14" ht="13.5" customHeight="1" x14ac:dyDescent="0.2">
      <c r="A302" s="1287" t="s">
        <v>972</v>
      </c>
      <c r="B302" s="503" t="s">
        <v>569</v>
      </c>
      <c r="C302" s="1573">
        <f>_xll.cw_map("BR","60-&gt;5243.100")</f>
        <v>0</v>
      </c>
      <c r="D302" s="1573">
        <f>_xll.cw_map("BR","60-&gt;5243.200")</f>
        <v>0</v>
      </c>
      <c r="E302" s="1573">
        <f>_xll.cw_map("BR","60-&gt;5243.300")</f>
        <v>0</v>
      </c>
      <c r="F302" s="1573">
        <f>_xll.cw_map("BR","60-&gt;5243.400")</f>
        <v>0</v>
      </c>
      <c r="G302" s="1573">
        <f>_xll.cw_map("BR","60-&gt;5243.500")</f>
        <v>0</v>
      </c>
      <c r="H302" s="1573">
        <f>_xll.cw_map("BR","60-&gt;5243.600")</f>
        <v>0</v>
      </c>
      <c r="I302" s="1574">
        <f>_xll.cw_map("BR","60-&gt;5243.700")</f>
        <v>0</v>
      </c>
      <c r="J302" s="1574">
        <f>_xll.cw_map("BR","60-&gt;5243.800")</f>
        <v>0</v>
      </c>
      <c r="K302" s="1671">
        <f>SUM(C302:J302)</f>
        <v>0</v>
      </c>
      <c r="L302" s="1573">
        <f>_xll.cw_map("BBR","60-&gt;5243")</f>
        <v>0</v>
      </c>
    </row>
    <row r="303" spans="1:14" ht="12.75" customHeight="1" thickBot="1" x14ac:dyDescent="0.25">
      <c r="A303" s="1380" t="s">
        <v>805</v>
      </c>
      <c r="B303" s="1381" t="s">
        <v>564</v>
      </c>
      <c r="C303" s="1680">
        <f>SUM(C301:C302)</f>
        <v>0</v>
      </c>
      <c r="D303" s="1680">
        <f t="shared" ref="D303:L303" si="23">SUM(D301:D302)</f>
        <v>0</v>
      </c>
      <c r="E303" s="1680">
        <f t="shared" si="23"/>
        <v>1198136</v>
      </c>
      <c r="F303" s="1680">
        <f t="shared" si="23"/>
        <v>0</v>
      </c>
      <c r="G303" s="1680">
        <f t="shared" si="23"/>
        <v>19048778</v>
      </c>
      <c r="H303" s="1680">
        <f t="shared" si="23"/>
        <v>0</v>
      </c>
      <c r="I303" s="1680">
        <f t="shared" si="23"/>
        <v>0</v>
      </c>
      <c r="J303" s="1680">
        <f t="shared" si="23"/>
        <v>0</v>
      </c>
      <c r="K303" s="1680">
        <f t="shared" si="23"/>
        <v>20246914</v>
      </c>
      <c r="L303" s="1680">
        <f t="shared" si="23"/>
        <v>20958558</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1820</v>
      </c>
      <c r="B306" s="562" t="s">
        <v>1815</v>
      </c>
      <c r="C306" s="1672"/>
      <c r="D306" s="1672"/>
      <c r="E306" s="1574">
        <f>_xll.cw_map("BR","60-&gt;5341.300")</f>
        <v>0</v>
      </c>
      <c r="F306" s="1672"/>
      <c r="G306" s="1672"/>
      <c r="H306" s="1574">
        <f>_xll.cw_map("BR","60-&gt;5341.600")</f>
        <v>0</v>
      </c>
      <c r="I306" s="1672"/>
      <c r="J306" s="1672"/>
      <c r="K306" s="1671">
        <f>SUM(E306,H306)</f>
        <v>0</v>
      </c>
      <c r="L306" s="1574">
        <f>_xll.cw_map("BBR","60-&gt;5341")</f>
        <v>0</v>
      </c>
    </row>
    <row r="307" spans="1:14" x14ac:dyDescent="0.2">
      <c r="A307" s="1274" t="s">
        <v>300</v>
      </c>
      <c r="B307" s="503">
        <v>4120</v>
      </c>
      <c r="C307" s="1672"/>
      <c r="D307" s="1672"/>
      <c r="E307" s="1574">
        <f>_xll.cw_map("BR","60-&gt;5342.300")</f>
        <v>0</v>
      </c>
      <c r="F307" s="1672"/>
      <c r="G307" s="1672"/>
      <c r="H307" s="1574">
        <f>_xll.cw_map("BR","60-&gt;5342.600")</f>
        <v>0</v>
      </c>
      <c r="I307" s="1582"/>
      <c r="J307" s="1672"/>
      <c r="K307" s="1671">
        <f>SUM(E307,H307)</f>
        <v>0</v>
      </c>
      <c r="L307" s="1573">
        <f>_xll.cw_map("BBR","60-&gt;5342")</f>
        <v>0</v>
      </c>
    </row>
    <row r="308" spans="1:14" x14ac:dyDescent="0.2">
      <c r="A308" s="1274" t="s">
        <v>691</v>
      </c>
      <c r="B308" s="503">
        <v>4140</v>
      </c>
      <c r="C308" s="1672"/>
      <c r="D308" s="1672"/>
      <c r="E308" s="1574">
        <f>_xll.cw_map("BR","60-&gt;5344.300")</f>
        <v>0</v>
      </c>
      <c r="F308" s="1672"/>
      <c r="G308" s="1672"/>
      <c r="H308" s="1574">
        <f>_xll.cw_map("BR","60-&gt;5344.600")</f>
        <v>0</v>
      </c>
      <c r="I308" s="1582"/>
      <c r="J308" s="1672"/>
      <c r="K308" s="1671">
        <f>SUM(E308,H308)</f>
        <v>0</v>
      </c>
      <c r="L308" s="1573">
        <f>_xll.cw_map("BBR","60-&gt;5344")</f>
        <v>0</v>
      </c>
    </row>
    <row r="309" spans="1:14" ht="12.75" customHeight="1" x14ac:dyDescent="0.2">
      <c r="A309" s="1278" t="s">
        <v>692</v>
      </c>
      <c r="B309" s="512">
        <v>4190</v>
      </c>
      <c r="C309" s="1672"/>
      <c r="D309" s="1672"/>
      <c r="E309" s="1574">
        <f>_xll.cw_map("BR","60-&gt;5346.300")</f>
        <v>0</v>
      </c>
      <c r="F309" s="1672"/>
      <c r="G309" s="1672"/>
      <c r="H309" s="1574">
        <f>_xll.cw_map("BR","60-&gt;5346.600")</f>
        <v>0</v>
      </c>
      <c r="I309" s="1582"/>
      <c r="J309" s="1672"/>
      <c r="K309" s="1671">
        <f>SUM(E309,H309)</f>
        <v>0</v>
      </c>
      <c r="L309" s="1573">
        <f>_xll.cw_map("BBR","60-&gt;5346")</f>
        <v>0</v>
      </c>
    </row>
    <row r="310" spans="1:14" ht="12.75" customHeight="1" thickBot="1" x14ac:dyDescent="0.25">
      <c r="A310" s="1380" t="s">
        <v>1472</v>
      </c>
      <c r="B310" s="1383" t="s">
        <v>854</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f>_xll.cw_map("BBR","60-&gt;5410.100")</f>
        <v>0</v>
      </c>
    </row>
    <row r="312" spans="1:14" s="548" customFormat="1" ht="12.75" customHeight="1" thickTop="1" thickBot="1" x14ac:dyDescent="0.25">
      <c r="A312" s="2310" t="s">
        <v>274</v>
      </c>
      <c r="B312" s="2311"/>
      <c r="C312" s="1673">
        <f>SUM(C303)</f>
        <v>0</v>
      </c>
      <c r="D312" s="1673">
        <f>SUM(D303)</f>
        <v>0</v>
      </c>
      <c r="E312" s="1673">
        <f>SUM(E303,E310)</f>
        <v>1198136</v>
      </c>
      <c r="F312" s="1673">
        <f>SUM(F303)</f>
        <v>0</v>
      </c>
      <c r="G312" s="1673">
        <f>SUM(G303)</f>
        <v>19048778</v>
      </c>
      <c r="H312" s="1673">
        <f>SUM(H303,H310)</f>
        <v>0</v>
      </c>
      <c r="I312" s="1673">
        <f>SUM(I303)</f>
        <v>0</v>
      </c>
      <c r="J312" s="1673">
        <f>SUM(J303)</f>
        <v>0</v>
      </c>
      <c r="K312" s="1673">
        <f>SUM(K303,K310,K311)</f>
        <v>20246914</v>
      </c>
      <c r="L312" s="1673">
        <f>SUM(L303,L310,L311)</f>
        <v>20958558</v>
      </c>
      <c r="M312" s="539"/>
      <c r="N312" s="539"/>
    </row>
    <row r="313" spans="1:14" ht="13.5" thickTop="1" x14ac:dyDescent="0.2">
      <c r="A313" s="2306" t="s">
        <v>988</v>
      </c>
      <c r="B313" s="2307"/>
      <c r="C313" s="1676"/>
      <c r="D313" s="1676"/>
      <c r="E313" s="1676"/>
      <c r="F313" s="1676"/>
      <c r="G313" s="1676"/>
      <c r="H313" s="1676"/>
      <c r="I313" s="1676"/>
      <c r="J313" s="1676"/>
      <c r="K313" s="1695">
        <f>'Revenues 9-14'!H268-'Expenditures 15-22'!K312</f>
        <v>-20004259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319" t="s">
        <v>148</v>
      </c>
      <c r="B315" s="2320"/>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321" t="s">
        <v>891</v>
      </c>
      <c r="B317" s="2320"/>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4">
        <f>_xll.cw_map("BR","80-&gt;5225.1.A.100")</f>
        <v>0</v>
      </c>
      <c r="D319" s="1574">
        <f>_xll.cw_map("BR","80-&gt;5225.1.A.200")</f>
        <v>0</v>
      </c>
      <c r="E319" s="1574">
        <f>_xll.cw_map("BR","80-&gt;5225.1.A.300")</f>
        <v>0</v>
      </c>
      <c r="F319" s="1574">
        <f>_xll.cw_map("BR","80-&gt;5225.1.A.400")</f>
        <v>0</v>
      </c>
      <c r="G319" s="1574">
        <f>_xll.cw_map("BR","80-&gt;5225.1.A.500")</f>
        <v>0</v>
      </c>
      <c r="H319" s="1574">
        <f>_xll.cw_map("BR","80-&gt;5225.1.A.600")</f>
        <v>0</v>
      </c>
      <c r="I319" s="1574">
        <f>_xll.cw_map("BR","80-&gt;5225.1.A.700")</f>
        <v>0</v>
      </c>
      <c r="J319" s="1574">
        <f>_xll.cw_map("BR","80-&gt;5225.1.A.800")</f>
        <v>0</v>
      </c>
      <c r="K319" s="1671">
        <f>SUM(C319:J319)</f>
        <v>0</v>
      </c>
      <c r="L319" s="1574">
        <f>_xll.cw_map("BBR","80-&gt;5225.1.A")</f>
        <v>0</v>
      </c>
      <c r="M319" s="539"/>
      <c r="N319" s="539"/>
    </row>
    <row r="320" spans="1:14" s="548" customFormat="1" x14ac:dyDescent="0.2">
      <c r="A320" s="1293" t="s">
        <v>1781</v>
      </c>
      <c r="B320" s="568" t="s">
        <v>279</v>
      </c>
      <c r="C320" s="1574">
        <f>_xll.cw_map("BR","80-&gt;5225.1.B.100")</f>
        <v>0</v>
      </c>
      <c r="D320" s="1574">
        <f>_xll.cw_map("BR","80-&gt;5225.1.B.200")</f>
        <v>0</v>
      </c>
      <c r="E320" s="1574">
        <f>_xll.cw_map("BR","80-&gt;5225.1.B.300")</f>
        <v>0</v>
      </c>
      <c r="F320" s="1574">
        <f>_xll.cw_map("BR","80-&gt;5225.1.B.400")</f>
        <v>0</v>
      </c>
      <c r="G320" s="1574">
        <f>_xll.cw_map("BR","80-&gt;5225.1.B.500")</f>
        <v>0</v>
      </c>
      <c r="H320" s="1574">
        <f>_xll.cw_map("BR","80-&gt;5225.1.B.600")</f>
        <v>0</v>
      </c>
      <c r="I320" s="1574">
        <f>_xll.cw_map("BR","80-&gt;5225.1.B.700")</f>
        <v>0</v>
      </c>
      <c r="J320" s="1574">
        <f>_xll.cw_map("BR","80-&gt;5225.1.B.800")</f>
        <v>0</v>
      </c>
      <c r="K320" s="1671">
        <f t="shared" ref="K320:K327" si="24">SUM(C320:J320)</f>
        <v>0</v>
      </c>
      <c r="L320" s="1574">
        <f>_xll.cw_map("BBR","80-&gt;5225.1.B")</f>
        <v>0</v>
      </c>
      <c r="M320" s="539"/>
      <c r="N320" s="539"/>
    </row>
    <row r="321" spans="1:14" s="548" customFormat="1" x14ac:dyDescent="0.2">
      <c r="A321" s="1289" t="s">
        <v>296</v>
      </c>
      <c r="B321" s="567" t="s">
        <v>280</v>
      </c>
      <c r="C321" s="1574">
        <f>_xll.cw_map("BR","80-&gt;5225.1.C.100")</f>
        <v>0</v>
      </c>
      <c r="D321" s="1574">
        <f>_xll.cw_map("BR","80-&gt;5225.1.C.200")</f>
        <v>0</v>
      </c>
      <c r="E321" s="1574">
        <f>_xll.cw_map("BR","80-&gt;5225.1.C.300")</f>
        <v>0</v>
      </c>
      <c r="F321" s="1574">
        <f>_xll.cw_map("BR","80-&gt;5225.1.C.400")</f>
        <v>0</v>
      </c>
      <c r="G321" s="1574">
        <f>_xll.cw_map("BR","80-&gt;5225.1.C.500")</f>
        <v>0</v>
      </c>
      <c r="H321" s="1574">
        <f>_xll.cw_map("BR","80-&gt;5225.1.C.600")</f>
        <v>0</v>
      </c>
      <c r="I321" s="1574">
        <f>_xll.cw_map("BR","80-&gt;5225.1.C.700")</f>
        <v>0</v>
      </c>
      <c r="J321" s="1574">
        <f>_xll.cw_map("BR","80-&gt;5225.1.C.800")</f>
        <v>0</v>
      </c>
      <c r="K321" s="1671">
        <f t="shared" si="24"/>
        <v>0</v>
      </c>
      <c r="L321" s="1574">
        <f>_xll.cw_map("BBR","80-&gt;5225.1.C")</f>
        <v>0</v>
      </c>
      <c r="M321" s="539"/>
      <c r="N321" s="539"/>
    </row>
    <row r="322" spans="1:14" s="548" customFormat="1" x14ac:dyDescent="0.2">
      <c r="A322" s="1289" t="s">
        <v>236</v>
      </c>
      <c r="B322" s="567" t="s">
        <v>281</v>
      </c>
      <c r="C322" s="1574">
        <f>_xll.cw_map("BR","80-&gt;5225.1.D.100")</f>
        <v>0</v>
      </c>
      <c r="D322" s="1574">
        <f>_xll.cw_map("BR","80-&gt;5225.1.D.200")</f>
        <v>0</v>
      </c>
      <c r="E322" s="1574">
        <f>_xll.cw_map("BR","80-&gt;5225.1.D.300")</f>
        <v>0</v>
      </c>
      <c r="F322" s="1574">
        <f>_xll.cw_map("BR","80-&gt;5225.1.D.400")</f>
        <v>0</v>
      </c>
      <c r="G322" s="1574">
        <f>_xll.cw_map("BR","80-&gt;5225.1.D.500")</f>
        <v>0</v>
      </c>
      <c r="H322" s="1574">
        <f>_xll.cw_map("BR","80-&gt;5225.1.D.600")</f>
        <v>0</v>
      </c>
      <c r="I322" s="1574">
        <f>_xll.cw_map("BR","80-&gt;5225.1.D.700")</f>
        <v>0</v>
      </c>
      <c r="J322" s="1574">
        <f>_xll.cw_map("BR","80-&gt;5225.1.D.800")</f>
        <v>0</v>
      </c>
      <c r="K322" s="1671">
        <f t="shared" si="24"/>
        <v>0</v>
      </c>
      <c r="L322" s="1574">
        <f>_xll.cw_map("BBR","80-&gt;5225.1.D")</f>
        <v>0</v>
      </c>
      <c r="M322" s="539"/>
      <c r="N322" s="539"/>
    </row>
    <row r="323" spans="1:14" s="548" customFormat="1" x14ac:dyDescent="0.2">
      <c r="A323" s="1289" t="s">
        <v>696</v>
      </c>
      <c r="B323" s="567" t="s">
        <v>282</v>
      </c>
      <c r="C323" s="1574">
        <f>_xll.cw_map("BR","80-&gt;5225.1.E.100")</f>
        <v>0</v>
      </c>
      <c r="D323" s="1574">
        <f>_xll.cw_map("BR","80-&gt;5225.1.E.200")</f>
        <v>0</v>
      </c>
      <c r="E323" s="1574">
        <f>_xll.cw_map("BR","80-&gt;5225.1.E.300")</f>
        <v>0</v>
      </c>
      <c r="F323" s="1574">
        <f>_xll.cw_map("BR","80-&gt;5225.1.E.400")</f>
        <v>0</v>
      </c>
      <c r="G323" s="1574">
        <f>_xll.cw_map("BR","80-&gt;5225.1.E.500")</f>
        <v>0</v>
      </c>
      <c r="H323" s="1574">
        <f>_xll.cw_map("BR","80-&gt;5225.1.E.600")</f>
        <v>0</v>
      </c>
      <c r="I323" s="1574">
        <f>_xll.cw_map("BR","80-&gt;5225.1.E.700")</f>
        <v>0</v>
      </c>
      <c r="J323" s="1574">
        <f>_xll.cw_map("BR","80-&gt;5225.1.E.800")</f>
        <v>0</v>
      </c>
      <c r="K323" s="1671">
        <f t="shared" si="24"/>
        <v>0</v>
      </c>
      <c r="L323" s="1574">
        <f>_xll.cw_map("BBR","80-&gt;5225.1.E")</f>
        <v>0</v>
      </c>
      <c r="M323" s="539"/>
      <c r="N323" s="539"/>
    </row>
    <row r="324" spans="1:14" s="548" customFormat="1" x14ac:dyDescent="0.2">
      <c r="A324" s="1289" t="s">
        <v>237</v>
      </c>
      <c r="B324" s="567" t="s">
        <v>283</v>
      </c>
      <c r="C324" s="1574">
        <f>_xll.cw_map("BR","80-&gt;5225.1.F.100")</f>
        <v>0</v>
      </c>
      <c r="D324" s="1574">
        <f>_xll.cw_map("BR","80-&gt;5225.1.F.200")</f>
        <v>0</v>
      </c>
      <c r="E324" s="1574">
        <f>_xll.cw_map("BR","80-&gt;5225.1.F.300")</f>
        <v>0</v>
      </c>
      <c r="F324" s="1574">
        <f>_xll.cw_map("BR","80-&gt;5225.1.F.400")</f>
        <v>0</v>
      </c>
      <c r="G324" s="1574">
        <f>_xll.cw_map("BR","80-&gt;5225.1.F.500")</f>
        <v>0</v>
      </c>
      <c r="H324" s="1574">
        <f>_xll.cw_map("BR","80-&gt;5225.1.F.600")</f>
        <v>0</v>
      </c>
      <c r="I324" s="1574">
        <f>_xll.cw_map("BR","80-&gt;5225.1.F.700")</f>
        <v>0</v>
      </c>
      <c r="J324" s="1574">
        <f>_xll.cw_map("BR","80-&gt;5225.1.F.800")</f>
        <v>0</v>
      </c>
      <c r="K324" s="1671">
        <f t="shared" si="24"/>
        <v>0</v>
      </c>
      <c r="L324" s="1574">
        <f>_xll.cw_map("BBR","80-&gt;5225.1.F")</f>
        <v>0</v>
      </c>
      <c r="M324" s="539"/>
      <c r="N324" s="539"/>
    </row>
    <row r="325" spans="1:14" s="548" customFormat="1" ht="22.5" x14ac:dyDescent="0.2">
      <c r="A325" s="1289" t="s">
        <v>1021</v>
      </c>
      <c r="B325" s="568" t="s">
        <v>284</v>
      </c>
      <c r="C325" s="1574">
        <f>_xll.cw_map("BR","80-&gt;5225.1.G.100")</f>
        <v>0</v>
      </c>
      <c r="D325" s="1574">
        <f>_xll.cw_map("BR","80-&gt;5225.1.G.200")</f>
        <v>0</v>
      </c>
      <c r="E325" s="1574">
        <f>_xll.cw_map("BR","80-&gt;5225.1.G.300")</f>
        <v>0</v>
      </c>
      <c r="F325" s="1574">
        <f>_xll.cw_map("BR","80-&gt;5225.1.G.400")</f>
        <v>0</v>
      </c>
      <c r="G325" s="1574">
        <f>_xll.cw_map("BR","80-&gt;5225.1.G.500")</f>
        <v>0</v>
      </c>
      <c r="H325" s="1574">
        <f>_xll.cw_map("BR","80-&gt;5225.1.G.600")</f>
        <v>0</v>
      </c>
      <c r="I325" s="1574">
        <f>_xll.cw_map("BR","80-&gt;5225.1.G.700")</f>
        <v>0</v>
      </c>
      <c r="J325" s="1574">
        <f>_xll.cw_map("BR","80-&gt;5225.1.G.800")</f>
        <v>0</v>
      </c>
      <c r="K325" s="1671">
        <f t="shared" si="24"/>
        <v>0</v>
      </c>
      <c r="L325" s="1574">
        <f>_xll.cw_map("BBR","80-&gt;5225.1.G")</f>
        <v>0</v>
      </c>
      <c r="M325" s="539"/>
      <c r="N325" s="539"/>
    </row>
    <row r="326" spans="1:14" s="548" customFormat="1" x14ac:dyDescent="0.2">
      <c r="A326" s="1289" t="s">
        <v>1022</v>
      </c>
      <c r="B326" s="567" t="s">
        <v>285</v>
      </c>
      <c r="C326" s="1574">
        <f>_xll.cw_map("BR","80-&gt;5225.1.H.100")</f>
        <v>0</v>
      </c>
      <c r="D326" s="1574">
        <f>_xll.cw_map("BR","80-&gt;5225.1.H.200")</f>
        <v>0</v>
      </c>
      <c r="E326" s="1574">
        <f>_xll.cw_map("BR","80-&gt;5225.1.H.300")</f>
        <v>0</v>
      </c>
      <c r="F326" s="1574">
        <f>_xll.cw_map("BR","80-&gt;5225.1.H.400")</f>
        <v>0</v>
      </c>
      <c r="G326" s="1574">
        <f>_xll.cw_map("BR","80-&gt;5225.1.H.500")</f>
        <v>0</v>
      </c>
      <c r="H326" s="1574">
        <f>_xll.cw_map("BR","80-&gt;5225.1.H.600")</f>
        <v>0</v>
      </c>
      <c r="I326" s="1574">
        <f>_xll.cw_map("BR","80-&gt;5225.1.H.700")</f>
        <v>0</v>
      </c>
      <c r="J326" s="1574">
        <f>_xll.cw_map("BR","80-&gt;5225.1.H.800")</f>
        <v>0</v>
      </c>
      <c r="K326" s="1671">
        <f t="shared" si="24"/>
        <v>0</v>
      </c>
      <c r="L326" s="1574">
        <f>_xll.cw_map("BBR","80-&gt;5225.1.H")</f>
        <v>0</v>
      </c>
      <c r="M326" s="539"/>
      <c r="N326" s="539"/>
    </row>
    <row r="327" spans="1:14" s="548" customFormat="1" x14ac:dyDescent="0.2">
      <c r="A327" s="1289" t="s">
        <v>964</v>
      </c>
      <c r="B327" s="567" t="s">
        <v>286</v>
      </c>
      <c r="C327" s="1574">
        <f>_xll.cw_map("BR","80-&gt;5225.1.I.100")</f>
        <v>0</v>
      </c>
      <c r="D327" s="1574">
        <f>_xll.cw_map("BR","80-&gt;5225.1.I.200")</f>
        <v>0</v>
      </c>
      <c r="E327" s="1574">
        <f>_xll.cw_map("BR","80-&gt;5225.1.I.300")</f>
        <v>0</v>
      </c>
      <c r="F327" s="1574">
        <f>_xll.cw_map("BR","80-&gt;5225.1.I.400")</f>
        <v>0</v>
      </c>
      <c r="G327" s="1574">
        <f>_xll.cw_map("BR","80-&gt;5225.1.I.500")</f>
        <v>0</v>
      </c>
      <c r="H327" s="1574">
        <f>_xll.cw_map("BR","80-&gt;5225.1.I.600")</f>
        <v>0</v>
      </c>
      <c r="I327" s="1574">
        <f>_xll.cw_map("BR","80-&gt;5225.1.I.700")</f>
        <v>0</v>
      </c>
      <c r="J327" s="1574">
        <f>_xll.cw_map("BR","80-&gt;5225.1.I.800")</f>
        <v>0</v>
      </c>
      <c r="K327" s="1671">
        <f t="shared" si="24"/>
        <v>0</v>
      </c>
      <c r="L327" s="1574">
        <f>_xll.cw_map("BBR","80-&gt;5225.1.I")</f>
        <v>0</v>
      </c>
      <c r="M327" s="539"/>
      <c r="N327" s="539"/>
    </row>
    <row r="328" spans="1:14" s="548" customFormat="1" x14ac:dyDescent="0.2">
      <c r="A328" s="1290" t="s">
        <v>468</v>
      </c>
      <c r="B328" s="562" t="s">
        <v>1123</v>
      </c>
      <c r="C328" s="1579">
        <f>_xll.cw_map("BR","80-&gt;5225.1.J.100")</f>
        <v>0</v>
      </c>
      <c r="D328" s="1579">
        <f>_xll.cw_map("BR","80-&gt;5225.1.J.200")</f>
        <v>0</v>
      </c>
      <c r="E328" s="1579">
        <f>_xll.cw_map("BR","80-&gt;5225.1.J.300")</f>
        <v>0</v>
      </c>
      <c r="F328" s="1579">
        <f>_xll.cw_map("BR","80-&gt;5225.1.J.400")</f>
        <v>0</v>
      </c>
      <c r="G328" s="1579">
        <f>_xll.cw_map("BR","80-&gt;5225.1.J.500")</f>
        <v>0</v>
      </c>
      <c r="H328" s="1579">
        <f>_xll.cw_map("BR","80-&gt;5225.1.J.600")</f>
        <v>0</v>
      </c>
      <c r="I328" s="1579">
        <f>_xll.cw_map("BR","80-&gt;5225.1.J.700")</f>
        <v>0</v>
      </c>
      <c r="J328" s="1579">
        <f>_xll.cw_map("BR","80-&gt;5225.1.J.800")</f>
        <v>0</v>
      </c>
      <c r="K328" s="1712">
        <f>SUM(C328:J328)</f>
        <v>0</v>
      </c>
      <c r="L328" s="1579">
        <f>_xll.cw_map("BBR","80-&gt;5225.1.J")</f>
        <v>0</v>
      </c>
      <c r="M328" s="539"/>
      <c r="N328" s="539"/>
    </row>
    <row r="329" spans="1:14" s="548" customFormat="1" x14ac:dyDescent="0.2">
      <c r="A329" s="1290" t="s">
        <v>1124</v>
      </c>
      <c r="B329" s="562" t="s">
        <v>1125</v>
      </c>
      <c r="C329" s="1579">
        <f>_xll.cw_map("BR","80-&gt;5225.1.K.100")</f>
        <v>0</v>
      </c>
      <c r="D329" s="1579">
        <f>_xll.cw_map("BR","80-&gt;5225.1.K.200")</f>
        <v>0</v>
      </c>
      <c r="E329" s="1579">
        <f>_xll.cw_map("BR","80-&gt;5225.1.K.300")</f>
        <v>0</v>
      </c>
      <c r="F329" s="1579">
        <f>_xll.cw_map("BR","80-&gt;5225.1.K.400")</f>
        <v>0</v>
      </c>
      <c r="G329" s="1579">
        <f>_xll.cw_map("BR","80-&gt;5225.1.K.500")</f>
        <v>0</v>
      </c>
      <c r="H329" s="1579">
        <f>_xll.cw_map("BR","80-&gt;5225.1.K.600")</f>
        <v>0</v>
      </c>
      <c r="I329" s="1579">
        <f>_xll.cw_map("BR","80-&gt;5225.1.K.700")</f>
        <v>0</v>
      </c>
      <c r="J329" s="1579">
        <f>_xll.cw_map("BR","80-&gt;5225.1.K.800")</f>
        <v>0</v>
      </c>
      <c r="K329" s="1712">
        <f>SUM(C329:J329)</f>
        <v>0</v>
      </c>
      <c r="L329" s="1579">
        <f>_xll.cw_map("BBR","80-&gt;5225.1.K")</f>
        <v>0</v>
      </c>
      <c r="M329" s="539"/>
      <c r="N329" s="539"/>
    </row>
    <row r="330" spans="1:14" s="548" customFormat="1" ht="12.75" customHeight="1" thickBot="1" x14ac:dyDescent="0.25">
      <c r="A330" s="1401" t="s">
        <v>711</v>
      </c>
      <c r="B330" s="1381" t="s">
        <v>564</v>
      </c>
      <c r="C330" s="1673">
        <f>SUM(C319:C329)</f>
        <v>0</v>
      </c>
      <c r="D330" s="1673">
        <f t="shared" ref="D330:J330" si="25">SUM(D319:D329)</f>
        <v>0</v>
      </c>
      <c r="E330" s="1673">
        <f t="shared" si="25"/>
        <v>0</v>
      </c>
      <c r="F330" s="1673">
        <f t="shared" si="25"/>
        <v>0</v>
      </c>
      <c r="G330" s="1673">
        <f t="shared" si="25"/>
        <v>0</v>
      </c>
      <c r="H330" s="1673">
        <f t="shared" si="25"/>
        <v>0</v>
      </c>
      <c r="I330" s="1673">
        <f t="shared" si="25"/>
        <v>0</v>
      </c>
      <c r="J330" s="1673">
        <f t="shared" si="25"/>
        <v>0</v>
      </c>
      <c r="K330" s="1673">
        <f>SUM(K319:K329)</f>
        <v>0</v>
      </c>
      <c r="L330" s="1673">
        <f>SUM(L319:L329)</f>
        <v>0</v>
      </c>
      <c r="M330" s="539"/>
      <c r="N330" s="539"/>
    </row>
    <row r="331" spans="1:14" s="548" customFormat="1" ht="12.75" customHeight="1" thickTop="1" x14ac:dyDescent="0.2">
      <c r="A331" s="1467" t="s">
        <v>1821</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1815</v>
      </c>
      <c r="C332" s="1713"/>
      <c r="D332" s="1713"/>
      <c r="E332" s="1713"/>
      <c r="F332" s="1713"/>
      <c r="G332" s="1713"/>
      <c r="H332" s="1574">
        <f>_xll.cw_map("BR","80-&gt;5341.600")</f>
        <v>0</v>
      </c>
      <c r="I332" s="1713"/>
      <c r="J332" s="1713"/>
      <c r="K332" s="1671">
        <f>H332</f>
        <v>0</v>
      </c>
      <c r="L332" s="1574">
        <f>_xll.cw_map("BBR","80-&gt;5341")</f>
        <v>0</v>
      </c>
      <c r="M332" s="539"/>
      <c r="N332" s="539"/>
    </row>
    <row r="333" spans="1:14" s="548" customFormat="1" ht="12.75" customHeight="1" x14ac:dyDescent="0.2">
      <c r="A333" s="1468" t="s">
        <v>300</v>
      </c>
      <c r="B333" s="1463" t="s">
        <v>1817</v>
      </c>
      <c r="C333" s="1713"/>
      <c r="D333" s="1713"/>
      <c r="E333" s="1713"/>
      <c r="F333" s="1713"/>
      <c r="G333" s="1713"/>
      <c r="H333" s="1574">
        <f>_xll.cw_map("BR","80-&gt;5342.600")</f>
        <v>0</v>
      </c>
      <c r="I333" s="1713"/>
      <c r="J333" s="1713"/>
      <c r="K333" s="1671">
        <f>H333</f>
        <v>0</v>
      </c>
      <c r="L333" s="1574">
        <f>_xll.cw_map("BBR","80-&gt;5342")</f>
        <v>0</v>
      </c>
      <c r="M333" s="539"/>
      <c r="N333" s="539"/>
    </row>
    <row r="334" spans="1:14" s="548" customFormat="1" ht="12.75" customHeight="1" thickBot="1" x14ac:dyDescent="0.25">
      <c r="A334" s="1468" t="s">
        <v>1822</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3">
        <f>_xll.cw_map("BR","80-&gt;5402.110")</f>
        <v>0</v>
      </c>
      <c r="I337" s="1683"/>
      <c r="J337" s="1683"/>
      <c r="K337" s="1671">
        <f>H337</f>
        <v>0</v>
      </c>
      <c r="L337" s="1583">
        <f>_xll.cw_map("BBR","80-&gt;5402.110")</f>
        <v>0</v>
      </c>
    </row>
    <row r="338" spans="1:14" ht="12.75" customHeight="1" x14ac:dyDescent="0.2">
      <c r="A338" s="1288" t="s">
        <v>1161</v>
      </c>
      <c r="B338" s="562" t="s">
        <v>612</v>
      </c>
      <c r="C338" s="1683"/>
      <c r="D338" s="1683"/>
      <c r="E338" s="1683"/>
      <c r="F338" s="1683"/>
      <c r="G338" s="1683"/>
      <c r="H338" s="1583">
        <f>_xll.cw_map("BR","80-&gt;5402.130")</f>
        <v>0</v>
      </c>
      <c r="I338" s="1683"/>
      <c r="J338" s="1683"/>
      <c r="K338" s="1671">
        <f>H338</f>
        <v>0</v>
      </c>
      <c r="L338" s="1583">
        <f>_xll.cw_map("BBR","80-&gt;5402.130")</f>
        <v>0</v>
      </c>
    </row>
    <row r="339" spans="1:14" x14ac:dyDescent="0.2">
      <c r="A339" s="1274" t="s">
        <v>894</v>
      </c>
      <c r="B339" s="512">
        <v>5150</v>
      </c>
      <c r="C339" s="1683"/>
      <c r="D339" s="1683"/>
      <c r="E339" s="1683"/>
      <c r="F339" s="1683"/>
      <c r="G339" s="1683"/>
      <c r="H339" s="1574">
        <f>_xll.cw_map("BR","80-&gt;5402.150")</f>
        <v>0</v>
      </c>
      <c r="I339" s="1683"/>
      <c r="J339" s="1683"/>
      <c r="K339" s="1671">
        <f>H339</f>
        <v>0</v>
      </c>
      <c r="L339" s="1574">
        <f>_xll.cw_map("BBR","80-&gt;5402.150")</f>
        <v>0</v>
      </c>
    </row>
    <row r="340" spans="1:14" ht="13.5" thickBot="1" x14ac:dyDescent="0.25">
      <c r="A340" s="1396" t="s">
        <v>895</v>
      </c>
      <c r="B340" s="1381" t="s">
        <v>488</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896</v>
      </c>
      <c r="B341" s="1349" t="s">
        <v>855</v>
      </c>
      <c r="C341" s="1672"/>
      <c r="D341" s="1672"/>
      <c r="E341" s="1582"/>
      <c r="F341" s="1575"/>
      <c r="G341" s="1575"/>
      <c r="H341" s="1582"/>
      <c r="I341" s="1582"/>
      <c r="J341" s="1575"/>
      <c r="K341" s="1582"/>
      <c r="L341" s="1650">
        <f>_xll.cw_map("BBR","80-&gt;5410.100")</f>
        <v>0</v>
      </c>
    </row>
    <row r="342" spans="1:14" ht="12.75" customHeight="1" thickTop="1" thickBot="1" x14ac:dyDescent="0.25">
      <c r="A342" s="1389" t="s">
        <v>501</v>
      </c>
      <c r="B342" s="1402"/>
      <c r="C342" s="1673">
        <f>SUM(C330)</f>
        <v>0</v>
      </c>
      <c r="D342" s="1673">
        <f>SUM(D330)</f>
        <v>0</v>
      </c>
      <c r="E342" s="1673">
        <f>SUM(E330)</f>
        <v>0</v>
      </c>
      <c r="F342" s="1673">
        <f>SUM(F330)</f>
        <v>0</v>
      </c>
      <c r="G342" s="1673">
        <f>SUM(G330)</f>
        <v>0</v>
      </c>
      <c r="H342" s="1673">
        <f>SUM(H330,H334,H340)</f>
        <v>0</v>
      </c>
      <c r="I342" s="1673">
        <f>SUM(I330)</f>
        <v>0</v>
      </c>
      <c r="J342" s="1673">
        <f>SUM(J330)</f>
        <v>0</v>
      </c>
      <c r="K342" s="1673">
        <f>SUM(K330,K334,K340)</f>
        <v>0</v>
      </c>
      <c r="L342" s="1680">
        <f>SUM(L330,L334,L340,L341)</f>
        <v>0</v>
      </c>
    </row>
    <row r="343" spans="1:14" ht="12.75" customHeight="1" thickTop="1" x14ac:dyDescent="0.2">
      <c r="A343" s="2308" t="s">
        <v>988</v>
      </c>
      <c r="B343" s="2309"/>
      <c r="C343" s="1672"/>
      <c r="D343" s="1672"/>
      <c r="E343" s="1672"/>
      <c r="F343" s="1672"/>
      <c r="G343" s="1672"/>
      <c r="H343" s="1672"/>
      <c r="I343" s="1672"/>
      <c r="J343" s="1672"/>
      <c r="K343" s="1688">
        <f>'Revenues 9-14'!J268-'Expenditures 15-22'!K342</f>
        <v>0</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98" t="s">
        <v>959</v>
      </c>
      <c r="B345" s="2299"/>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3">
        <f>_xll.cw_map("BR","90-&gt;5245.100")</f>
        <v>0</v>
      </c>
      <c r="D348" s="1573">
        <f>_xll.cw_map("BR","90-&gt;5245.200")</f>
        <v>0</v>
      </c>
      <c r="E348" s="1573">
        <f>_xll.cw_map("BR","90-&gt;5245.300")</f>
        <v>0</v>
      </c>
      <c r="F348" s="1573">
        <f>_xll.cw_map("BR","90-&gt;5245.400")</f>
        <v>0</v>
      </c>
      <c r="G348" s="1573">
        <f>_xll.cw_map("BR","90-&gt;5245.500")</f>
        <v>0</v>
      </c>
      <c r="H348" s="1573">
        <f>_xll.cw_map("BR","90-&gt;5245.600")</f>
        <v>0</v>
      </c>
      <c r="I348" s="1574">
        <f>_xll.cw_map("BR","90-&gt;5245.700")</f>
        <v>0</v>
      </c>
      <c r="J348" s="1574">
        <f>_xll.cw_map("BR","90-&gt;5245.800")</f>
        <v>0</v>
      </c>
      <c r="K348" s="1671">
        <f>SUM(C348:J348)</f>
        <v>0</v>
      </c>
      <c r="L348" s="1573">
        <f>_xll.cw_map("BBR","90-&gt;5245")</f>
        <v>0</v>
      </c>
    </row>
    <row r="349" spans="1:14" x14ac:dyDescent="0.2">
      <c r="A349" s="1274" t="s">
        <v>195</v>
      </c>
      <c r="B349" s="503">
        <v>2540</v>
      </c>
      <c r="C349" s="1573">
        <f>_xll.cw_map("BR","90-&gt;5243.100")</f>
        <v>0</v>
      </c>
      <c r="D349" s="1573">
        <f>_xll.cw_map("BR","90-&gt;5243.200")</f>
        <v>0</v>
      </c>
      <c r="E349" s="1573">
        <f>_xll.cw_map("BR","90-&gt;5243.300")</f>
        <v>0</v>
      </c>
      <c r="F349" s="1573">
        <f>_xll.cw_map("BR","90-&gt;5243.400")</f>
        <v>0</v>
      </c>
      <c r="G349" s="1573">
        <f>_xll.cw_map("BR","90-&gt;5243.500")</f>
        <v>0</v>
      </c>
      <c r="H349" s="1573">
        <f>_xll.cw_map("BR","90-&gt;5243.600")</f>
        <v>0</v>
      </c>
      <c r="I349" s="1574">
        <f>_xll.cw_map("BR","90-&gt;5243.700")</f>
        <v>0</v>
      </c>
      <c r="J349" s="1574">
        <f>_xll.cw_map("BR","90-&gt;5243.800")</f>
        <v>0</v>
      </c>
      <c r="K349" s="1671">
        <f>SUM(C349:J349)</f>
        <v>0</v>
      </c>
      <c r="L349" s="1573">
        <f>_xll.cw_map("BBR","90-&gt;5243")</f>
        <v>0</v>
      </c>
    </row>
    <row r="350" spans="1:14" ht="12.75" customHeight="1" thickBot="1" x14ac:dyDescent="0.25">
      <c r="A350" s="1380" t="s">
        <v>713</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972</v>
      </c>
      <c r="B351" s="521" t="s">
        <v>569</v>
      </c>
      <c r="C351" s="1586">
        <f>_xll.cw_map("BR","90-&gt;5248.100")</f>
        <v>0</v>
      </c>
      <c r="D351" s="1586">
        <f>_xll.cw_map("BR","90-&gt;5248.200")</f>
        <v>0</v>
      </c>
      <c r="E351" s="1586">
        <f>_xll.cw_map("BR","90-&gt;5248.300")</f>
        <v>0</v>
      </c>
      <c r="F351" s="1586">
        <f>_xll.cw_map("BR","90-&gt;5248.400")</f>
        <v>0</v>
      </c>
      <c r="G351" s="1586">
        <f>_xll.cw_map("BR","90-&gt;5248.500")</f>
        <v>0</v>
      </c>
      <c r="H351" s="1586">
        <f>_xll.cw_map("BR","90-&gt;5248.600")</f>
        <v>0</v>
      </c>
      <c r="I351" s="1583">
        <f>_xll.cw_map("BR","90-&gt;5248.700")</f>
        <v>0</v>
      </c>
      <c r="J351" s="1583">
        <f>_xll.cw_map("BR","90-&gt;5248.800")</f>
        <v>0</v>
      </c>
      <c r="K351" s="1714">
        <f>SUM(C351:J351)</f>
        <v>0</v>
      </c>
      <c r="L351" s="1586">
        <f>_xll.cw_map("BBR","90-&gt;5248")</f>
        <v>0</v>
      </c>
    </row>
    <row r="352" spans="1:14" ht="12.75" customHeight="1" thickBot="1" x14ac:dyDescent="0.25">
      <c r="A352" s="1380" t="s">
        <v>619</v>
      </c>
      <c r="B352" s="1383"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1823</v>
      </c>
      <c r="B354" s="557" t="s">
        <v>1815</v>
      </c>
      <c r="C354" s="1672"/>
      <c r="D354" s="1672"/>
      <c r="E354" s="1672"/>
      <c r="F354" s="1672"/>
      <c r="G354" s="1672"/>
      <c r="H354" s="1579">
        <f>_xll.cw_map("BR","90-&gt;5341.600")</f>
        <v>0</v>
      </c>
      <c r="I354" s="1715"/>
      <c r="J354" s="1672"/>
      <c r="K354" s="1712">
        <f>H354</f>
        <v>0</v>
      </c>
      <c r="L354" s="1577">
        <f>_xll.cw_map("BBR","90-&gt;5341")</f>
        <v>0</v>
      </c>
    </row>
    <row r="355" spans="1:14" ht="12.75" customHeight="1" x14ac:dyDescent="0.2">
      <c r="A355" s="1283" t="s">
        <v>1824</v>
      </c>
      <c r="B355" s="562" t="s">
        <v>1817</v>
      </c>
      <c r="C355" s="1672"/>
      <c r="D355" s="1672"/>
      <c r="E355" s="1672"/>
      <c r="F355" s="1672"/>
      <c r="G355" s="1672"/>
      <c r="H355" s="1574">
        <f>_xll.cw_map("BR","90-&gt;5342.600")</f>
        <v>0</v>
      </c>
      <c r="I355" s="1715"/>
      <c r="J355" s="1672"/>
      <c r="K355" s="1606">
        <f>H355</f>
        <v>0</v>
      </c>
      <c r="L355" s="1574">
        <f>_xll.cw_map("BBR","90-&gt;5342")</f>
        <v>0</v>
      </c>
    </row>
    <row r="356" spans="1:14" ht="12.75" customHeight="1" x14ac:dyDescent="0.2">
      <c r="A356" s="1469" t="s">
        <v>692</v>
      </c>
      <c r="B356" s="557" t="s">
        <v>553</v>
      </c>
      <c r="C356" s="1672"/>
      <c r="D356" s="1672"/>
      <c r="E356" s="1672"/>
      <c r="F356" s="1672"/>
      <c r="G356" s="1672"/>
      <c r="H356" s="1584">
        <f>_xll.cw_map("BR","90-&gt;5346.600")</f>
        <v>0</v>
      </c>
      <c r="I356" s="1715"/>
      <c r="J356" s="1672"/>
      <c r="K356" s="1599">
        <f>H356</f>
        <v>0</v>
      </c>
      <c r="L356" s="1584">
        <f>_xll.cw_map("BBR","90-&gt;5346")</f>
        <v>0</v>
      </c>
    </row>
    <row r="357" spans="1:14" ht="12.75" customHeight="1" thickBot="1" x14ac:dyDescent="0.25">
      <c r="A357" s="1380" t="s">
        <v>1472</v>
      </c>
      <c r="B357" s="1381" t="s">
        <v>854</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f>_xll.cw_map("BR","90-&gt;5402.110")</f>
        <v>0</v>
      </c>
      <c r="I360" s="1672"/>
      <c r="J360" s="1672"/>
      <c r="K360" s="1671">
        <f>SUM(C360:J360)</f>
        <v>0</v>
      </c>
      <c r="L360" s="1573">
        <f>_xll.cw_map("BBR","90-&gt;5402.110")</f>
        <v>0</v>
      </c>
    </row>
    <row r="361" spans="1:14" ht="12.75" customHeight="1" x14ac:dyDescent="0.2">
      <c r="A361" s="1275" t="s">
        <v>614</v>
      </c>
      <c r="B361" s="494" t="s">
        <v>613</v>
      </c>
      <c r="C361" s="1672"/>
      <c r="D361" s="1672"/>
      <c r="E361" s="1672"/>
      <c r="F361" s="1672"/>
      <c r="G361" s="1672"/>
      <c r="H361" s="1574">
        <f>_xll.cw_map("BR","90-&gt;5402.150")</f>
        <v>0</v>
      </c>
      <c r="I361" s="1672"/>
      <c r="J361" s="1672"/>
      <c r="K361" s="1671">
        <f>SUM(C361:J361)</f>
        <v>0</v>
      </c>
      <c r="L361" s="1573">
        <f>_xll.cw_map("BBR","90-&gt;5402.150")</f>
        <v>0</v>
      </c>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f>_xll.cw_map("BR","90-&gt;5401.120")</f>
        <v>0</v>
      </c>
      <c r="I363" s="1683"/>
      <c r="J363" s="1683"/>
      <c r="K363" s="1712">
        <f>SUM(C363:J363)</f>
        <v>0</v>
      </c>
      <c r="L363" s="1584">
        <f>_xll.cw_map("BBR","90-&gt;5401.120")</f>
        <v>0</v>
      </c>
      <c r="M363" s="539"/>
      <c r="N363" s="539"/>
    </row>
    <row r="364" spans="1:14" s="573" customFormat="1" ht="29.25" customHeight="1" x14ac:dyDescent="0.2">
      <c r="A364" s="571" t="s">
        <v>1655</v>
      </c>
      <c r="B364" s="572">
        <v>5300</v>
      </c>
      <c r="C364" s="1716"/>
      <c r="D364" s="1717"/>
      <c r="E364" s="1717"/>
      <c r="F364" s="1716"/>
      <c r="G364" s="1717"/>
      <c r="H364" s="1718">
        <f>_xll.cw_map("BR","90-&gt;5401.110")</f>
        <v>0</v>
      </c>
      <c r="I364" s="1717"/>
      <c r="J364" s="1717"/>
      <c r="K364" s="1671">
        <f>SUM(C364:J364)</f>
        <v>0</v>
      </c>
      <c r="L364" s="1719">
        <f>_xll.cw_map("BBR","90-&gt;5401.110")</f>
        <v>0</v>
      </c>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f>_xll.cw_map("BBR","90-&gt;5410.100")</f>
        <v>0</v>
      </c>
      <c r="M366" s="501"/>
      <c r="N366" s="501"/>
    </row>
    <row r="367" spans="1:14" ht="12.75" customHeight="1" thickTop="1" thickBot="1" x14ac:dyDescent="0.25">
      <c r="A367" s="1394" t="s">
        <v>501</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95" t="s">
        <v>988</v>
      </c>
      <c r="B368" s="2296"/>
      <c r="C368" s="1693"/>
      <c r="D368" s="1693"/>
      <c r="E368" s="1676"/>
      <c r="F368" s="1676"/>
      <c r="G368" s="1676"/>
      <c r="H368" s="1676"/>
      <c r="I368" s="1676"/>
      <c r="J368" s="1675"/>
      <c r="K368" s="1671">
        <f>'Revenues 9-14'!K268-'Expenditures 15-22'!K367</f>
        <v>2</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6ce3111e-7420-4802-b50a-75d4e9a0b980"/>
    <ds:schemaRef ds:uri="d21dc803-237d-4c68-8692-8d731fd29118"/>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purl.org/dc/dcmitype/"/>
    <ds:schemaRef ds:uri="4d435f69-8686-490b-bd6d-b153bf22ab50"/>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SEFA-2</vt:lpstr>
      <vt:lpstr>SEFA</vt:lpstr>
      <vt:lpstr>SEFA NOTES</vt:lpstr>
      <vt:lpstr>SF&amp;QC Sec-1</vt:lpstr>
      <vt:lpstr>SF&amp;QC Sec-2</vt:lpstr>
      <vt:lpstr>SF&amp;QC Sec-3</vt:lpstr>
      <vt:lpstr>SSPAF</vt:lpstr>
      <vt:lpstr>' SEFA-2'!Print_Area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2020-12-09T19:02:00Z</cp:lastPrinted>
  <dcterms:created xsi:type="dcterms:W3CDTF">2003-10-29T19:06:34Z</dcterms:created>
  <dcterms:modified xsi:type="dcterms:W3CDTF">2020-12-31T15:40:48Z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