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D6C6576-218E-4C3E-9FD4-297C952D2863}"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8" i="5" l="1"/>
  <c r="G5" i="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H15" i="184" l="1"/>
  <c r="D69" i="36"/>
  <c r="J210" i="29"/>
  <c r="B7072" i="106" s="1"/>
  <c r="D7072" i="106" s="1"/>
  <c r="D22" i="37"/>
  <c r="F72" i="34"/>
  <c r="F71" i="34"/>
  <c r="H342" i="29"/>
  <c r="F36" i="34"/>
  <c r="B7828" i="106" s="1"/>
  <c r="D7828" i="106" s="1"/>
  <c r="B7696" i="106"/>
  <c r="D7696" i="106" s="1"/>
  <c r="E66" i="184"/>
  <c r="N66" i="184" s="1"/>
  <c r="B7135" i="106"/>
  <c r="D7135" i="106" s="1"/>
  <c r="E58" i="184"/>
  <c r="N58" i="184" s="1"/>
  <c r="B7198" i="106"/>
  <c r="D7198" i="106" s="1"/>
  <c r="E65" i="184"/>
  <c r="N65" i="184" s="1"/>
  <c r="B7126" i="106"/>
  <c r="D7126" i="106" s="1"/>
  <c r="E57" i="184"/>
  <c r="B7189" i="106"/>
  <c r="D7189" i="106" s="1"/>
  <c r="E64" i="184"/>
  <c r="N64" i="184" s="1"/>
  <c r="D31" i="108"/>
  <c r="E16" i="184"/>
  <c r="H16" i="184" s="1"/>
  <c r="B7180" i="106"/>
  <c r="D7180" i="106" s="1"/>
  <c r="E63" i="184"/>
  <c r="N63" i="184" s="1"/>
  <c r="G33" i="108"/>
  <c r="E17" i="184"/>
  <c r="H17" i="184" s="1"/>
  <c r="B7171" i="106"/>
  <c r="D7171" i="106" s="1"/>
  <c r="E62" i="184"/>
  <c r="N62" i="184" s="1"/>
  <c r="B7162" i="106"/>
  <c r="D7162" i="106" s="1"/>
  <c r="E61" i="184"/>
  <c r="N61" i="184" s="1"/>
  <c r="B7153" i="106"/>
  <c r="D7153" i="106" s="1"/>
  <c r="E60" i="184"/>
  <c r="N60" i="184" s="1"/>
  <c r="B7705" i="106"/>
  <c r="D7705" i="106" s="1"/>
  <c r="E67" i="184"/>
  <c r="N67" i="184" s="1"/>
  <c r="D24" i="37"/>
  <c r="B4270" i="106" s="1"/>
  <c r="D4270" i="106" s="1"/>
  <c r="H28" i="118"/>
  <c r="I210" i="29"/>
  <c r="B7071" i="106" s="1"/>
  <c r="D7071" i="106" s="1"/>
  <c r="F77" i="4"/>
  <c r="B3255" i="106" s="1"/>
  <c r="D3255" i="106" s="1"/>
  <c r="C129" i="29"/>
  <c r="B1225" i="106" s="1"/>
  <c r="D1225" i="106" s="1"/>
  <c r="G30" i="108"/>
  <c r="H12" i="184"/>
  <c r="C342" i="29"/>
  <c r="B7216" i="106" s="1"/>
  <c r="D7216" i="106" s="1"/>
  <c r="C352" i="29"/>
  <c r="C367" i="29" s="1"/>
  <c r="B3622" i="106" s="1"/>
  <c r="D3622" i="106" s="1"/>
  <c r="H365" i="29"/>
  <c r="B7242" i="106" s="1"/>
  <c r="D7242" i="106" s="1"/>
  <c r="H76" i="4"/>
  <c r="B3298" i="106" s="1"/>
  <c r="D3298"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66" i="34" l="1"/>
  <c r="K28" i="118"/>
  <c r="O27" i="118" s="1"/>
  <c r="O29" i="118" s="1"/>
  <c r="C151" i="29"/>
  <c r="B1226" i="106" s="1"/>
  <c r="D1226" i="106" s="1"/>
  <c r="K342" i="29"/>
  <c r="F13" i="34" s="1"/>
  <c r="H19" i="184"/>
  <c r="L20" i="184" s="1"/>
  <c r="J16" i="4"/>
  <c r="B6226" i="106" s="1"/>
  <c r="D6226" i="106" s="1"/>
  <c r="E19" i="184"/>
  <c r="E367" i="29"/>
  <c r="B3635" i="106"/>
  <c r="B7220" i="106"/>
  <c r="D7220" i="106" s="1"/>
  <c r="F75" i="34"/>
  <c r="B7886" i="106" s="1"/>
  <c r="D7886" i="106" s="1"/>
  <c r="N57" i="184"/>
  <c r="N68" i="184" s="1"/>
  <c r="E68" i="184"/>
  <c r="B7222" i="106"/>
  <c r="D7222" i="106" s="1"/>
  <c r="F76" i="34"/>
  <c r="B7887" i="106" s="1"/>
  <c r="D7887" i="106" s="1"/>
  <c r="B7235" i="106"/>
  <c r="D7235" i="106" s="1"/>
  <c r="L16" i="11"/>
  <c r="B2061" i="106" s="1"/>
  <c r="D2061" i="106" s="1"/>
  <c r="B5770" i="106"/>
  <c r="D5770" i="106" s="1"/>
  <c r="N23" i="3"/>
  <c r="B284" i="106" s="1"/>
  <c r="D284" i="106" s="1"/>
  <c r="B1381" i="106"/>
  <c r="D1381" i="106" s="1"/>
  <c r="F41" i="108"/>
  <c r="G43" i="108" s="1"/>
  <c r="L114" i="29"/>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J20" i="4"/>
  <c r="B6223" i="106"/>
  <c r="D6223" i="106" s="1"/>
  <c r="D8" i="146"/>
  <c r="K17" i="4"/>
  <c r="K19" i="4" s="1"/>
  <c r="B4144" i="106" s="1"/>
  <c r="D414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<sst xmlns="http://schemas.openxmlformats.org/spreadsheetml/2006/main" count="5150" uniqueCount="2080">
  <si>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</si>
  <si>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</si>
  <si>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</si>
  <si>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</si>
  <si>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</si>
  <si>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</si>
  <si>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</si>
  <si>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</si>
  <si>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</si>
  <si>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</si>
  <si>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</si>
  <si>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</si>
  <si>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</si>
  <si>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</si>
  <si>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</si>
  <si>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</si>
  <si>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</si>
  <si>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</si>
  <si>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</si>
  <si>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</si>
  <si>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</si>
  <si>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</si>
  <si>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</si>
  <si>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</si>
  <si>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</si>
  <si>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</si>
  <si>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</si>
  <si>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</si>
  <si>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</si>
  <si>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</si>
  <si>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</si>
  <si>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</si>
  <si>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</si>
  <si>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</si>
  <si>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</si>
  <si>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</si>
  <si>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</si>
  <si>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</si>
  <si>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</si>
  <si>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</si>
  <si>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</si>
  <si>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</si>
  <si>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</si>
  <si>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</si>
  <si>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</si>
  <si>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</si>
  <si>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</si>
  <si>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</si>
  <si>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</si>
  <si>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</si>
  <si>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</si>
  <si>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</si>
  <si>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</si>
  <si>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</si>
  <si>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</si>
  <si>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</si>
  <si>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</si>
  <si>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</si>
  <si>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</si>
  <si>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</si>
  <si>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</si>
  <si>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</si>
  <si>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</si>
  <si>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</si>
  <si>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</si>
  <si>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</si>
  <si>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</si>
  <si>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</si>
  <si>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</si>
  <si>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</si>
  <si>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</si>
  <si>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</si>
  <si>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</si>
  <si>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</si>
  <si>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</si>
  <si>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</si>
  <si>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</si>
  <si>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</si>
  <si>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</si>
  <si>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</si>
  <si>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</si>
  <si>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</si>
  <si>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</si>
  <si>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</si>
  <si>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</si>
  <si>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</si>
  <si>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</si>
  <si>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</si>
  <si>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</si>
  <si>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</si>
  <si>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</si>
  <si>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</si>
  <si>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</si>
  <si>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</si>
  <si>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</si>
  <si>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</si>
  <si>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</si>
  <si>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</si>
  <si>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</si>
  <si>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</si>
  <si>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</si>
  <si>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</si>
  <si>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</si>
  <si>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</si>
  <si>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</si>
  <si>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</si>
  <si>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</si>
  <si>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</si>
  <si>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</si>
  <si>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</si>
  <si>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</si>
  <si>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</si>
  <si>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</si>
  <si>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</si>
  <si>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</si>
  <si>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</si>
  <si>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</si>
  <si>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</si>
  <si>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</si>
  <si>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</si>
  <si>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</si>
  <si>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</si>
  <si>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</si>
  <si>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</si>
  <si>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</si>
  <si>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</si>
  <si>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</si>
  <si>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</si>
  <si>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</si>
  <si>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</si>
  <si>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</si>
  <si>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</si>
  <si>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</si>
  <si>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</si>
  <si>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</si>
  <si>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</si>
  <si>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</si>
  <si>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</si>
  <si>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</si>
  <si>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</si>
  <si>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</si>
  <si>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</si>
  <si>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</si>
  <si>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</si>
  <si>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</si>
  <si>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</si>
  <si>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</si>
  <si>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</si>
  <si>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</si>
  <si>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</si>
  <si>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</si>
  <si>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</si>
  <si>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</si>
  <si>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</si>
  <si>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</si>
  <si>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</si>
  <si>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</si>
  <si>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</si>
  <si>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</si>
  <si>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</si>
  <si>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</si>
  <si>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</si>
  <si>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</si>
  <si>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</si>
  <si>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</si>
  <si>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</si>
  <si>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</si>
  <si>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</si>
  <si>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</si>
  <si>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</si>
  <si>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</si>
  <si>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</si>
  <si>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</si>
  <si>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</si>
  <si>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</si>
  <si>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</si>
  <si>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</si>
  <si>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</si>
  <si>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</si>
  <si>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</si>
  <si>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</si>
  <si>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</si>
  <si>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</si>
  <si>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</si>
  <si>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</si>
  <si>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</si>
  <si>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</si>
  <si>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</si>
  <si>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</si>
  <si>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</si>
  <si>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</si>
  <si>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</si>
  <si>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</si>
  <si>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</si>
  <si>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</si>
  <si>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</si>
  <si>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</si>
  <si>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</si>
  <si>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</si>
  <si>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</si>
  <si>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</si>
  <si>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</si>
  <si>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</si>
  <si>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</si>
  <si>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</si>
  <si>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</si>
  <si>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</si>
  <si>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</si>
  <si>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</si>
  <si>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</si>
  <si>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</si>
  <si>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</si>
  <si>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</si>
  <si>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</si>
  <si>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</si>
  <si>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</si>
  <si>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</si>
  <si>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</si>
  <si>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</si>
  <si>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</si>
  <si>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</si>
  <si>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</si>
  <si>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</si>
  <si>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</si>
  <si>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</si>
  <si>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</si>
  <si>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</si>
  <si>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</si>
  <si>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</si>
  <si>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</si>
  <si>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</si>
  <si>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</si>
  <si>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</si>
  <si>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</si>
  <si>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</si>
  <si>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</si>
  <si>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</si>
  <si>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</si>
  <si>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</si>
  <si>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</si>
  <si>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</si>
  <si>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</si>
  <si>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</si>
  <si>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</si>
  <si>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</si>
  <si>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</si>
  <si>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</si>
  <si>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</si>
  <si>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</si>
  <si>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</si>
  <si>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</si>
  <si>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</si>
  <si>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</si>
  <si>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</si>
  <si>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</si>
  <si>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</si>
  <si>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</si>
  <si>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</si>
  <si>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</si>
  <si>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</si>
  <si>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</si>
  <si>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</si>
  <si>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</si>
  <si>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</si>
  <si>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</si>
  <si>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</si>
  <si>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</si>
  <si>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</si>
  <si>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</si>
  <si>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</si>
  <si>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</si>
  <si>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</si>
  <si>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</si>
  <si>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</si>
  <si>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</si>
  <si>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</si>
  <si>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</si>
  <si>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</si>
  <si>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</si>
  <si>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</si>
  <si>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</si>
  <si>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</si>
  <si>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</si>
  <si>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</si>
  <si>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</si>
  <si>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</si>
  <si>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</si>
  <si>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</si>
  <si>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</si>
  <si>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</si>
  <si>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</si>
  <si>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</si>
  <si>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</si>
  <si>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</si>
  <si>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</si>
  <si>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</si>
  <si>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</si>
  <si>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</si>
  <si>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</si>
  <si>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</si>
  <si>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</si>
  <si>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</si>
  <si>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</si>
  <si>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</si>
  <si>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</si>
  <si>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</si>
  <si>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</si>
  <si>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</si>
  <si>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</si>
  <si>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</si>
  <si>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</si>
  <si>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</si>
  <si>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</si>
  <si>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</si>
  <si>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</si>
  <si>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</si>
  <si>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</si>
  <si>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</si>
  <si>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</si>
  <si>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</si>
  <si>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</si>
  <si>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</si>
  <si>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</si>
  <si>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</si>
  <si>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</si>
  <si>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</si>
  <si>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</si>
  <si>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</si>
  <si>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</si>
  <si>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</si>
  <si>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</si>
  <si>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</si>
  <si>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</si>
  <si>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</si>
  <si>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</si>
  <si>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</si>
  <si>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</si>
  <si>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</si>
  <si>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</si>
  <si>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</si>
  <si>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</si>
  <si>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</si>
  <si>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</si>
  <si>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</si>
  <si>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</si>
  <si>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</si>
  <si>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</si>
  <si>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</si>
  <si>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</si>
  <si>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</si>
  <si>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</si>
  <si>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</si>
  <si>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</si>
  <si>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</si>
  <si>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</si>
  <si>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</si>
  <si>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</si>
  <si>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</si>
  <si>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</si>
  <si>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</si>
  <si>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</si>
  <si>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</si>
  <si>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</si>
  <si>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</si>
  <si>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</si>
  <si>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</si>
  <si>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</si>
  <si>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</si>
  <si>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</si>
  <si>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</si>
  <si>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</si>
  <si>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</si>
  <si>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</si>
  <si>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</si>
  <si>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</si>
  <si>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</si>
  <si>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</si>
  <si>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</si>
  <si>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</si>
  <si>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</si>
  <si>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</si>
  <si>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</si>
  <si>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</si>
  <si>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</si>
  <si>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</si>
  <si>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</si>
  <si>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</si>
  <si>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</si>
  <si>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</si>
  <si>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</si>
  <si>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</si>
  <si>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</si>
  <si>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</si>
  <si>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</si>
  <si>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</si>
  <si>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</si>
  <si>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</si>
  <si>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</si>
  <si>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</si>
  <si>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</si>
  <si>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</si>
  <si>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</si>
  <si>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</si>
  <si>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</si>
  <si>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</si>
  <si>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</si>
  <si>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</si>
  <si>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</si>
  <si>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</si>
  <si>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</si>
  <si>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</si>
  <si>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</si>
  <si>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</si>
  <si>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</si>
  <si>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</si>
  <si>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</si>
  <si>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</si>
  <si>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</si>
  <si>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</si>
  <si>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</si>
  <si>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</si>
  <si>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</si>
  <si>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</si>
  <si>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</si>
  <si>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</si>
  <si>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</si>
  <si>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</si>
  <si>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</si>
  <si>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</si>
  <si>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</si>
  <si>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</si>
  <si>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</si>
  <si>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</si>
  <si>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</si>
  <si>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</si>
  <si>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</si>
  <si>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</si>
  <si>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</si>
  <si>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</si>
  <si>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</si>
  <si>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</si>
  <si>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</si>
  <si>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</si>
  <si>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</si>
  <si>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</si>
  <si>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</si>
  <si>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</si>
  <si>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</si>
  <si>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</si>
  <si>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</si>
  <si>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</si>
  <si>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</si>
  <si>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</si>
  <si>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</si>
  <si>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</si>
  <si>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</si>
  <si>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</si>
  <si>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</si>
  <si>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</si>
  <si>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</si>
  <si>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</si>
  <si>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</si>
  <si>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</si>
  <si>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</si>
  <si>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</si>
  <si>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</si>
  <si>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</si>
  <si>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</si>
  <si>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</si>
  <si>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</si>
  <si>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</si>
  <si>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</si>
  <si>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</si>
  <si>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</si>
  <si>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</si>
  <si>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</si>
  <si>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</si>
  <si>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</si>
  <si>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</si>
  <si>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</si>
  <si>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</si>
  <si>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</si>
  <si>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</si>
  <si>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</si>
  <si>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</si>
  <si>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</si>
  <si>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</si>
  <si>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</si>
  <si>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</si>
  <si>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</si>
  <si>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</si>
  <si>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</si>
  <si>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</si>
  <si>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</si>
  <si>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</si>
  <si>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</si>
  <si>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</si>
  <si>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</si>
  <si>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</si>
  <si>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</si>
  <si>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</si>
  <si>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</si>
  <si>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</si>
  <si>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</si>
  <si>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</si>
  <si>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</si>
  <si>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</si>
  <si>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</si>
  <si>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</si>
  <si>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</si>
  <si>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</si>
  <si>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</si>
  <si>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</si>
  <si>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</si>
  <si>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</si>
  <si>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</si>
  <si>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</si>
  <si>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</si>
  <si>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</si>
  <si>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</si>
  <si>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</si>
  <si>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</si>
  <si>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</si>
  <si>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</si>
  <si>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</si>
  <si>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</si>
  <si>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</si>
  <si>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</si>
  <si>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</si>
  <si>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</si>
  <si>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</si>
  <si>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</si>
  <si>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</si>
  <si>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</si>
  <si>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</si>
  <si>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</si>
  <si>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</si>
  <si>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</si>
  <si>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</si>
  <si>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</si>
  <si>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</si>
  <si>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</si>
  <si>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</si>
  <si>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</si>
  <si>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</si>
  <si>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</si>
  <si>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</si>
  <si>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</si>
  <si>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</si>
  <si>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</si>
  <si>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</si>
  <si>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</si>
  <si>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</si>
  <si>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</si>
  <si>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</si>
  <si>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</si>
  <si>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</si>
  <si>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</si>
  <si>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</si>
  <si>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</si>
  <si>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</si>
  <si>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</si>
  <si>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</si>
  <si>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</si>
  <si>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</si>
  <si>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</si>
  <si>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</si>
  <si>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</si>
  <si>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</si>
  <si>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</si>
  <si>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</si>
  <si>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</si>
  <si>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</si>
  <si>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</si>
  <si>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</si>
  <si>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</si>
  <si>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</si>
  <si>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</si>
  <si>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</si>
  <si>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</si>
  <si>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</si>
  <si>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</si>
  <si>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</si>
  <si>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</si>
  <si>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</si>
  <si>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</si>
  <si>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</si>
  <si>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</si>
  <si>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</si>
  <si>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</si>
  <si>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</si>
  <si>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</si>
  <si>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</si>
  <si>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</si>
  <si>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</si>
  <si>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</si>
  <si>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</si>
  <si>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</si>
  <si>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</si>
  <si>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</si>
  <si>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</si>
  <si>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</si>
  <si>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</si>
  <si>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</si>
  <si>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</si>
  <si>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</si>
  <si>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</si>
  <si>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</si>
  <si>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</si>
  <si>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</si>
  <si>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</si>
  <si>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</si>
  <si>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</si>
  <si>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</si>
  <si>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</si>
  <si>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</si>
  <si>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</si>
  <si>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</si>
  <si>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</si>
  <si>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</si>
  <si>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</si>
  <si>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</si>
  <si>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</si>
  <si>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</si>
  <si>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</si>
  <si>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</si>
  <si>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</si>
  <si>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</si>
  <si>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</si>
  <si>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</si>
  <si>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</si>
  <si>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</si>
  <si>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</si>
  <si>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</si>
  <si>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</si>
  <si>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</si>
  <si>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</si>
  <si>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</si>
  <si>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</si>
  <si>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</si>
  <si>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</si>
  <si>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</si>
  <si>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</si>
  <si>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</si>
  <si>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</si>
  <si>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</si>
  <si>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</si>
  <si>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</si>
  <si>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</si>
  <si>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</si>
  <si>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</si>
  <si>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</si>
  <si>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</si>
  <si>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</si>
  <si>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</si>
  <si>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</si>
  <si>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</si>
  <si>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</si>
  <si>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</si>
  <si>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</si>
  <si>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</si>
  <si>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</si>
  <si>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</si>
  <si>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</si>
  <si>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</si>
  <si>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</si>
  <si>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</si>
  <si>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</si>
  <si>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</si>
  <si>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</si>
  <si>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</si>
  <si>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</si>
  <si>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</si>
  <si>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</si>
  <si>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</si>
  <si>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</si>
  <si>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</si>
  <si>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</si>
  <si>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</si>
  <si>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</si>
  <si>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</si>
  <si>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</si>
  <si>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</si>
  <si>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</si>
  <si>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</si>
  <si>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</si>
  <si>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</si>
  <si>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</si>
  <si>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</si>
  <si>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</si>
  <si>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</si>
  <si>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</si>
  <si>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</si>
  <si>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</si>
  <si>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</si>
  <si>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</si>
  <si>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</si>
  <si>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</si>
  <si>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</si>
  <si>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</si>
  <si>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</si>
  <si>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</si>
  <si>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</si>
  <si>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</si>
  <si>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</si>
  <si>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</si>
  <si>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</si>
  <si>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</si>
  <si>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</si>
  <si>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</si>
  <si>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</si>
  <si>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</si>
  <si>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</si>
  <si>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</si>
  <si>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</si>
  <si>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</si>
  <si>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</si>
  <si>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</si>
  <si>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</si>
  <si>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</si>
  <si>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</si>
  <si>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</si>
  <si>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</si>
  <si>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</si>
  <si>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</si>
  <si>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</si>
  <si>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</si>
  <si>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</si>
  <si>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</si>
  <si>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</si>
  <si>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</si>
  <si>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</si>
  <si>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</si>
  <si>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</si>
  <si>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</si>
  <si>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</si>
  <si>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</si>
  <si>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</si>
  <si>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</si>
  <si>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</si>
  <si>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</si>
  <si>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</si>
  <si>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</si>
  <si>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</si>
  <si>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</si>
  <si>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</si>
  <si>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</si>
  <si>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</si>
  <si>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</si>
  <si>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</si>
  <si>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</si>
  <si>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</si>
  <si>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</si>
  <si>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</si>
  <si>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</si>
  <si>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</si>
  <si>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</si>
  <si>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</si>
  <si>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</si>
  <si>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</si>
  <si>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</si>
  <si>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</si>
  <si>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</si>
  <si>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</si>
  <si>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</si>
  <si>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</si>
  <si>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</si>
  <si>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</si>
  <si>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</si>
  <si>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</si>
  <si>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</si>
  <si>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</si>
  <si>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</si>
  <si>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</si>
  <si>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</si>
  <si>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</si>
  <si>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</si>
  <si>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</si>
  <si>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</si>
  <si>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</si>
  <si>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</si>
  <si>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</si>
  <si>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</si>
  <si>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</si>
  <si>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</si>
  <si>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</si>
  <si>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</si>
  <si>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</si>
  <si>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</si>
  <si>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</si>
  <si>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</si>
  <si>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</si>
  <si>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</si>
  <si>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</si>
  <si>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</si>
  <si>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</si>
  <si>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</si>
  <si>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</si>
  <si>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</si>
  <si>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</si>
  <si>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</si>
  <si>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</si>
  <si>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</si>
  <si>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</si>
  <si>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</si>
  <si>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</si>
  <si>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</si>
  <si>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</si>
  <si>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</si>
  <si>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</si>
  <si>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</si>
  <si>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</si>
  <si>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</si>
  <si>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</si>
  <si>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</si>
  <si>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</si>
  <si>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</si>
  <si>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</si>
  <si>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</si>
  <si>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</si>
  <si>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</si>
  <si>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</si>
  <si>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</si>
  <si>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</si>
  <si>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</si>
  <si>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</si>
  <si>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</si>
  <si>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</si>
  <si>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</si>
  <si>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</si>
  <si>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</si>
  <si>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</si>
  <si>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</si>
  <si>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</si>
  <si>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</si>
  <si>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</si>
  <si>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</si>
  <si>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</si>
  <si>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</si>
  <si>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</si>
  <si>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</si>
  <si>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</si>
  <si>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</si>
  <si>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</si>
  <si>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</si>
  <si>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</si>
  <si>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</si>
  <si>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</si>
  <si>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</si>
  <si>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</si>
  <si>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</si>
  <si>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</si>
  <si>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</si>
  <si>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</si>
  <si>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</si>
  <si>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</si>
  <si>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</si>
  <si>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</si>
  <si>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</si>
  <si>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</si>
  <si>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</si>
  <si>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</si>
  <si>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</si>
  <si>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</si>
  <si>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</si>
  <si>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</si>
  <si>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</si>
  <si>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</si>
  <si>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</si>
  <si>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</si>
  <si>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</si>
  <si>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</si>
  <si>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</si>
  <si>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</si>
  <si>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</si>
  <si>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</si>
  <si>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</si>
  <si>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</si>
  <si>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</si>
  <si>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</si>
  <si>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</si>
  <si>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</si>
  <si>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</si>
  <si>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</si>
  <si>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</si>
  <si>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</si>
  <si>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</si>
  <si>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</si>
  <si>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</si>
  <si>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</si>
  <si>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</si>
  <si>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</si>
  <si>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</si>
  <si>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</si>
  <si>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</si>
  <si>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</si>
  <si>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</si>
  <si>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</si>
  <si>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</si>
  <si>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</si>
  <si>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</si>
  <si>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</si>
  <si>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</si>
  <si>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</si>
  <si>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</si>
  <si>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</si>
  <si>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</si>
  <si>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</si>
  <si>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</si>
  <si>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</si>
  <si>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</si>
  <si>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</si>
  <si>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</si>
  <si>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</si>
  <si>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</si>
  <si>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</si>
  <si>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</si>
  <si>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</si>
  <si>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</si>
  <si>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</si>
  <si>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</si>
  <si>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</si>
  <si>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</si>
  <si>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</si>
  <si>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</si>
  <si>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</si>
  <si>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</si>
  <si>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</si>
  <si>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</si>
  <si>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</si>
  <si>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</si>
  <si>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</si>
  <si>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</si>
  <si>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</si>
  <si>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</si>
  <si>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</si>
  <si>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</si>
  <si>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</si>
  <si>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</si>
  <si>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</si>
  <si>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</si>
  <si>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</si>
  <si>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</si>
  <si>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</si>
  <si>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</si>
  <si>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</si>
  <si>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</si>
  <si>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</si>
  <si>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</si>
  <si>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</si>
  <si>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</si>
  <si>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</si>
  <si>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</si>
  <si>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</si>
  <si>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</si>
  <si>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</si>
  <si>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</si>
  <si>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</si>
  <si>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</si>
  <si>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</si>
  <si>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</si>
  <si>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</si>
  <si>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</si>
  <si>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</si>
  <si>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</si>
  <si>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</si>
  <si>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</si>
  <si>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</si>
  <si>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</si>
  <si>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</si>
  <si>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</si>
  <si>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</si>
  <si>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</si>
  <si>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</si>
  <si>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</si>
  <si>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</si>
  <si>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</si>
  <si>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</si>
  <si>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</si>
  <si>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</si>
  <si>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</si>
  <si>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</si>
  <si>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</si>
  <si>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</si>
  <si>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</si>
  <si>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</si>
  <si>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</si>
  <si>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</si>
  <si>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</si>
  <si>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</si>
  <si>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</si>
  <si>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</si>
  <si>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</si>
  <si>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</si>
  <si>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</si>
  <si>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</si>
  <si>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</si>
  <si>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</si>
  <si>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</si>
  <si>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</si>
  <si>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</si>
  <si>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</si>
  <si>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</si>
  <si>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</si>
  <si>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</si>
  <si>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</si>
  <si>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</si>
  <si>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</si>
  <si>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</si>
  <si>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</si>
  <si>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</si>
  <si>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</si>
  <si>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</si>
  <si>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</si>
  <si>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</si>
  <si>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</si>
  <si>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</si>
  <si>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</si>
  <si>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</si>
  <si>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</si>
  <si>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</si>
  <si>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</si>
  <si>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</si>
  <si>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</si>
  <si>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</si>
  <si>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</si>
  <si>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</si>
  <si>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</si>
  <si>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</si>
  <si>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</si>
  <si>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</si>
  <si>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</si>
  <si>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</si>
  <si>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</si>
  <si>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</si>
  <si>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</si>
  <si>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</si>
  <si>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</si>
  <si>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</si>
  <si>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</si>
  <si>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</si>
  <si>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</si>
  <si>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</si>
  <si>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</si>
  <si>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</si>
  <si>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</si>
  <si>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</si>
  <si>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</si>
  <si>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</si>
  <si>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</si>
  <si>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</si>
  <si>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</si>
  <si>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</si>
  <si>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</si>
  <si>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</si>
  <si>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</si>
  <si>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</si>
  <si>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</si>
  <si>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</si>
  <si>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</si>
  <si>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</si>
  <si>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</si>
  <si>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</si>
  <si>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</si>
  <si>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</si>
  <si>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</si>
  <si>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</si>
  <si>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</si>
  <si>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</si>
  <si>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</si>
  <si>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</si>
  <si>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</si>
  <si>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</si>
  <si>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</si>
  <si>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</si>
  <si>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</si>
  <si>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</si>
  <si>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</si>
  <si>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</si>
  <si>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</si>
  <si>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</si>
  <si>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</si>
  <si>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</si>
  <si>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</si>
  <si>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</si>
  <si>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</si>
  <si>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</si>
  <si>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</si>
  <si>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</si>
  <si>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</si>
  <si>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</si>
  <si>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</si>
  <si>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</si>
  <si>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</si>
  <si>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</si>
  <si>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</si>
  <si>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</si>
  <si>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</si>
  <si>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</si>
  <si>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</si>
  <si>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</si>
  <si>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</si>
  <si>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</si>
  <si>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</si>
  <si>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</si>
  <si>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</si>
  <si>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</si>
  <si>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</si>
  <si>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</si>
  <si>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</si>
  <si>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</si>
  <si>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</si>
  <si>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</si>
  <si>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</si>
  <si>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</si>
  <si>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</si>
  <si>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</si>
  <si>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</si>
  <si>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</si>
  <si>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</si>
  <si>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</si>
  <si>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</si>
  <si>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</si>
  <si>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</si>
  <si>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</si>
  <si>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</si>
  <si>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</si>
  <si>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</si>
  <si>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</si>
  <si>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</si>
  <si>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</si>
  <si>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</si>
  <si>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</si>
  <si>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</si>
  <si>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</si>
  <si>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</si>
  <si>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</si>
  <si>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</si>
  <si>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</si>
  <si>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</si>
  <si>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</si>
  <si>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</si>
  <si>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</si>
  <si>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</si>
  <si>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</si>
  <si>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</si>
  <si>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</si>
  <si>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</si>
  <si>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</si>
  <si>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</si>
  <si>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</si>
  <si>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</si>
  <si>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</si>
  <si>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</si>
  <si>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</si>
  <si>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</si>
  <si>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</si>
  <si>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</si>
  <si>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</si>
  <si>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</si>
  <si>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</si>
  <si>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</si>
  <si>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</si>
  <si>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</si>
  <si>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</si>
  <si>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</si>
  <si>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</si>
  <si>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</si>
  <si>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</si>
  <si>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</si>
  <si>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</si>
  <si>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</si>
  <si>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</si>
  <si>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</si>
  <si>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</si>
  <si>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</si>
  <si>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</si>
  <si>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</si>
  <si>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</si>
  <si>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</si>
  <si>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</si>
  <si>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</si>
  <si>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</si>
  <si>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</si>
  <si>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</si>
  <si>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</si>
  <si>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</si>
  <si>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</si>
  <si>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</si>
  <si>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</si>
  <si>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</si>
  <si>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</si>
  <si>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</si>
  <si>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</si>
  <si>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</si>
  <si>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</si>
  <si>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</si>
  <si>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</si>
  <si>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</si>
  <si>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</si>
  <si>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</si>
  <si>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</si>
  <si>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</si>
  <si>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</si>
  <si>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</si>
  <si>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</si>
  <si>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</si>
  <si>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</si>
  <si>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</si>
  <si>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</si>
  <si>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</si>
  <si>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</si>
  <si>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</si>
  <si>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</si>
  <si>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</si>
  <si>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</si>
  <si>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</si>
  <si>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</si>
  <si>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</si>
  <si>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</si>
  <si>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</si>
  <si>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</si>
  <si>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</si>
  <si>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</si>
  <si>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</si>
  <si>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</si>
  <si>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</si>
  <si>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</si>
  <si>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</si>
  <si>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</si>
  <si>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</si>
  <si>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</si>
  <si>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</si>
  <si>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</si>
  <si>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</si>
  <si>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</si>
  <si>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</si>
  <si>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</si>
  <si>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</si>
  <si>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</si>
  <si>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</si>
  <si>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</si>
  <si>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</si>
  <si>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</si>
  <si>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</si>
  <si>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</si>
  <si>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</si>
  <si>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</si>
  <si>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</si>
  <si>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</si>
  <si>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</si>
  <si>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</si>
  <si>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</si>
  <si>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</si>
  <si>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</si>
  <si>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</si>
  <si>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</si>
  <si>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</si>
  <si>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</si>
  <si>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</si>
  <si>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</si>
  <si>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</si>
  <si>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</si>
  <si>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</si>
  <si>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</si>
  <si>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</si>
  <si>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</si>
  <si>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</si>
  <si>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</si>
  <si>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</si>
  <si>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</si>
  <si>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</si>
  <si>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</si>
  <si>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</si>
  <si>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</si>
  <si>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</si>
  <si>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</si>
  <si>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</si>
  <si>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</si>
  <si>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</si>
  <si>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</si>
  <si>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</si>
  <si>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</si>
  <si>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</si>
  <si>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</si>
  <si>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</si>
  <si>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</si>
  <si>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</si>
  <si>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</si>
  <si>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</si>
  <si>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</si>
  <si>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</si>
  <si>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</si>
  <si>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</si>
  <si>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</si>
  <si>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</si>
  <si>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</si>
  <si>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</si>
  <si>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</si>
  <si>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</si>
  <si>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</si>
  <si>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</si>
  <si>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</si>
  <si>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</si>
  <si>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</si>
  <si>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</si>
  <si>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</si>
  <si>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</si>
  <si>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</si>
  <si>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</si>
  <si>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</si>
  <si>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</si>
  <si>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</si>
  <si>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</si>
  <si>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</si>
  <si>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</si>
  <si>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</si>
  <si>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</si>
  <si>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</si>
  <si>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</si>
  <si>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</si>
  <si>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</si>
  <si>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</si>
  <si>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</si>
  <si>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</si>
  <si>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</si>
  <si>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</si>
  <si>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</si>
  <si>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</si>
  <si>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</si>
  <si>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</si>
  <si>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</si>
  <si>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</si>
  <si>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</si>
  <si>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</si>
  <si>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</si>
  <si>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</si>
  <si>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</si>
  <si>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</si>
  <si>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</si>
  <si>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</si>
  <si>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</si>
  <si>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</si>
  <si>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</si>
  <si>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</si>
  <si>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</si>
  <si>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</si>
  <si>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</si>
  <si>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</si>
  <si>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</si>
  <si>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</si>
  <si>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</si>
  <si>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</si>
  <si>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</si>
  <si>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</si>
  <si>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</si>
  <si>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</si>
  <si>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</si>
  <si>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</si>
  <si>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</si>
  <si>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</si>
  <si>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</si>
  <si>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</si>
  <si>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</si>
  <si>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</si>
  <si>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</si>
  <si>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</si>
  <si>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</si>
  <si>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</si>
  <si>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</si>
  <si>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</si>
  <si>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</si>
  <si>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</si>
  <si>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</si>
  <si>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</si>
  <si>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</si>
  <si>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</si>
  <si>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</si>
  <si>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</si>
  <si>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</si>
  <si>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</si>
  <si>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</si>
  <si>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</si>
  <si>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</si>
  <si>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</si>
  <si>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</si>
  <si>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</si>
  <si>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</si>
  <si>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</si>
  <si>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</si>
  <si>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</si>
  <si>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</si>
  <si>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</si>
  <si>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</si>
  <si>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</si>
  <si>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</si>
  <si>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</si>
  <si>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</si>
  <si>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</si>
  <si>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</si>
  <si>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</si>
  <si>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</si>
  <si>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</si>
  <si>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</si>
  <si>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</si>
  <si>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</si>
  <si>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</si>
  <si>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</si>
  <si>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</si>
  <si>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</si>
  <si>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</si>
  <si>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</si>
  <si>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</si>
  <si>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</si>
  <si>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</si>
  <si>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</si>
  <si>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</si>
  <si>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</si>
  <si>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</si>
  <si>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</si>
  <si>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</si>
  <si>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</si>
  <si>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</si>
  <si>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</si>
  <si>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</si>
  <si>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</si>
  <si>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</si>
  <si>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</si>
  <si>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</si>
  <si>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</si>
  <si>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</si>
  <si>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</si>
  <si>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</si>
  <si>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</si>
  <si>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</si>
  <si>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</si>
  <si>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</si>
  <si>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</si>
  <si>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</si>
  <si>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</si>
  <si>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</si>
  <si>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</si>
  <si>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</si>
  <si>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</si>
  <si>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</si>
  <si>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</si>
  <si>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</si>
  <si>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</si>
  <si>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</si>
  <si>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</si>
  <si>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</si>
  <si>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</si>
  <si>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</si>
  <si>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</si>
  <si>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</si>
  <si>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</si>
  <si>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</si>
  <si>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</si>
  <si>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</si>
  <si>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</si>
  <si>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</si>
  <si>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</si>
  <si>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</si>
  <si>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</si>
  <si>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</si>
  <si>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</si>
  <si>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</si>
  <si>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</si>
  <si>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</si>
  <si>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</si>
  <si>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</si>
  <si>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</si>
  <si>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</si>
  <si>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</si>
  <si>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</si>
  <si>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</si>
  <si>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</si>
  <si>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</si>
  <si>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</si>
  <si>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</si>
  <si>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</si>
  <si>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</si>
  <si>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</si>
  <si>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</si>
  <si>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</si>
  <si>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</si>
  <si>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</si>
  <si>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</si>
  <si>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</si>
  <si>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</si>
  <si>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</si>
  <si>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</si>
  <si>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</si>
  <si>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</si>
  <si>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</si>
  <si>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</si>
  <si>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</si>
  <si>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</si>
  <si>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</si>
  <si>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</si>
  <si>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</si>
  <si>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</si>
  <si>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</si>
  <si>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</si>
  <si>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</si>
  <si>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</si>
  <si>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</si>
  <si>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</si>
  <si>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</si>
  <si>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</si>
  <si>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</si>
  <si>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</si>
  <si>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</si>
  <si>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</si>
  <si>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</si>
  <si>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</si>
  <si>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</si>
  <si>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</si>
  <si>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</si>
  <si>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</si>
  <si>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</si>
  <si>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</si>
  <si>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</si>
  <si>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</si>
  <si>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</si>
  <si>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</si>
  <si>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</si>
  <si>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</si>
  <si>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</si>
  <si>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</si>
  <si>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</si>
  <si>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</si>
  <si>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</si>
  <si>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</si>
  <si>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</si>
  <si>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</si>
  <si>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</si>
  <si>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</si>
  <si>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</si>
  <si>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</si>
  <si>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</si>
  <si>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</si>
  <si>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</si>
  <si>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</si>
  <si>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</si>
  <si>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</si>
  <si>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</si>
  <si>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</si>
  <si>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</si>
  <si>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</si>
  <si>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</si>
  <si>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</si>
  <si>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</si>
  <si>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</si>
  <si>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</si>
  <si>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</si>
  <si>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</si>
  <si>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</si>
  <si>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</si>
  <si>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</si>
  <si>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</si>
  <si>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</si>
  <si>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</si>
  <si>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</si>
  <si>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</si>
  <si>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</si>
  <si>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</si>
  <si>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</si>
  <si>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</si>
  <si>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</si>
  <si>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</si>
  <si>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</si>
  <si>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</si>
  <si>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</si>
  <si>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</si>
  <si>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</si>
  <si>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</si>
  <si>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</si>
  <si>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</si>
  <si>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</si>
  <si>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</si>
  <si>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</si>
  <si>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</si>
  <si>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</si>
  <si>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</si>
  <si>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</si>
  <si>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</si>
  <si>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</si>
  <si>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</si>
  <si>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</si>
  <si>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</si>
  <si>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</si>
  <si>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</si>
  <si>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</si>
  <si>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</si>
  <si>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</si>
  <si>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</si>
  <si>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</si>
  <si>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</si>
  <si>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</si>
  <si>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</si>
  <si>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</si>
  <si>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</si>
  <si>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</si>
  <si>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</si>
  <si>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</si>
  <si>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</si>
  <si>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</si>
  <si>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</si>
  <si>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</si>
  <si>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</si>
  <si>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</si>
  <si>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</si>
  <si>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</si>
  <si>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</si>
  <si>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</si>
  <si>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</si>
  <si>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</si>
  <si>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</si>
  <si>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</si>
  <si>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</si>
  <si>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</si>
  <si>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</si>
  <si>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</si>
  <si>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</si>
  <si>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</si>
  <si>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</si>
  <si>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</si>
  <si>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</si>
  <si>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</si>
  <si>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</si>
  <si>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</si>
  <si>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</si>
  <si>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</si>
  <si>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</si>
  <si>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</si>
  <si>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</si>
  <si>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</si>
  <si>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</si>
  <si>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</si>
  <si>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</si>
  <si>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</si>
  <si>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</si>
  <si>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</si>
  <si>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</si>
  <si>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</si>
  <si>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</si>
  <si>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</si>
  <si>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</si>
  <si>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</si>
  <si>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</si>
  <si>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</si>
  <si>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</si>
  <si>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</si>
  <si>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</si>
  <si>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</si>
  <si>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</si>
  <si>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</si>
  <si>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</si>
  <si>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</si>
  <si>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</si>
  <si>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</si>
  <si>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</si>
  <si>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</si>
  <si>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</si>
  <si>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</si>
  <si>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</si>
  <si>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</si>
  <si>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</si>
  <si>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</si>
  <si>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</si>
  <si>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</si>
  <si>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</si>
  <si>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</si>
  <si>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</si>
  <si>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</si>
  <si>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</si>
  <si>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</si>
  <si>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</si>
  <si>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</si>
  <si>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</si>
  <si>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</si>
  <si>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</si>
  <si>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</si>
  <si>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</si>
  <si>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</si>
  <si>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</si>
  <si>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</si>
  <si>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</si>
  <si>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</si>
  <si>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</si>
  <si>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</si>
  <si>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</si>
  <si>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</si>
  <si>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</si>
  <si>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</si>
  <si>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</si>
  <si>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</si>
  <si>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</si>
  <si>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</si>
  <si>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</si>
  <si>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</si>
  <si>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</si>
  <si>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</si>
  <si>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</si>
  <si>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</si>
  <si>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</si>
  <si>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</si>
  <si>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</si>
  <si>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</si>
  <si>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</si>
  <si>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</si>
  <si>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</si>
  <si>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</si>
  <si>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</si>
  <si>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</si>
  <si>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</si>
  <si>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</si>
  <si>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</si>
  <si>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</si>
  <si>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</si>
  <si>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</si>
  <si>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</si>
  <si>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</si>
  <si>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</si>
  <si>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</si>
  <si>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</si>
  <si>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</si>
  <si>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</si>
  <si>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</si>
  <si>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</si>
  <si>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</si>
  <si>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</si>
  <si>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</si>
  <si>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</si>
  <si>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</si>
  <si>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</si>
  <si>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</si>
  <si>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</si>
  <si>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</si>
  <si>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</si>
  <si>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</si>
  <si>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</si>
  <si>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</si>
  <si>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</si>
  <si>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</si>
  <si>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</si>
  <si>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</si>
  <si>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</si>
  <si>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</si>
  <si>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</si>
  <si>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</si>
  <si>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</si>
  <si>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</si>
  <si>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</si>
  <si>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</si>
  <si>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</si>
  <si>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</si>
  <si>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</si>
  <si>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</si>
  <si>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</si>
  <si>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</si>
  <si>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</si>
  <si>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</si>
  <si>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</si>
  <si>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</si>
  <si>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</si>
  <si>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</si>
  <si>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</si>
  <si>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</si>
  <si>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</si>
  <si>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</si>
  <si>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</si>
  <si>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</si>
  <si>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</si>
  <si>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</si>
  <si>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</si>
  <si>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</si>
  <si>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</si>
  <si>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</si>
  <si>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</si>
  <si>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</si>
  <si>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</si>
  <si>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</si>
  <si>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</si>
  <si>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</si>
  <si>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</si>
  <si>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</si>
  <si>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</si>
  <si>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</si>
  <si>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</si>
  <si>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</si>
  <si>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</si>
  <si>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</si>
  <si>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</si>
  <si>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</si>
  <si>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</si>
  <si>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</si>
  <si>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</si>
  <si>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</si>
  <si>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</si>
  <si>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</si>
  <si>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</si>
  <si>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</si>
  <si>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</si>
  <si>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</si>
  <si>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</si>
  <si>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</si>
  <si>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</si>
  <si>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</si>
  <si>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</si>
  <si>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</si>
  <si>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</si>
  <si>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</si>
  <si>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</si>
  <si>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</si>
  <si>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</si>
  <si>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</si>
  <si>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</si>
  <si>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</si>
  <si>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</si>
  <si>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</si>
  <si>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</si>
  <si>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</si>
  <si>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</si>
  <si>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</si>
  <si>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</si>
  <si>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</si>
  <si>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</si>
  <si>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</si>
  <si>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</si>
  <si>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</si>
  <si>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</si>
  <si>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</si>
  <si>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</si>
  <si>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</si>
  <si>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</si>
  <si>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</si>
  <si>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</si>
  <si>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</si>
  <si>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</si>
  <si>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</si>
  <si>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</si>
  <si>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</si>
  <si>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</si>
  <si>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</si>
  <si>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</si>
  <si>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</si>
  <si>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</si>
  <si>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</si>
  <si>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</si>
  <si>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</si>
  <si>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</si>
  <si>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</si>
  <si>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</si>
  <si>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</si>
  <si>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</si>
  <si>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</si>
  <si>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</si>
  <si>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</si>
  <si>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</si>
  <si>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</si>
  <si>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</si>
  <si>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</si>
  <si>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</si>
  <si>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</si>
  <si>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</si>
  <si>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</si>
  <si>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</si>
  <si>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</si>
  <si>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</si>
  <si>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</si>
  <si>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</si>
  <si>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</si>
  <si>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</si>
  <si>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</si>
  <si>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</si>
  <si>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</si>
  <si>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</si>
  <si>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</si>
  <si>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</si>
  <si>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</si>
  <si>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</si>
  <si>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</si>
  <si>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</si>
  <si>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</si>
  <si>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</si>
  <si>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</si>
  <si>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</si>
  <si>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</si>
  <si>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</si>
  <si>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</si>
  <si>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</si>
  <si>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</si>
  <si>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</si>
  <si>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</si>
  <si>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</si>
  <si>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</si>
  <si>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</si>
  <si>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</si>
  <si>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</si>
  <si>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</si>
  <si>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</si>
  <si>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</si>
  <si>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</si>
  <si>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</si>
  <si>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</si>
  <si>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</si>
  <si>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</si>
  <si>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</si>
  <si>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</si>
  <si>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</si>
  <si>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</si>
  <si>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</si>
  <si>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</si>
  <si>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</si>
  <si>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</si>
  <si>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</si>
  <si>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</si>
  <si>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</si>
  <si>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</si>
  <si>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</si>
  <si>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</si>
  <si>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</si>
  <si>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</si>
  <si>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</si>
  <si>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</si>
  <si>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</si>
  <si>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</si>
  <si>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</si>
  <si>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</si>
  <si>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</si>
  <si>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</si>
  <si>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</si>
  <si>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</si>
  <si>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</si>
  <si>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</si>
  <si>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</si>
  <si>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</si>
  <si>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</si>
  <si>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</si>
  <si>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</si>
  <si>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</si>
  <si>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</si>
  <si>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</si>
  <si>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</si>
  <si>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</si>
  <si>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</si>
  <si>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</si>
  <si>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</si>
  <si>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</si>
  <si>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</si>
  <si>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</si>
  <si>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</si>
  <si>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</si>
  <si>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</si>
  <si>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</si>
  <si>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</si>
  <si>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</si>
  <si>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</si>
  <si>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</si>
  <si>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</si>
  <si>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</si>
  <si>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</si>
  <si>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</si>
  <si>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</si>
  <si>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</si>
  <si>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</si>
  <si>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</si>
  <si>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</si>
  <si>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</si>
  <si>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</si>
  <si>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</si>
  <si>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</si>
  <si>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</si>
  <si>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</si>
  <si>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</si>
  <si>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</si>
  <si>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</si>
  <si>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</si>
  <si>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</si>
  <si>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</si>
  <si>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</si>
  <si>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</si>
  <si>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</si>
  <si>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</si>
  <si>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</si>
  <si>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</si>
  <si>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</si>
  <si>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</si>
  <si>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</si>
  <si>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</si>
  <si>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</si>
  <si>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</si>
  <si>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</si>
  <si>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</si>
  <si>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</si>
  <si>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</si>
  <si>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</si>
  <si>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</si>
  <si>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</si>
  <si>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</si>
  <si>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</si>
  <si>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</si>
  <si>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</si>
  <si>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</si>
  <si>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</si>
  <si>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</si>
  <si>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</si>
  <si>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</si>
  <si>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</si>
  <si>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</si>
  <si>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</si>
  <si>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</si>
  <si>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</si>
  <si>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</si>
  <si>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</si>
  <si>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</si>
  <si>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</si>
  <si>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</si>
  <si>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</si>
  <si>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</si>
  <si>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</si>
  <si>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</si>
  <si>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</si>
  <si>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</si>
  <si>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</si>
  <si>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</si>
  <si>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</si>
  <si>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</si>
  <si>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</si>
  <si>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</si>
  <si>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</si>
  <si>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</si>
  <si>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</si>
  <si>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</si>
  <si>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</si>
  <si>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</si>
  <si>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</si>
  <si>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</si>
  <si>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</si>
  <si>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</si>
  <si>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</si>
  <si>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</si>
  <si>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</si>
  <si>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</si>
  <si>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</si>
  <si>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</si>
  <si>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</si>
  <si>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</si>
  <si>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</si>
  <si>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</si>
  <si>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DuPage</t>
  </si>
  <si>
    <t>0 S. 150 Winfield Road</t>
  </si>
  <si>
    <t xml:space="preserve">Winfield  </t>
  </si>
  <si>
    <t>Dr. Matt Rich</t>
  </si>
  <si>
    <t>630-909-4900</t>
  </si>
  <si>
    <t>Evans, Marshall and Pease, PC</t>
  </si>
  <si>
    <t>Jeffery M. Rollefson, CPA</t>
  </si>
  <si>
    <t>1875 Hicks Road</t>
  </si>
  <si>
    <t>Rolling Meadows</t>
  </si>
  <si>
    <t>Illinois</t>
  </si>
  <si>
    <t>847-221-5700</t>
  </si>
  <si>
    <t>847-221-5701</t>
  </si>
  <si>
    <t>066-005340</t>
  </si>
  <si>
    <t>jeff@empcpa.com</t>
  </si>
  <si>
    <t>The District prepares its financial statements to comply with regulatory provisions prescribed by the Illinois State Board of Education, which is a comprehensive basis of accounting other than generally accepted accounting principles.</t>
  </si>
  <si>
    <t>Capital Appreciation Bonds 2022</t>
  </si>
  <si>
    <t>GO Refunding Bonds 2013A</t>
  </si>
  <si>
    <t>GO Refunding Bonds 2013B</t>
  </si>
  <si>
    <t>Capital Lease</t>
  </si>
  <si>
    <t>X</t>
  </si>
  <si>
    <t>SCHOOL ASSOCIATION FOR SPECIAL EDUCATION IN DUPAGE</t>
  </si>
  <si>
    <t>CLIC Workers' Comp</t>
  </si>
  <si>
    <t>CLIC General Liability</t>
  </si>
  <si>
    <t>Net 56</t>
  </si>
  <si>
    <t>Direct Energy</t>
  </si>
  <si>
    <t>ED - Instruction - purchased services</t>
  </si>
  <si>
    <t>OM - Operations &amp; Maint plant services</t>
  </si>
  <si>
    <t xml:space="preserve">  Winfield 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</si>
</sst>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552450</xdr:colOff>
          <xdr:row>6</xdr:row>
          <xdr:rowOff>85725</xdr:rowOff>
        </xdr:from>
        <xdr:to>
          <xdr:col>5</xdr:col>
          <xdr:colOff>257175</xdr:colOff>
          <xdr:row>10</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8</xdr:col>
          <xdr:colOff>304800</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19022034002</v>
      </c>
      <c r="B13" s="2087"/>
      <c r="C13" s="2087"/>
      <c r="D13" s="2087"/>
      <c r="E13" s="2087"/>
      <c r="F13" s="2087"/>
      <c r="G13" s="2087"/>
      <c r="H13" s="2088"/>
      <c r="I13" s="31"/>
      <c r="J13" s="30"/>
      <c r="K13" s="28"/>
      <c r="L13" s="30"/>
      <c r="M13" s="30"/>
      <c r="N13" s="30"/>
      <c r="O13" s="30"/>
      <c r="P13" s="30"/>
      <c r="Q13" s="30"/>
      <c r="R13" s="30"/>
      <c r="S13" s="30"/>
      <c r="T13" s="2091" t="s">
        <v>2057</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2058</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2079</v>
      </c>
      <c r="B17" s="2114"/>
      <c r="C17" s="2114"/>
      <c r="D17" s="2114"/>
      <c r="E17" s="2114"/>
      <c r="F17" s="2114"/>
      <c r="G17" s="2114"/>
      <c r="H17" s="2115"/>
      <c r="T17" s="2101" t="s">
        <v>2059</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2060</v>
      </c>
      <c r="U19" s="2082"/>
      <c r="V19" s="2082"/>
      <c r="W19" s="2083"/>
      <c r="X19" s="2099" t="s">
        <v>2061</v>
      </c>
      <c r="Y19" s="2100"/>
      <c r="Z19" s="2097">
        <v>60008</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2062</v>
      </c>
      <c r="U21" s="2050"/>
      <c r="V21" s="2050"/>
      <c r="W21" s="2050"/>
      <c r="X21" s="2063" t="s">
        <v>2063</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2064</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60190</v>
      </c>
      <c r="B25" s="2082"/>
      <c r="C25" s="2082"/>
      <c r="D25" s="2082"/>
      <c r="E25" s="2082"/>
      <c r="F25" s="2082"/>
      <c r="G25" s="2082"/>
      <c r="H25" s="2083"/>
      <c r="I25" s="110"/>
      <c r="J25" s="2148"/>
      <c r="K25" s="2148"/>
      <c r="L25" s="2148"/>
      <c r="M25" s="2148"/>
      <c r="N25" s="2148"/>
      <c r="O25" s="2148"/>
      <c r="P25" s="2148"/>
      <c r="Q25" s="2148"/>
      <c r="R25" s="2148"/>
      <c r="S25" s="2149"/>
      <c r="T25" s="2041" t="s">
        <v>2065</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2071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2055</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2056</v>
      </c>
      <c r="B42" s="2131"/>
      <c r="C42" s="2132"/>
      <c r="D42" s="2145"/>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3228482</v>
      </c>
      <c r="C4" s="1722">
        <v>1636550</v>
      </c>
      <c r="D4" s="1723">
        <f>B4-C4</f>
        <v>1591932</v>
      </c>
      <c r="E4" s="1722">
        <v>3258487</v>
      </c>
      <c r="F4" s="1723">
        <f>E4-C4</f>
        <v>1621937</v>
      </c>
    </row>
    <row r="5" spans="1:8" ht="13.7" customHeight="1" x14ac:dyDescent="0.2">
      <c r="A5" s="579" t="s">
        <v>865</v>
      </c>
      <c r="B5" s="1724">
        <f>'Revenues 9-14'!D5</f>
        <v>563394</v>
      </c>
      <c r="C5" s="1664">
        <v>247317</v>
      </c>
      <c r="D5" s="1725">
        <f t="shared" ref="D5:D18" si="0">B5-C5</f>
        <v>316077</v>
      </c>
      <c r="E5" s="1664">
        <v>492426</v>
      </c>
      <c r="F5" s="1725">
        <f>E5-C5</f>
        <v>245109</v>
      </c>
    </row>
    <row r="6" spans="1:8" ht="13.7" customHeight="1" x14ac:dyDescent="0.2">
      <c r="A6" s="579" t="s">
        <v>408</v>
      </c>
      <c r="B6" s="1724">
        <f>'Revenues 9-14'!E5</f>
        <v>1052309</v>
      </c>
      <c r="C6" s="1664">
        <v>537363</v>
      </c>
      <c r="D6" s="1725">
        <f t="shared" si="0"/>
        <v>514946</v>
      </c>
      <c r="E6" s="1664">
        <v>1069928</v>
      </c>
      <c r="F6" s="1725">
        <f t="shared" ref="F6:F18" si="1">E6-C6</f>
        <v>532565</v>
      </c>
    </row>
    <row r="7" spans="1:8" ht="13.7" customHeight="1" x14ac:dyDescent="0.2">
      <c r="A7" s="579" t="s">
        <v>154</v>
      </c>
      <c r="B7" s="1724">
        <f>'Revenues 9-14'!F5</f>
        <v>109752</v>
      </c>
      <c r="C7" s="1664">
        <v>98959</v>
      </c>
      <c r="D7" s="1725">
        <f t="shared" si="0"/>
        <v>10793</v>
      </c>
      <c r="E7" s="1664">
        <v>197034</v>
      </c>
      <c r="F7" s="1725">
        <f t="shared" si="1"/>
        <v>98075</v>
      </c>
    </row>
    <row r="8" spans="1:8" ht="13.7" customHeight="1" x14ac:dyDescent="0.2">
      <c r="A8" s="579" t="s">
        <v>1169</v>
      </c>
      <c r="B8" s="1724">
        <f>'Revenues 9-14'!G5</f>
        <v>127124</v>
      </c>
      <c r="C8" s="1664">
        <v>64331</v>
      </c>
      <c r="D8" s="1725">
        <f t="shared" si="0"/>
        <v>62793</v>
      </c>
      <c r="E8" s="1664">
        <v>128088</v>
      </c>
      <c r="F8" s="1725">
        <f t="shared" si="1"/>
        <v>63757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539022</v>
      </c>
      <c r="C14" s="1664">
        <v>268681</v>
      </c>
      <c r="D14" s="1725">
        <f t="shared" si="0"/>
        <v>270341</v>
      </c>
      <c r="E14" s="1664">
        <v>534964</v>
      </c>
      <c r="F14" s="1725">
        <f t="shared" si="1"/>
        <v>266283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80731</v>
      </c>
      <c r="C16" s="1664">
        <v>42014</v>
      </c>
      <c r="D16" s="1725">
        <f t="shared" si="0"/>
        <v>38717</v>
      </c>
      <c r="E16" s="1664">
        <v>83652</v>
      </c>
      <c r="F16" s="1725">
        <f t="shared" si="1"/>
        <v>41638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5700814</v>
      </c>
      <c r="C19" s="1726">
        <f>SUM(C4:C18)</f>
        <v>2895215</v>
      </c>
      <c r="D19" s="1726">
        <f>SUM(D4:D18)</f>
        <v>2805599</v>
      </c>
      <c r="E19" s="1726">
        <f>SUM(E4:E18)</f>
        <v>5764579</v>
      </c>
      <c r="F19" s="1726">
        <f>SUM(F4:F18)</f>
        <v>2869364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6" sqref="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37406</v>
      </c>
      <c r="C31" s="1734">
        <v>5958150</v>
      </c>
      <c r="D31" s="1735">
        <v>6</v>
      </c>
      <c r="E31" s="1734">
        <v>637825</v>
      </c>
      <c r="F31" s="1734"/>
      <c r="G31" s="1734"/>
      <c r="H31" s="1734">
        <v>222816</v>
      </c>
      <c r="I31" s="1736">
        <f>((E31+F31)-H31)+G31</f>
        <v>415009</v>
      </c>
      <c r="J31" s="1734">
        <v>283042</v>
      </c>
      <c r="K31" s="596"/>
    </row>
    <row r="32" spans="1:11" ht="12" customHeight="1" x14ac:dyDescent="0.2">
      <c r="A32" s="594" t="s">
        <v>2068</v>
      </c>
      <c r="B32" s="595">
        <v>41515</v>
      </c>
      <c r="C32" s="1734">
        <v>840000</v>
      </c>
      <c r="D32" s="1735">
        <v>3</v>
      </c>
      <c r="E32" s="1734">
        <v>805000</v>
      </c>
      <c r="F32" s="1734"/>
      <c r="G32" s="1734"/>
      <c r="H32" s="1734">
        <v>5000</v>
      </c>
      <c r="I32" s="1736">
        <f>((E32+F32)-H32)+G32</f>
        <v>800000</v>
      </c>
      <c r="J32" s="1734">
        <v>545611</v>
      </c>
      <c r="K32" s="596"/>
    </row>
    <row r="33" spans="1:11" ht="12" customHeight="1" x14ac:dyDescent="0.2">
      <c r="A33" s="594" t="s">
        <v>2069</v>
      </c>
      <c r="B33" s="595">
        <v>41515</v>
      </c>
      <c r="C33" s="1734">
        <v>1020000</v>
      </c>
      <c r="D33" s="1735">
        <v>3</v>
      </c>
      <c r="E33" s="1734">
        <v>985000</v>
      </c>
      <c r="F33" s="1734"/>
      <c r="G33" s="1734"/>
      <c r="H33" s="1734">
        <v>5000</v>
      </c>
      <c r="I33" s="1736">
        <f t="shared" ref="I33:I48" si="1">((E33+F33)-H33)+G33</f>
        <v>980000</v>
      </c>
      <c r="J33" s="1734">
        <v>668374</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2070</v>
      </c>
      <c r="B35" s="595">
        <v>43426</v>
      </c>
      <c r="C35" s="1737">
        <v>57388</v>
      </c>
      <c r="D35" s="1735">
        <v>7</v>
      </c>
      <c r="E35" s="1737">
        <v>50692</v>
      </c>
      <c r="F35" s="1737"/>
      <c r="G35" s="1737"/>
      <c r="H35" s="1737">
        <v>10560</v>
      </c>
      <c r="I35" s="1736">
        <f t="shared" si="1"/>
        <v>40132</v>
      </c>
      <c r="J35" s="1737">
        <v>27371</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7875538</v>
      </c>
      <c r="D49" s="1742"/>
      <c r="E49" s="1736">
        <f t="shared" ref="E49:J49" si="2">SUM(E31:E48)</f>
        <v>2478517</v>
      </c>
      <c r="F49" s="1736">
        <f t="shared" si="2"/>
        <v>0</v>
      </c>
      <c r="G49" s="1736">
        <f t="shared" si="2"/>
        <v>0</v>
      </c>
      <c r="H49" s="1736">
        <f t="shared" si="2"/>
        <v>243376</v>
      </c>
      <c r="I49" s="1736">
        <f t="shared" si="2"/>
        <v>2235141</v>
      </c>
      <c r="J49" s="1736">
        <f t="shared" si="2"/>
        <v>1524398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35" sqref="I3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539022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539022</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539022</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539022</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v>17305</v>
      </c>
    </row>
    <row r="37" spans="1:11" x14ac:dyDescent="0.2">
      <c r="A37" s="660" t="s">
        <v>890</v>
      </c>
      <c r="B37" s="658"/>
      <c r="C37" s="658"/>
      <c r="D37" s="658"/>
      <c r="E37" s="658"/>
      <c r="F37" s="659"/>
      <c r="G37" s="619">
        <v>4246</v>
      </c>
    </row>
    <row r="38" spans="1:11" x14ac:dyDescent="0.2">
      <c r="A38" s="660" t="s">
        <v>986</v>
      </c>
      <c r="B38" s="658"/>
      <c r="C38" s="658"/>
      <c r="D38" s="658"/>
      <c r="E38" s="658"/>
      <c r="F38" s="659"/>
      <c r="G38" s="619">
        <v>26233</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v>15964</v>
      </c>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4" sqref="E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591553</v>
      </c>
      <c r="D5" s="1770"/>
      <c r="E5" s="1770"/>
      <c r="F5" s="1765">
        <f>(C5+D5)-E5</f>
        <v>591553</v>
      </c>
      <c r="G5" s="676"/>
      <c r="H5" s="680"/>
      <c r="I5" s="680"/>
      <c r="J5" s="680"/>
      <c r="K5" s="637"/>
      <c r="L5" s="1442">
        <f>F5-K5</f>
        <v>591553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16267151</v>
      </c>
      <c r="D8" s="1771">
        <v>35020</v>
      </c>
      <c r="E8" s="1771"/>
      <c r="F8" s="1765">
        <f>(C8+D8)-E8</f>
        <v>16302171</v>
      </c>
      <c r="G8" s="681">
        <v>50</v>
      </c>
      <c r="H8" s="619">
        <v>7119911</v>
      </c>
      <c r="I8" s="619">
        <v>380436</v>
      </c>
      <c r="J8" s="619"/>
      <c r="K8" s="1442">
        <f>(H8+I8)-J8</f>
        <v>7500347</v>
      </c>
      <c r="L8" s="1442">
        <f>F8-K8</f>
        <v>8801824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437380</v>
      </c>
      <c r="D10" s="1772">
        <v>12567</v>
      </c>
      <c r="E10" s="1772"/>
      <c r="F10" s="1773">
        <f>(C10+D10)-E10</f>
        <v>449947</v>
      </c>
      <c r="G10" s="681">
        <v>20</v>
      </c>
      <c r="H10" s="683">
        <v>407439</v>
      </c>
      <c r="I10" s="683">
        <v>37690</v>
      </c>
      <c r="J10" s="683"/>
      <c r="K10" s="1442">
        <f>(H10+I10)-J10</f>
        <v>445129</v>
      </c>
      <c r="L10" s="1442">
        <f>F10-K10</f>
        <v>4818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880676</v>
      </c>
      <c r="D12" s="1771"/>
      <c r="E12" s="1771"/>
      <c r="F12" s="1765">
        <f>(C12+D12)-E12</f>
        <v>880676</v>
      </c>
      <c r="G12" s="681">
        <v>10</v>
      </c>
      <c r="H12" s="619">
        <v>307369</v>
      </c>
      <c r="I12" s="619">
        <v>26708</v>
      </c>
      <c r="J12" s="619"/>
      <c r="K12" s="1442">
        <f>(H12+I12)-J12</f>
        <v>334077</v>
      </c>
      <c r="L12" s="1442">
        <f>F12-K12</f>
        <v>546599</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18176760</v>
      </c>
      <c r="D16" s="1765">
        <f>SUM(D3,D5:D6,D8:D10,D12:D15)</f>
        <v>47587</v>
      </c>
      <c r="E16" s="1765">
        <f>SUM(E3,E5:E6,E8:E10,E12:E15)</f>
        <v>0</v>
      </c>
      <c r="F16" s="1765">
        <f>SUM(F3,F5:F6,F8:F10,F12:F15)</f>
        <v>18224347</v>
      </c>
      <c r="G16" s="681"/>
      <c r="H16" s="1435">
        <f>SUM(H3,H6,H8:H10,H12:H14,)</f>
        <v>7834719</v>
      </c>
      <c r="I16" s="1435">
        <f>SUM(I3,I6,I8:I10,I12:I14,)</f>
        <v>444834</v>
      </c>
      <c r="J16" s="1435">
        <f>SUM(J3,J6,J8:J10,J12:J14,)</f>
        <v>0</v>
      </c>
      <c r="K16" s="1435">
        <f>(H16+I16)-J16</f>
        <v>8279553</v>
      </c>
      <c r="L16" s="1435">
        <f>F16-K16</f>
        <v>9944794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10250</v>
      </c>
      <c r="G17" s="676">
        <v>10</v>
      </c>
      <c r="H17" s="621"/>
      <c r="I17" s="1442">
        <f>F17/G17</f>
        <v>1025</v>
      </c>
      <c r="J17" s="621"/>
      <c r="K17" s="638"/>
      <c r="L17" s="638"/>
    </row>
    <row r="18" spans="1:12" ht="14.25" thickTop="1" thickBot="1" x14ac:dyDescent="0.25">
      <c r="A18" s="1440" t="s">
        <v>680</v>
      </c>
      <c r="B18" s="1441"/>
      <c r="C18" s="623"/>
      <c r="D18" s="623"/>
      <c r="E18" s="623"/>
      <c r="F18" s="686"/>
      <c r="G18" s="687"/>
      <c r="H18" s="624"/>
      <c r="I18" s="1435">
        <f>SUM(I16,I17)</f>
        <v>445859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4258241</v>
      </c>
      <c r="G8" s="701"/>
    </row>
    <row r="9" spans="1:9" x14ac:dyDescent="0.2">
      <c r="A9" s="705" t="s">
        <v>457</v>
      </c>
      <c r="B9" s="706" t="s">
        <v>1848</v>
      </c>
      <c r="C9" s="707"/>
      <c r="D9" s="705" t="s">
        <v>498</v>
      </c>
      <c r="E9" s="704"/>
      <c r="F9" s="1775">
        <f>'Expenditures 15-22'!K151</f>
        <v>522441</v>
      </c>
      <c r="G9" s="708"/>
    </row>
    <row r="10" spans="1:9" x14ac:dyDescent="0.2">
      <c r="A10" s="705" t="s">
        <v>496</v>
      </c>
      <c r="B10" s="706" t="s">
        <v>1849</v>
      </c>
      <c r="C10" s="707"/>
      <c r="D10" s="705" t="s">
        <v>498</v>
      </c>
      <c r="E10" s="704"/>
      <c r="F10" s="1775">
        <f>'Expenditures 15-22'!K174</f>
        <v>1037653</v>
      </c>
      <c r="G10" s="708"/>
    </row>
    <row r="11" spans="1:9" x14ac:dyDescent="0.2">
      <c r="A11" s="705" t="s">
        <v>458</v>
      </c>
      <c r="B11" s="706" t="s">
        <v>1850</v>
      </c>
      <c r="C11" s="707"/>
      <c r="D11" s="705" t="s">
        <v>498</v>
      </c>
      <c r="E11" s="704"/>
      <c r="F11" s="1775">
        <f>'Expenditures 15-22'!K210</f>
        <v>61331</v>
      </c>
      <c r="G11" s="708"/>
    </row>
    <row r="12" spans="1:9" x14ac:dyDescent="0.2">
      <c r="A12" s="705" t="s">
        <v>459</v>
      </c>
      <c r="B12" s="706" t="s">
        <v>1851</v>
      </c>
      <c r="C12" s="707"/>
      <c r="D12" s="705" t="s">
        <v>498</v>
      </c>
      <c r="E12" s="704"/>
      <c r="F12" s="1775">
        <f>'Expenditures 15-22'!K295</f>
        <v>150166</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6029832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9332</v>
      </c>
      <c r="G52" s="701"/>
    </row>
    <row r="53" spans="1:7" x14ac:dyDescent="0.2">
      <c r="A53" s="705" t="s">
        <v>456</v>
      </c>
      <c r="B53" s="705" t="s">
        <v>1458</v>
      </c>
      <c r="C53" s="724">
        <f>'Expenditures 15-22'!B102</f>
        <v>4000</v>
      </c>
      <c r="D53" s="723" t="str">
        <f>'Expenditures 15-22'!A102</f>
        <v>Total Payments to Other Govt Units</v>
      </c>
      <c r="E53" s="704"/>
      <c r="F53" s="1782">
        <f>'Expenditures 15-22'!K102</f>
        <v>207310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10250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15468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243376</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485736</v>
      </c>
      <c r="G77" s="701"/>
    </row>
    <row r="78" spans="1:9" s="728" customFormat="1" ht="12" customHeight="1" thickTop="1" thickBot="1" x14ac:dyDescent="0.25">
      <c r="A78" s="1450"/>
      <c r="B78" s="1448"/>
      <c r="C78" s="1445"/>
      <c r="D78" s="1449" t="s">
        <v>2012</v>
      </c>
      <c r="E78" s="1447"/>
      <c r="F78" s="1788">
        <f>(F14-F77)</f>
        <v>5544096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297.60000000000002</v>
      </c>
      <c r="G79" s="733"/>
      <c r="H79" s="705"/>
      <c r="I79" s="705"/>
    </row>
    <row r="80" spans="1:9" s="728" customFormat="1" ht="12" customHeight="1" thickBot="1" x14ac:dyDescent="0.25">
      <c r="A80" s="1452"/>
      <c r="B80" s="1448"/>
      <c r="C80" s="1445"/>
      <c r="D80" s="1449" t="s">
        <v>2013</v>
      </c>
      <c r="E80" s="1447" t="s">
        <v>952</v>
      </c>
      <c r="F80" s="1790">
        <f>IF(F79&gt;0,F78/F79," Complete Line 79")</f>
        <v>18629.354838709674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53670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170731</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218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71410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2572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39060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9578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83864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8031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6657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9971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138134</v>
      </c>
      <c r="G172" s="760"/>
    </row>
    <row r="173" spans="1:7" x14ac:dyDescent="0.2">
      <c r="A173" s="1529" t="s">
        <v>659</v>
      </c>
      <c r="B173" s="1530" t="s">
        <v>1885</v>
      </c>
      <c r="C173" s="1531">
        <v>3300</v>
      </c>
      <c r="D173" s="1532" t="s">
        <v>1888</v>
      </c>
      <c r="E173" s="739"/>
      <c r="F173" s="1794">
        <v>5793</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600439</v>
      </c>
    </row>
    <row r="176" spans="1:7" ht="12" customHeight="1" x14ac:dyDescent="0.2">
      <c r="A176" s="1443"/>
      <c r="B176" s="1453"/>
      <c r="C176" s="1454"/>
      <c r="D176" s="1455" t="s">
        <v>2014</v>
      </c>
      <c r="E176" s="1456"/>
      <c r="F176" s="1793">
        <f>'PCTC-OEPP 27-28'!F78-F175</f>
        <v>4943657</v>
      </c>
    </row>
    <row r="177" spans="1:9" ht="12" customHeight="1" x14ac:dyDescent="0.2">
      <c r="A177" s="1443"/>
      <c r="B177" s="1453"/>
      <c r="C177" s="1454"/>
      <c r="D177" s="1455" t="s">
        <v>1794</v>
      </c>
      <c r="E177" s="1456"/>
      <c r="F177" s="1793">
        <f>'Cap Outlay Deprec 26'!I18</f>
        <v>445859</v>
      </c>
    </row>
    <row r="178" spans="1:9" ht="12" customHeight="1" x14ac:dyDescent="0.2">
      <c r="A178" s="1443"/>
      <c r="B178" s="1453"/>
      <c r="C178" s="1454"/>
      <c r="D178" s="1455" t="s">
        <v>2015</v>
      </c>
      <c r="E178" s="1456"/>
      <c r="F178" s="1793">
        <f>F176+F177</f>
        <v>5389516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297.60000000000002</v>
      </c>
      <c r="G179" s="763"/>
      <c r="I179" s="701"/>
    </row>
    <row r="180" spans="1:9" ht="12" customHeight="1" thickBot="1" x14ac:dyDescent="0.25">
      <c r="A180" s="1443"/>
      <c r="B180" s="1457"/>
      <c r="C180" s="1454"/>
      <c r="D180" s="1455" t="s">
        <v>2017</v>
      </c>
      <c r="E180" s="1456" t="s">
        <v>1528</v>
      </c>
      <c r="F180" s="1798">
        <f>F178/F179</f>
        <v>18109.932795698922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22" sqref="C22"/>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2077</v>
      </c>
      <c r="B18" s="1908">
        <v>102300300</v>
      </c>
      <c r="C18" s="2035" t="s">
        <v>2073</v>
      </c>
      <c r="D18" s="1886">
        <v>16475</v>
      </c>
      <c r="E18" s="1906">
        <f t="shared" ref="E18:E81" si="0">IF(D18&lt;25000,D18,"25,000")</f>
        <v>16475</v>
      </c>
      <c r="F18" s="1906" t="str">
        <f t="shared" ref="F18:F81" si="1">IF(D18&gt;=25000,(D18-E18),"0")</f>
        <v>0</v>
      </c>
      <c r="G18" s="1887"/>
    </row>
    <row r="19" spans="1:7" x14ac:dyDescent="0.25">
      <c r="A19" s="2036" t="s">
        <v>2078</v>
      </c>
      <c r="B19" s="1908">
        <v>202540300</v>
      </c>
      <c r="C19" s="2035" t="s">
        <v>2074</v>
      </c>
      <c r="D19" s="1886">
        <v>30087</v>
      </c>
      <c r="E19" s="1906" t="str">
        <f t="shared" si="0"/>
        <v>25,000</v>
      </c>
      <c r="F19" s="1906">
        <f t="shared" si="1"/>
        <v>5087</v>
      </c>
    </row>
    <row r="20" spans="1:7" x14ac:dyDescent="0.25">
      <c r="A20" s="2036" t="s">
        <v>2078</v>
      </c>
      <c r="B20" s="1908">
        <v>202540400</v>
      </c>
      <c r="C20" s="2035" t="s">
        <v>2076</v>
      </c>
      <c r="D20" s="1886">
        <v>29105</v>
      </c>
      <c r="E20" s="1906" t="str">
        <f t="shared" si="0"/>
        <v>25,000</v>
      </c>
      <c r="F20" s="1906">
        <f t="shared" si="1"/>
        <v>4105</v>
      </c>
    </row>
    <row r="21" spans="1:7" x14ac:dyDescent="0.25">
      <c r="A21" s="2036" t="s">
        <v>2078</v>
      </c>
      <c r="B21" s="1908">
        <v>202540400</v>
      </c>
      <c r="C21" s="2035" t="s">
        <v>2076</v>
      </c>
      <c r="D21" s="1886">
        <v>3867</v>
      </c>
      <c r="E21" s="1906">
        <f t="shared" si="0"/>
        <v>3867</v>
      </c>
      <c r="F21" s="1906" t="str">
        <f t="shared" si="1"/>
        <v>0</v>
      </c>
    </row>
    <row r="22" spans="1:7" x14ac:dyDescent="0.25">
      <c r="A22" s="2036" t="s">
        <v>2077</v>
      </c>
      <c r="B22" s="1908">
        <v>102660300</v>
      </c>
      <c r="C22" s="2035" t="s">
        <v>2075</v>
      </c>
      <c r="D22" s="1886">
        <v>43075</v>
      </c>
      <c r="E22" s="1906" t="str">
        <f t="shared" si="0"/>
        <v>25,000</v>
      </c>
      <c r="F22" s="1906">
        <f t="shared" si="1"/>
        <v>18075</v>
      </c>
    </row>
    <row r="23" spans="1:7" x14ac:dyDescent="0.25">
      <c r="A23" s="1888"/>
      <c r="B23" s="1908"/>
      <c r="C23" s="203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122609</v>
      </c>
      <c r="E142" s="1893">
        <f>SUM(E18:E141)</f>
        <v>20342</v>
      </c>
      <c r="F142" s="1894">
        <f>SUM(F18:F141)</f>
        <v>27267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xWindow="451" yWindow="392"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2712135</v>
      </c>
      <c r="F19" s="1802"/>
      <c r="G19" s="1804">
        <f>'Expenditures 15-22'!K33-SUM('Expenditures 15-22'!G33,'Expenditures 15-22'!I33)+'Expenditures 15-22'!D229</f>
        <v>2712135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209982</v>
      </c>
      <c r="F21" s="1805"/>
      <c r="G21" s="1808">
        <f>'Expenditures 15-22'!K42-SUM('Expenditures 15-22'!G42,'Expenditures 15-22'!I42)+'Expenditures 15-22'!K120-SUM('Expenditures 15-22'!G120,'Expenditures 15-22'!I120)+'Expenditures 15-22'!K180-SUM('Expenditures 15-22'!G180,'Expenditures 15-22'!I180)+'Expenditures 15-22'!D238</f>
        <v>209982</v>
      </c>
      <c r="H21" s="817"/>
      <c r="I21" s="157"/>
    </row>
    <row r="22" spans="1:9" s="542" customFormat="1" ht="12" customHeight="1" x14ac:dyDescent="0.2">
      <c r="A22" s="824" t="s">
        <v>560</v>
      </c>
      <c r="B22" s="825"/>
      <c r="C22" s="823">
        <v>2200</v>
      </c>
      <c r="D22" s="1805"/>
      <c r="E22" s="1807">
        <f>'Expenditures 15-22'!K47-SUM('Expenditures 15-22'!G47,'Expenditures 15-22'!I47)+'Expenditures 15-22'!D243</f>
        <v>83728</v>
      </c>
      <c r="F22" s="1805"/>
      <c r="G22" s="1808">
        <f>'Expenditures 15-22'!K47-SUM('Expenditures 15-22'!G47,'Expenditures 15-22'!I47)+'Expenditures 15-22'!D243</f>
        <v>83728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473798</v>
      </c>
      <c r="F23" s="1805"/>
      <c r="G23" s="1807">
        <f>'Expenditures 15-22'!K53-SUM('Expenditures 15-22'!G53,'Expenditures 15-22'!I53)+'Expenditures 15-22'!D257+'Expenditures 15-22'!K330-SUM('Expenditures 15-22'!G330,'Expenditures 15-22'!I330)</f>
        <v>473798</v>
      </c>
      <c r="H23" s="817"/>
      <c r="I23" s="157"/>
    </row>
    <row r="24" spans="1:9" s="542" customFormat="1" ht="12" customHeight="1" x14ac:dyDescent="0.2">
      <c r="A24" s="824" t="s">
        <v>562</v>
      </c>
      <c r="B24" s="825"/>
      <c r="C24" s="823">
        <v>2400</v>
      </c>
      <c r="D24" s="1805"/>
      <c r="E24" s="1807">
        <f>'Expenditures 15-22'!K57-SUM('Expenditures 15-22'!G57,'Expenditures 15-22'!I57)+'Expenditures 15-22'!D261</f>
        <v>240624</v>
      </c>
      <c r="F24" s="1805"/>
      <c r="G24" s="1808">
        <f>'Expenditures 15-22'!K57-SUM('Expenditures 15-22'!G57,'Expenditures 15-22'!I57)+'Expenditures 15-22'!D261</f>
        <v>240624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46984</v>
      </c>
      <c r="E26" s="1807">
        <f>'Expenditures 15-22'!K122-SUM('Expenditures 15-22'!G122,'Expenditures 15-22'!I122)+E7</f>
        <v>0</v>
      </c>
      <c r="F26" s="1807">
        <f>'Expenditures 15-22'!K59-SUM('Expenditures 15-22'!G59,'Expenditures 15-22'!I59)+'Expenditures 15-22'!D263-E7</f>
        <v>46984</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143733</v>
      </c>
      <c r="E27" s="1807">
        <f>E8</f>
        <v>0</v>
      </c>
      <c r="F27" s="1807">
        <f>'Expenditures 15-22'!K60-SUM('Expenditures 15-22'!G60,'Expenditures 15-22'!I60)+'Expenditures 15-22'!D264-E8</f>
        <v>143733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559922</v>
      </c>
      <c r="F28" s="1809">
        <f>'Expenditures 15-22'!K61-SUM('Expenditures 15-22'!G61,'Expenditures 15-22'!I61)+'Expenditures 15-22'!K124-SUM('Expenditures 15-22'!G124,'Expenditures 15-22'!I124)+'Expenditures 15-22'!D266-E9</f>
        <v>559922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85136</v>
      </c>
      <c r="F29" s="1805"/>
      <c r="G29" s="1808">
        <f>'Expenditures 15-22'!K62-SUM('Expenditures 15-22'!G62,'Expenditures 15-22'!I62)+'Expenditures 15-22'!K125-SUM('Expenditures 15-22'!G125,'Expenditures 15-22'!I125)+'Expenditures 15-22'!K182-SUM('Expenditures 15-22'!G182,'Expenditures 15-22'!I182)+'Expenditures 15-22'!D267</f>
        <v>85136</v>
      </c>
      <c r="H29" s="815"/>
    </row>
    <row r="30" spans="1:9" ht="12" customHeight="1" x14ac:dyDescent="0.2">
      <c r="A30" s="824" t="s">
        <v>100</v>
      </c>
      <c r="B30" s="827"/>
      <c r="C30" s="823">
        <v>2560</v>
      </c>
      <c r="D30" s="1805"/>
      <c r="E30" s="1807">
        <f>'Expenditures 15-22'!K63-SUM('Expenditures 15-22'!G63,'Expenditures 15-22'!I63)+'Expenditures 15-22'!D268-E10</f>
        <v>15482</v>
      </c>
      <c r="F30" s="1805"/>
      <c r="G30" s="1807">
        <f>'Expenditures 15-22'!K63-SUM('Expenditures 15-22'!G63,'Expenditures 15-22'!I63)+'Expenditures 15-22'!D268-E10</f>
        <v>15482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7691</v>
      </c>
      <c r="F35" s="1805"/>
      <c r="G35" s="1807">
        <f>'Expenditures 15-22'!K69-SUM('Expenditures 15-22'!G69,'Expenditures 15-22'!I69)+'Expenditures 15-22'!D274</f>
        <v>7691</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170604</v>
      </c>
      <c r="E37" s="1807">
        <f>E14</f>
        <v>0</v>
      </c>
      <c r="F37" s="1807">
        <f>'Expenditures 15-22'!K71-SUM('Expenditures 15-22'!G71,'Expenditures 15-22'!I71)+'Expenditures 15-22'!D276-E14</f>
        <v>170604</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9332</v>
      </c>
      <c r="F39" s="1805"/>
      <c r="G39" s="1807">
        <f>'Expenditures 15-22'!K75-SUM('Expenditures 15-22'!G75,'Expenditures 15-22'!I75)+'Expenditures 15-22'!K130-SUM('Expenditures 15-22'!G130,'Expenditures 15-22'!I130)+'Expenditures 15-22'!K185-SUM('Expenditures 15-22'!G185,'Expenditures 15-22'!I185)+'Expenditures 15-22'!D280</f>
        <v>9332</v>
      </c>
    </row>
    <row r="40" spans="1:7" ht="12" customHeight="1" x14ac:dyDescent="0.2">
      <c r="A40" s="820" t="s">
        <v>1798</v>
      </c>
      <c r="B40" s="821"/>
      <c r="C40" s="823"/>
      <c r="D40" s="1805"/>
      <c r="E40" s="1809">
        <f>-'Contracts Paid in CY 29'!F142</f>
        <v>-27267</v>
      </c>
      <c r="F40" s="1805"/>
      <c r="G40" s="1809">
        <f>-'Contracts Paid in CY 29'!F142</f>
        <v>-27267</v>
      </c>
    </row>
    <row r="41" spans="1:7" ht="12" customHeight="1" x14ac:dyDescent="0.2">
      <c r="A41" s="828" t="s">
        <v>155</v>
      </c>
      <c r="B41" s="829"/>
      <c r="C41" s="830"/>
      <c r="D41" s="1809">
        <f>SUM(D19:D39)</f>
        <v>361321</v>
      </c>
      <c r="E41" s="1809">
        <f>SUM(E19:E40)</f>
        <v>4370563</v>
      </c>
      <c r="F41" s="1809">
        <f>SUM(F19:F39)</f>
        <v>921243</v>
      </c>
      <c r="G41" s="1809">
        <f>SUM(G19:G40)</f>
        <v>3810641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361321</v>
      </c>
      <c r="F43" s="1458" t="s">
        <v>470</v>
      </c>
      <c r="G43" s="1810">
        <f>F41</f>
        <v>921243</v>
      </c>
    </row>
    <row r="44" spans="1:7" ht="12" customHeight="1" x14ac:dyDescent="0.2">
      <c r="A44" s="817"/>
      <c r="B44" s="157"/>
      <c r="C44" s="831"/>
      <c r="D44" s="1458" t="s">
        <v>471</v>
      </c>
      <c r="E44" s="1810">
        <f>E41</f>
        <v>4370563</v>
      </c>
      <c r="F44" s="1458" t="s">
        <v>471</v>
      </c>
      <c r="G44" s="1810">
        <f>G41</f>
        <v>3810641</v>
      </c>
    </row>
    <row r="45" spans="1:7" ht="12" customHeight="1" x14ac:dyDescent="0.2">
      <c r="A45" s="817"/>
      <c r="B45" s="157"/>
      <c r="C45" s="157"/>
      <c r="D45" s="1459" t="s">
        <v>999</v>
      </c>
      <c r="E45" s="1811">
        <f>(E43/E44)</f>
        <v>8.2671500216333682E-2</v>
      </c>
      <c r="F45" s="1459" t="s">
        <v>999</v>
      </c>
      <c r="G45" s="1811">
        <f>(G43/G44)</f>
        <v>0.24175538971002516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4" zoomScale="110" zoomScaleNormal="110" workbookViewId="0">
      <selection activeCell="B30" sqref="B3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Winfield SD 34</v>
      </c>
      <c r="D6" s="2404"/>
      <c r="E6" s="2404"/>
      <c r="F6" s="1482"/>
      <c r="G6" s="1507"/>
      <c r="L6" s="1507"/>
      <c r="M6" s="1855"/>
      <c r="N6" s="1855"/>
      <c r="O6" s="1855"/>
    </row>
    <row r="7" spans="1:15" ht="11.25" customHeight="1" thickBot="1" x14ac:dyDescent="0.3">
      <c r="A7" s="1480"/>
      <c r="B7" s="1481"/>
      <c r="C7" s="2405">
        <f>COVER!A13</f>
        <v>19022034002</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2071</v>
      </c>
      <c r="D26" s="1495" t="s">
        <v>2071</v>
      </c>
      <c r="E26" s="1498" t="s">
        <v>2071</v>
      </c>
      <c r="F26" s="1497" t="s">
        <v>2072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2071</v>
      </c>
      <c r="D30" s="1495" t="s">
        <v>2071</v>
      </c>
      <c r="E30" s="1498" t="s">
        <v>2071</v>
      </c>
      <c r="F30" s="1497"/>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6" sqref="I16"/>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Winfield SD 34</v>
      </c>
      <c r="K6" s="2420"/>
      <c r="L6" s="2421"/>
      <c r="M6" s="838"/>
      <c r="N6" s="1998"/>
    </row>
    <row r="7" spans="1:14" x14ac:dyDescent="0.2">
      <c r="A7" s="2422" t="s">
        <v>864</v>
      </c>
      <c r="B7" s="2423"/>
      <c r="C7" s="2423"/>
      <c r="D7" s="2423"/>
      <c r="E7" s="2424"/>
      <c r="F7" s="839"/>
      <c r="G7" s="838"/>
      <c r="H7" s="838"/>
      <c r="I7" s="1924" t="s">
        <v>369</v>
      </c>
      <c r="J7" s="2425">
        <f>COVER!A13</f>
        <v>19022034002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284241</v>
      </c>
      <c r="F12" s="1942"/>
      <c r="G12" s="1968">
        <f>G68</f>
        <v>0</v>
      </c>
      <c r="H12" s="1944">
        <f t="shared" ref="H12:H18" si="0">SUM(E12:G12)</f>
        <v>284241</v>
      </c>
      <c r="I12" s="1943">
        <v>306100</v>
      </c>
      <c r="J12" s="1942"/>
      <c r="K12" s="1943"/>
      <c r="L12" s="1944">
        <f t="shared" ref="L12:L18" si="1">SUM(I12:K12)</f>
        <v>306100</v>
      </c>
      <c r="M12" s="838"/>
      <c r="N12" s="1998"/>
    </row>
    <row r="13" spans="1:14" x14ac:dyDescent="0.2">
      <c r="A13" s="2003">
        <v>2</v>
      </c>
      <c r="B13" s="1940" t="s">
        <v>42</v>
      </c>
      <c r="C13" s="842"/>
      <c r="D13" s="1941">
        <v>2330</v>
      </c>
      <c r="E13" s="1944">
        <f>'Expenditures 15-22'!K51</f>
        <v>67616</v>
      </c>
      <c r="F13" s="1942"/>
      <c r="G13" s="1968">
        <f>H68</f>
        <v>0</v>
      </c>
      <c r="H13" s="1944">
        <f t="shared" si="0"/>
        <v>67616</v>
      </c>
      <c r="I13" s="1943">
        <v>70500</v>
      </c>
      <c r="J13" s="1942"/>
      <c r="K13" s="1943"/>
      <c r="L13" s="1944">
        <f t="shared" si="1"/>
        <v>70500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44000</v>
      </c>
      <c r="F15" s="1944">
        <f>'Expenditures 15-22'!K122</f>
        <v>0</v>
      </c>
      <c r="G15" s="1968">
        <f>J68</f>
        <v>0</v>
      </c>
      <c r="H15" s="1944">
        <f t="shared" si="0"/>
        <v>44000</v>
      </c>
      <c r="I15" s="1943">
        <v>41000</v>
      </c>
      <c r="J15" s="1943"/>
      <c r="K15" s="1943"/>
      <c r="L15" s="1944">
        <f t="shared" si="1"/>
        <v>41000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395857</v>
      </c>
      <c r="F19" s="1950">
        <f t="shared" si="2"/>
        <v>0</v>
      </c>
      <c r="G19" s="1950">
        <f t="shared" ref="G19" si="3">SUM(G12:G17)-G18</f>
        <v>0</v>
      </c>
      <c r="H19" s="1950">
        <f t="shared" si="2"/>
        <v>395857</v>
      </c>
      <c r="I19" s="1950">
        <f t="shared" si="2"/>
        <v>417600</v>
      </c>
      <c r="J19" s="1950">
        <f t="shared" si="2"/>
        <v>0</v>
      </c>
      <c r="K19" s="1950">
        <f t="shared" si="2"/>
        <v>0</v>
      </c>
      <c r="L19" s="1950">
        <f t="shared" si="2"/>
        <v>417600</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5.492640018996759E-2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Winfield SD 34</v>
      </c>
      <c r="M52" s="2420"/>
      <c r="N52" s="2450"/>
    </row>
    <row r="53" spans="1:14" x14ac:dyDescent="0.2">
      <c r="A53" s="1982"/>
      <c r="B53" s="1983"/>
      <c r="C53" s="1983"/>
      <c r="D53" s="1983"/>
      <c r="E53" s="1983"/>
      <c r="F53" s="1983"/>
      <c r="G53" s="1983"/>
      <c r="H53" s="1983"/>
      <c r="I53" s="1983"/>
      <c r="J53" s="1983"/>
      <c r="K53" s="1924" t="s">
        <v>369</v>
      </c>
      <c r="L53" s="2425">
        <f>J7</f>
        <v>19022034002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Winfield SD 34</v>
      </c>
    </row>
    <row r="65" spans="2:2" x14ac:dyDescent="0.2">
      <c r="B65" s="849">
        <f>COVER!A13</f>
        <v>19022034002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6" sqref="H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552450</xdr:colOff>
                <xdr:row>6</xdr:row>
                <xdr:rowOff>85725</xdr:rowOff>
              </from>
              <to>
                <xdr:col>5</xdr:col>
                <xdr:colOff>247650</xdr:colOff>
                <xdr:row>10</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7</xdr:col>
                <xdr:colOff>0</xdr:colOff>
                <xdr:row>8</xdr:row>
                <xdr:rowOff>0</xdr:rowOff>
              </from>
              <to>
                <xdr:col>8</xdr:col>
                <xdr:colOff>304800</xdr:colOff>
                <xdr:row>12</xdr:row>
                <xdr:rowOff>38100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4697523</v>
      </c>
      <c r="C8" s="1813">
        <f>'Acct Summary 7-8'!D8</f>
        <v>579097</v>
      </c>
      <c r="D8" s="1813">
        <f>'Acct Summary 7-8'!F8</f>
        <v>181171</v>
      </c>
      <c r="E8" s="1813">
        <f>'Acct Summary 7-8'!I8</f>
        <v>13820</v>
      </c>
      <c r="F8" s="1813">
        <f>SUM(B8:E8)</f>
        <v>5471611</v>
      </c>
    </row>
    <row r="9" spans="1:8" s="858" customFormat="1" ht="14.25" customHeight="1" thickBot="1" x14ac:dyDescent="0.25">
      <c r="A9" s="857" t="s">
        <v>1353</v>
      </c>
      <c r="B9" s="1814">
        <f>'Acct Summary 7-8'!C17</f>
        <v>4258241</v>
      </c>
      <c r="C9" s="1814">
        <f>'Acct Summary 7-8'!D17</f>
        <v>522441</v>
      </c>
      <c r="D9" s="1814">
        <f>'Acct Summary 7-8'!F17</f>
        <v>61331</v>
      </c>
      <c r="E9" s="1813"/>
      <c r="F9" s="1813">
        <f>SUM(B9:E9)</f>
        <v>4842013</v>
      </c>
    </row>
    <row r="10" spans="1:8" s="858" customFormat="1" ht="14.25" thickTop="1" thickBot="1" x14ac:dyDescent="0.25">
      <c r="A10" s="859" t="s">
        <v>1354</v>
      </c>
      <c r="B10" s="1815">
        <f>(B8-B9)</f>
        <v>439282</v>
      </c>
      <c r="C10" s="1815">
        <f>(C8-C9)</f>
        <v>56656</v>
      </c>
      <c r="D10" s="1815">
        <f>(D8-D9)</f>
        <v>119840</v>
      </c>
      <c r="E10" s="1814">
        <f>(E8-E9)</f>
        <v>13820</v>
      </c>
      <c r="F10" s="1816">
        <f>SUM(F8-F9)</f>
        <v>629598</v>
      </c>
    </row>
    <row r="11" spans="1:8" s="858" customFormat="1" ht="14.25" thickTop="1" thickBot="1" x14ac:dyDescent="0.25">
      <c r="A11" s="860" t="s">
        <v>1903</v>
      </c>
      <c r="B11" s="1817">
        <f>'Acct Summary 7-8'!C81</f>
        <v>3512331</v>
      </c>
      <c r="C11" s="1817">
        <f>'Acct Summary 7-8'!D81</f>
        <v>571789</v>
      </c>
      <c r="D11" s="1817">
        <f>'Acct Summary 7-8'!F81</f>
        <v>120430</v>
      </c>
      <c r="E11" s="1817">
        <f>'Acct Summary 7-8'!I81</f>
        <v>467184</v>
      </c>
      <c r="F11" s="1818">
        <f>SUM(B11:E11)</f>
        <v>4671734</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C54" sqref="C5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19022034002</v>
      </c>
      <c r="E2" s="1542">
        <v>2020</v>
      </c>
      <c r="F2" s="1542">
        <v>1</v>
      </c>
      <c r="G2" s="1899">
        <v>101000300</v>
      </c>
    </row>
    <row r="3" spans="1:7" ht="15" x14ac:dyDescent="0.25">
      <c r="A3" t="s">
        <v>950</v>
      </c>
      <c r="B3" s="135" t="str">
        <f>COVER!A15</f>
        <v>DuPage</v>
      </c>
      <c r="E3" s="1830" t="s">
        <v>1971</v>
      </c>
      <c r="F3" s="1830" t="s">
        <v>1970</v>
      </c>
      <c r="G3" s="1899">
        <v>101000400</v>
      </c>
    </row>
    <row r="4" spans="1:7" ht="15" x14ac:dyDescent="0.25">
      <c r="A4" t="s">
        <v>1000</v>
      </c>
      <c r="B4" s="135" t="str">
        <f>COVER!A17</f>
        <v xml:space="preserve">  Winfield SD 34</v>
      </c>
      <c r="E4" s="1828">
        <v>44119</v>
      </c>
      <c r="F4" s="1829">
        <v>44151</v>
      </c>
      <c r="G4" s="1899">
        <v>101000600</v>
      </c>
    </row>
    <row r="5" spans="1:7" ht="15" x14ac:dyDescent="0.25">
      <c r="A5" t="s">
        <v>699</v>
      </c>
      <c r="B5" s="135" t="str">
        <f>COVER!A38</f>
        <v>Dr. Matt Rich</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066-005340</v>
      </c>
      <c r="G15" s="1899">
        <v>402100400</v>
      </c>
    </row>
    <row r="16" spans="1:7" ht="15" x14ac:dyDescent="0.25">
      <c r="A16" t="s">
        <v>419</v>
      </c>
      <c r="B16" s="135" t="str">
        <f>COVER!T13</f>
        <v>Evans, Marshall and Pease, PC</v>
      </c>
      <c r="G16" s="1899">
        <v>402100600</v>
      </c>
    </row>
    <row r="17" spans="1:7" ht="15" x14ac:dyDescent="0.25">
      <c r="A17" t="s">
        <v>878</v>
      </c>
      <c r="B17" s="135" t="str">
        <f>COVER!T15</f>
        <v>Jeffery M. Rollefson, CPA</v>
      </c>
      <c r="G17" s="1899">
        <v>402100800</v>
      </c>
    </row>
    <row r="18" spans="1:7" ht="15" x14ac:dyDescent="0.25">
      <c r="A18" t="s">
        <v>1140</v>
      </c>
      <c r="B18" s="135" t="str">
        <f>COVER!T17</f>
        <v>1875 Hicks Road</v>
      </c>
      <c r="G18" s="1899">
        <v>102200300</v>
      </c>
    </row>
    <row r="19" spans="1:7" ht="15" x14ac:dyDescent="0.25">
      <c r="A19" t="s">
        <v>880</v>
      </c>
      <c r="B19" s="135" t="str">
        <f>COVER!T25</f>
        <v>jeff@empcpa.com</v>
      </c>
      <c r="G19" s="1899">
        <v>102200400</v>
      </c>
    </row>
    <row r="20" spans="1:7" ht="15" x14ac:dyDescent="0.25">
      <c r="A20" t="s">
        <v>881</v>
      </c>
      <c r="B20" s="135" t="str">
        <f>COVER!T19</f>
        <v>Rolling Meadows</v>
      </c>
      <c r="G20" s="1899">
        <v>102200600</v>
      </c>
    </row>
    <row r="21" spans="1:7" ht="15" x14ac:dyDescent="0.25">
      <c r="A21" t="s">
        <v>476</v>
      </c>
      <c r="B21" s="135" t="str">
        <f>COVER!X19</f>
        <v>Illinois</v>
      </c>
      <c r="G21" s="1899">
        <v>102200800</v>
      </c>
    </row>
    <row r="22" spans="1:7" ht="15" x14ac:dyDescent="0.25">
      <c r="A22" t="s">
        <v>882</v>
      </c>
      <c r="B22" s="135">
        <f>COVER!Z19</f>
        <v>60008</v>
      </c>
      <c r="G22" s="1899">
        <v>102300300</v>
      </c>
    </row>
    <row r="23" spans="1:7" ht="15" x14ac:dyDescent="0.25">
      <c r="A23" t="s">
        <v>1142</v>
      </c>
      <c r="B23" s="135" t="str">
        <f>COVER!T21</f>
        <v>847-221-5700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33512</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3512331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3512331</v>
      </c>
      <c r="D92" s="2" t="str">
        <f t="shared" si="0"/>
        <v>Error?</v>
      </c>
      <c r="G92" s="1899">
        <v>102640600</v>
      </c>
    </row>
    <row r="93" spans="1:7" ht="15" x14ac:dyDescent="0.25">
      <c r="A93" s="5">
        <v>32</v>
      </c>
      <c r="B93" s="1832">
        <f>'Assets-Liab 5-6'!C41</f>
        <v>3512331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571789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571789</v>
      </c>
      <c r="D123" s="2" t="str">
        <f t="shared" si="0"/>
        <v>Error?</v>
      </c>
      <c r="G123" s="1899">
        <v>203000400</v>
      </c>
    </row>
    <row r="124" spans="1:7" ht="15" x14ac:dyDescent="0.25">
      <c r="A124" s="5">
        <v>63</v>
      </c>
      <c r="B124" s="1832">
        <f>'Assets-Liab 5-6'!D41</f>
        <v>571789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710743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710743</v>
      </c>
      <c r="D140" s="2" t="str">
        <f t="shared" si="1"/>
        <v>Error?</v>
      </c>
    </row>
    <row r="141" spans="1:7" x14ac:dyDescent="0.2">
      <c r="A141" s="5">
        <v>80</v>
      </c>
      <c r="B141" s="1832">
        <f>'Assets-Liab 5-6'!E41</f>
        <v>710743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120430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120430</v>
      </c>
      <c r="D170" s="2" t="str">
        <f t="shared" si="1"/>
        <v>Error?</v>
      </c>
    </row>
    <row r="171" spans="1:4" x14ac:dyDescent="0.2">
      <c r="A171" s="5">
        <v>110</v>
      </c>
      <c r="B171" s="1832">
        <f>'Assets-Liab 5-6'!F41</f>
        <v>120430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443513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443513</v>
      </c>
      <c r="D189" s="2" t="str">
        <f t="shared" si="1"/>
        <v>Error?</v>
      </c>
    </row>
    <row r="190" spans="1:4" x14ac:dyDescent="0.2">
      <c r="A190" s="5">
        <v>129</v>
      </c>
      <c r="B190" s="1832">
        <f>'Assets-Liab 5-6'!G41</f>
        <v>443513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167464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167464</v>
      </c>
      <c r="D212" s="2" t="str">
        <f t="shared" si="2"/>
        <v>Error?</v>
      </c>
    </row>
    <row r="213" spans="1:4" x14ac:dyDescent="0.2">
      <c r="A213" s="12">
        <v>152</v>
      </c>
      <c r="B213" s="1832">
        <f>'Assets-Liab 5-6'!H41</f>
        <v>167464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591553</v>
      </c>
      <c r="D273" s="2" t="str">
        <f t="shared" si="3"/>
        <v>Error?</v>
      </c>
    </row>
    <row r="274" spans="1:4" x14ac:dyDescent="0.2">
      <c r="A274" s="5">
        <v>213</v>
      </c>
      <c r="B274" s="1832">
        <f>'Assets-Liab 5-6'!M17</f>
        <v>16302171</v>
      </c>
      <c r="D274" s="2" t="str">
        <f t="shared" si="3"/>
        <v>Error?</v>
      </c>
    </row>
    <row r="275" spans="1:4" x14ac:dyDescent="0.2">
      <c r="A275" s="5">
        <v>214</v>
      </c>
      <c r="B275" s="1832">
        <f>'Assets-Liab 5-6'!M18</f>
        <v>880676</v>
      </c>
      <c r="D275" s="2" t="str">
        <f t="shared" si="3"/>
        <v>Error?</v>
      </c>
    </row>
    <row r="276" spans="1:4" x14ac:dyDescent="0.2">
      <c r="A276" s="5">
        <v>215</v>
      </c>
      <c r="B276" s="1832">
        <f>'Assets-Liab 5-6'!M19</f>
        <v>449947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18224347</v>
      </c>
      <c r="C279" s="2" t="s">
        <v>569</v>
      </c>
      <c r="D279" s="2" t="str">
        <f t="shared" si="3"/>
        <v>Error?</v>
      </c>
    </row>
    <row r="280" spans="1:4" x14ac:dyDescent="0.2">
      <c r="A280" s="5">
        <v>219</v>
      </c>
      <c r="B280" s="1832">
        <f>'Assets-Liab 5-6'!M40</f>
        <v>18224347</v>
      </c>
      <c r="D280" s="2" t="str">
        <f t="shared" si="3"/>
        <v>Error?</v>
      </c>
    </row>
    <row r="281" spans="1:4" x14ac:dyDescent="0.2">
      <c r="A281" s="5">
        <v>220</v>
      </c>
      <c r="B281" s="1832">
        <f>'Assets-Liab 5-6'!M41</f>
        <v>18224347</v>
      </c>
      <c r="C281" s="2" t="s">
        <v>569</v>
      </c>
      <c r="D281" s="2" t="str">
        <f t="shared" si="3"/>
        <v>Error?</v>
      </c>
    </row>
    <row r="282" spans="1:4" x14ac:dyDescent="0.2">
      <c r="A282" s="5">
        <v>221</v>
      </c>
      <c r="B282" s="1832">
        <f>'Assets-Liab 5-6'!N21</f>
        <v>710743</v>
      </c>
      <c r="D282" s="2" t="str">
        <f t="shared" si="3"/>
        <v>Error?</v>
      </c>
    </row>
    <row r="283" spans="1:4" x14ac:dyDescent="0.2">
      <c r="A283" s="5">
        <v>222</v>
      </c>
      <c r="B283" s="1832">
        <f>'Assets-Liab 5-6'!N22</f>
        <v>1524398</v>
      </c>
      <c r="D283" s="2" t="str">
        <f t="shared" si="3"/>
        <v>Error?</v>
      </c>
    </row>
    <row r="284" spans="1:4" x14ac:dyDescent="0.2">
      <c r="A284" s="5">
        <v>223</v>
      </c>
      <c r="B284" s="1832">
        <f>'Assets-Liab 5-6'!N23</f>
        <v>2235141</v>
      </c>
      <c r="C284" s="2" t="s">
        <v>569</v>
      </c>
      <c r="D284" s="2" t="str">
        <f t="shared" si="3"/>
        <v>Error?</v>
      </c>
    </row>
    <row r="285" spans="1:4" x14ac:dyDescent="0.2">
      <c r="A285" s="5">
        <v>224</v>
      </c>
      <c r="B285" s="1832">
        <f>'Assets-Liab 5-6'!N36</f>
        <v>2235141</v>
      </c>
      <c r="D285" s="2" t="str">
        <f t="shared" si="3"/>
        <v>Error?</v>
      </c>
    </row>
    <row r="286" spans="1:4" x14ac:dyDescent="0.2">
      <c r="A286" s="10">
        <v>225</v>
      </c>
      <c r="B286" s="1832"/>
      <c r="D286" s="2" t="str">
        <f t="shared" si="3"/>
        <v>OK</v>
      </c>
    </row>
    <row r="287" spans="1:4" x14ac:dyDescent="0.2">
      <c r="A287" s="5">
        <v>226</v>
      </c>
      <c r="B287" s="1832">
        <f>'Assets-Liab 5-6'!N37</f>
        <v>2235141</v>
      </c>
      <c r="C287" s="2" t="s">
        <v>569</v>
      </c>
      <c r="D287" s="2" t="str">
        <f t="shared" si="3"/>
        <v>Error?</v>
      </c>
    </row>
    <row r="288" spans="1:4" x14ac:dyDescent="0.2">
      <c r="A288" s="5">
        <v>227</v>
      </c>
      <c r="B288" s="1832">
        <f>'Assets-Liab 5-6'!N41</f>
        <v>2235141</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1784518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32165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2351354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59512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55161</v>
      </c>
      <c r="D726" s="2" t="str">
        <f t="shared" si="10"/>
        <v>Error?</v>
      </c>
    </row>
    <row r="727" spans="1:4" x14ac:dyDescent="0.2">
      <c r="A727" s="5">
        <v>666</v>
      </c>
      <c r="B727" s="1832">
        <f>'Expenditures 15-22'!C42</f>
        <v>114673</v>
      </c>
      <c r="C727" s="2" t="s">
        <v>569</v>
      </c>
      <c r="D727" s="2" t="str">
        <f t="shared" si="10"/>
        <v>Error?</v>
      </c>
    </row>
    <row r="728" spans="1:4" x14ac:dyDescent="0.2">
      <c r="A728" s="5">
        <v>667</v>
      </c>
      <c r="B728" s="1832">
        <f>'Expenditures 15-22'!C44</f>
        <v>4374</v>
      </c>
      <c r="D728" s="2" t="str">
        <f t="shared" si="10"/>
        <v>Error?</v>
      </c>
    </row>
    <row r="729" spans="1:4" x14ac:dyDescent="0.2">
      <c r="A729" s="5">
        <v>668</v>
      </c>
      <c r="B729" s="1832">
        <f>'Expenditures 15-22'!C45</f>
        <v>30894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35268</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239567</v>
      </c>
      <c r="D733" s="2" t="str">
        <f t="shared" si="10"/>
        <v>Error?</v>
      </c>
    </row>
    <row r="734" spans="1:4" x14ac:dyDescent="0.2">
      <c r="A734" s="5">
        <v>673</v>
      </c>
      <c r="B734" s="1832">
        <f>'Expenditures 15-22'!C53</f>
        <v>306434</v>
      </c>
      <c r="C734" s="2" t="s">
        <v>569</v>
      </c>
      <c r="D734" s="2" t="str">
        <f t="shared" si="10"/>
        <v>Error?</v>
      </c>
    </row>
    <row r="735" spans="1:4" x14ac:dyDescent="0.2">
      <c r="A735" s="5">
        <v>674</v>
      </c>
      <c r="B735" s="1832">
        <f>'Expenditures 15-22'!C55</f>
        <v>194252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194252</v>
      </c>
      <c r="C737" s="2" t="s">
        <v>569</v>
      </c>
      <c r="D737" s="2" t="str">
        <f t="shared" si="10"/>
        <v>Error?</v>
      </c>
    </row>
    <row r="738" spans="1:4" x14ac:dyDescent="0.2">
      <c r="A738" s="5">
        <v>677</v>
      </c>
      <c r="B738" s="1832">
        <f>'Expenditures 15-22'!C59</f>
        <v>39000</v>
      </c>
      <c r="D738" s="2" t="str">
        <f t="shared" si="10"/>
        <v>Error?</v>
      </c>
    </row>
    <row r="739" spans="1:4" x14ac:dyDescent="0.2">
      <c r="A739" s="5">
        <v>678</v>
      </c>
      <c r="B739" s="1832">
        <f>'Expenditures 15-22'!C60</f>
        <v>104409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143409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794036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3145390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153334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2255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222896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8859</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4930</v>
      </c>
      <c r="D784" s="2" t="str">
        <f t="shared" si="11"/>
        <v>Error?</v>
      </c>
    </row>
    <row r="785" spans="1:4" x14ac:dyDescent="0.2">
      <c r="A785" s="5">
        <v>724</v>
      </c>
      <c r="B785" s="1832">
        <f>'Expenditures 15-22'!D42</f>
        <v>13789</v>
      </c>
      <c r="C785" s="2" t="s">
        <v>569</v>
      </c>
      <c r="D785" s="2" t="str">
        <f t="shared" si="11"/>
        <v>Error?</v>
      </c>
    </row>
    <row r="786" spans="1:4" x14ac:dyDescent="0.2">
      <c r="A786" s="5">
        <v>725</v>
      </c>
      <c r="B786" s="1832">
        <f>'Expenditures 15-22'!D44</f>
        <v>291</v>
      </c>
      <c r="D786" s="2" t="str">
        <f t="shared" si="11"/>
        <v>Error?</v>
      </c>
    </row>
    <row r="787" spans="1:4" x14ac:dyDescent="0.2">
      <c r="A787" s="5">
        <v>726</v>
      </c>
      <c r="B787" s="1832">
        <f>'Expenditures 15-22'!D45</f>
        <v>13767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14058</v>
      </c>
      <c r="C789" s="2" t="s">
        <v>569</v>
      </c>
      <c r="D789" s="2" t="str">
        <f t="shared" si="11"/>
        <v>Error?</v>
      </c>
    </row>
    <row r="790" spans="1:4" x14ac:dyDescent="0.2">
      <c r="A790" s="5">
        <v>729</v>
      </c>
      <c r="B790" s="1832">
        <f>'Expenditures 15-22'!D49</f>
        <v>15</v>
      </c>
      <c r="D790" s="2" t="str">
        <f t="shared" si="11"/>
        <v>Error?</v>
      </c>
    </row>
    <row r="791" spans="1:4" x14ac:dyDescent="0.2">
      <c r="A791" s="5">
        <v>730</v>
      </c>
      <c r="B791" s="1832">
        <f>'Expenditures 15-22'!D50</f>
        <v>42069</v>
      </c>
      <c r="D791" s="2" t="str">
        <f t="shared" si="11"/>
        <v>Error?</v>
      </c>
    </row>
    <row r="792" spans="1:4" x14ac:dyDescent="0.2">
      <c r="A792" s="5">
        <v>731</v>
      </c>
      <c r="B792" s="1832">
        <f>'Expenditures 15-22'!D53</f>
        <v>42084</v>
      </c>
      <c r="C792" s="2" t="s">
        <v>569</v>
      </c>
      <c r="D792" s="2" t="str">
        <f t="shared" si="11"/>
        <v>Error?</v>
      </c>
    </row>
    <row r="793" spans="1:4" x14ac:dyDescent="0.2">
      <c r="A793" s="5">
        <v>732</v>
      </c>
      <c r="B793" s="1832">
        <f>'Expenditures 15-22'!D55</f>
        <v>34174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34174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14033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14033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118138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341034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9875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1550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12160</v>
      </c>
      <c r="C836" s="2" t="s">
        <v>569</v>
      </c>
      <c r="D836" s="2" t="str">
        <f t="shared" si="12"/>
        <v>Error?</v>
      </c>
    </row>
    <row r="837" spans="1:4" x14ac:dyDescent="0.2">
      <c r="A837" s="5">
        <v>776</v>
      </c>
      <c r="B837" s="1832">
        <f>'Expenditures 15-22'!E36</f>
        <v>5146</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70661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75807</v>
      </c>
      <c r="C843" s="2" t="s">
        <v>569</v>
      </c>
      <c r="D843" s="2" t="str">
        <f t="shared" si="12"/>
        <v>Error?</v>
      </c>
    </row>
    <row r="844" spans="1:4" x14ac:dyDescent="0.2">
      <c r="A844" s="5">
        <v>783</v>
      </c>
      <c r="B844" s="1832">
        <f>'Expenditures 15-22'!E44</f>
        <v>15660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5063</v>
      </c>
      <c r="D846" s="2" t="str">
        <f t="shared" si="12"/>
        <v>Error?</v>
      </c>
    </row>
    <row r="847" spans="1:4" x14ac:dyDescent="0.2">
      <c r="A847" s="5">
        <v>786</v>
      </c>
      <c r="B847" s="1832">
        <f>'Expenditures 15-22'!E47</f>
        <v>20723</v>
      </c>
      <c r="C847" s="2" t="s">
        <v>569</v>
      </c>
      <c r="D847" s="2" t="str">
        <f t="shared" si="12"/>
        <v>Error?</v>
      </c>
    </row>
    <row r="848" spans="1:4" x14ac:dyDescent="0.2">
      <c r="A848" s="5">
        <v>787</v>
      </c>
      <c r="B848" s="1832">
        <f>'Expenditures 15-22'!E49</f>
        <v>100388</v>
      </c>
      <c r="D848" s="2" t="str">
        <f t="shared" si="12"/>
        <v>Error?</v>
      </c>
    </row>
    <row r="849" spans="1:4" x14ac:dyDescent="0.2">
      <c r="A849" s="5">
        <v>788</v>
      </c>
      <c r="B849" s="1832">
        <f>'Expenditures 15-22'!E50</f>
        <v>804</v>
      </c>
      <c r="D849" s="2" t="str">
        <f t="shared" si="12"/>
        <v>Error?</v>
      </c>
    </row>
    <row r="850" spans="1:4" x14ac:dyDescent="0.2">
      <c r="A850" s="5">
        <v>789</v>
      </c>
      <c r="B850" s="1832">
        <f>'Expenditures 15-22'!E53</f>
        <v>101941</v>
      </c>
      <c r="C850" s="2" t="s">
        <v>569</v>
      </c>
      <c r="D850" s="2" t="str">
        <f t="shared" si="12"/>
        <v>Error?</v>
      </c>
    </row>
    <row r="851" spans="1:4" x14ac:dyDescent="0.2">
      <c r="A851" s="5">
        <v>790</v>
      </c>
      <c r="B851" s="1832">
        <f>'Expenditures 15-22'!E55</f>
        <v>225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225</v>
      </c>
      <c r="C853" s="2" t="s">
        <v>569</v>
      </c>
      <c r="D853" s="2" t="str">
        <f t="shared" si="12"/>
        <v>Error?</v>
      </c>
    </row>
    <row r="854" spans="1:4" x14ac:dyDescent="0.2">
      <c r="A854" s="5">
        <v>793</v>
      </c>
      <c r="B854" s="1832">
        <f>'Expenditures 15-22'!E59</f>
        <v>5000</v>
      </c>
      <c r="D854" s="2" t="str">
        <f t="shared" si="12"/>
        <v>Error?</v>
      </c>
    </row>
    <row r="855" spans="1:4" x14ac:dyDescent="0.2">
      <c r="A855" s="5">
        <v>794</v>
      </c>
      <c r="B855" s="1832">
        <f>'Expenditures 15-22'!E60</f>
        <v>7016</v>
      </c>
      <c r="D855" s="2" t="str">
        <f t="shared" si="12"/>
        <v>Error?</v>
      </c>
    </row>
    <row r="856" spans="1:4" x14ac:dyDescent="0.2">
      <c r="A856" s="5">
        <v>795</v>
      </c>
      <c r="B856" s="1832">
        <f>'Expenditures 15-22'!E61</f>
        <v>8768</v>
      </c>
      <c r="D856" s="2" t="str">
        <f t="shared" si="12"/>
        <v>Error?</v>
      </c>
    </row>
    <row r="857" spans="1:4" x14ac:dyDescent="0.2">
      <c r="A857" s="5">
        <v>796</v>
      </c>
      <c r="B857" s="1832">
        <f>'Expenditures 15-22'!E62</f>
        <v>23805</v>
      </c>
      <c r="D857" s="2" t="str">
        <f t="shared" si="12"/>
        <v>Error?</v>
      </c>
    </row>
    <row r="858" spans="1:4" x14ac:dyDescent="0.2">
      <c r="A858" s="5">
        <v>797</v>
      </c>
      <c r="B858" s="1832">
        <f>'Expenditures 15-22'!E63</f>
        <v>15482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60071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7691</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170604</v>
      </c>
      <c r="D867" s="2" t="str">
        <f t="shared" si="12"/>
        <v>Error?</v>
      </c>
    </row>
    <row r="868" spans="1:4" x14ac:dyDescent="0.2">
      <c r="A868" s="10">
        <v>807</v>
      </c>
      <c r="B868" s="1832"/>
      <c r="D868" s="2" t="str">
        <f t="shared" si="12"/>
        <v>OK</v>
      </c>
    </row>
    <row r="869" spans="1:4" x14ac:dyDescent="0.2">
      <c r="A869" s="5">
        <v>808</v>
      </c>
      <c r="B869" s="1832">
        <f>'Expenditures 15-22'!E72</f>
        <v>178295</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437062</v>
      </c>
      <c r="C871" s="2" t="s">
        <v>569</v>
      </c>
      <c r="D871" s="2" t="str">
        <f t="shared" si="12"/>
        <v>Error?</v>
      </c>
    </row>
    <row r="872" spans="1:4" x14ac:dyDescent="0.2">
      <c r="A872" s="5">
        <v>811</v>
      </c>
      <c r="B872" s="1832">
        <f>'Expenditures 15-22'!E75</f>
        <v>9332</v>
      </c>
      <c r="D872" s="2" t="str">
        <f t="shared" si="12"/>
        <v>Error?</v>
      </c>
    </row>
    <row r="873" spans="1:4" x14ac:dyDescent="0.2">
      <c r="A873" s="5">
        <v>812</v>
      </c>
      <c r="B873" s="1832">
        <f>'Expenditures 15-22'!E114</f>
        <v>458554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57506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1896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64175</v>
      </c>
      <c r="C894" s="2" t="s">
        <v>569</v>
      </c>
      <c r="D894" s="2" t="str">
        <f t="shared" si="12"/>
        <v>Error?</v>
      </c>
    </row>
    <row r="895" spans="1:4" x14ac:dyDescent="0.2">
      <c r="A895" s="5">
        <v>834</v>
      </c>
      <c r="B895" s="1832">
        <f>'Expenditures 15-22'!F36</f>
        <v>200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1895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342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2437</v>
      </c>
      <c r="C901" s="2" t="s">
        <v>569</v>
      </c>
      <c r="D901" s="2" t="str">
        <f t="shared" si="13"/>
        <v>Error?</v>
      </c>
    </row>
    <row r="902" spans="1:4" x14ac:dyDescent="0.2">
      <c r="A902" s="5">
        <v>841</v>
      </c>
      <c r="B902" s="1832">
        <f>'Expenditures 15-22'!F44</f>
        <v>1607</v>
      </c>
      <c r="D902" s="2" t="str">
        <f t="shared" si="13"/>
        <v>Error?</v>
      </c>
    </row>
    <row r="903" spans="1:4" x14ac:dyDescent="0.2">
      <c r="A903" s="5">
        <v>842</v>
      </c>
      <c r="B903" s="1832">
        <f>'Expenditures 15-22'!F45</f>
        <v>6629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8236</v>
      </c>
      <c r="C905" s="2" t="s">
        <v>569</v>
      </c>
      <c r="D905" s="2" t="str">
        <f t="shared" si="13"/>
        <v>Error?</v>
      </c>
    </row>
    <row r="906" spans="1:4" x14ac:dyDescent="0.2">
      <c r="A906" s="5">
        <v>845</v>
      </c>
      <c r="B906" s="1832">
        <f>'Expenditures 15-22'!F49</f>
        <v>1253</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1253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10153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10153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22079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86254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7249</v>
      </c>
      <c r="D1022" s="2" t="str">
        <f t="shared" si="14"/>
        <v>Error?</v>
      </c>
    </row>
    <row r="1023" spans="1:4" x14ac:dyDescent="0.2">
      <c r="A1023" s="5">
        <v>962</v>
      </c>
      <c r="B1023" s="1832">
        <f>'Expenditures 15-22'!H50</f>
        <v>1801</v>
      </c>
      <c r="D1023" s="2" t="str">
        <f t="shared" ref="D1023:D1086" si="15">IF(ISBLANK(B1023),"OK",IF(A1023-B1023=0,"OK","Error?"))</f>
        <v>Error?</v>
      </c>
    </row>
    <row r="1024" spans="1:4" x14ac:dyDescent="0.2">
      <c r="A1024" s="5">
        <v>963</v>
      </c>
      <c r="B1024" s="1832">
        <f>'Expenditures 15-22'!H53</f>
        <v>9050</v>
      </c>
      <c r="C1024" s="2" t="s">
        <v>569</v>
      </c>
      <c r="D1024" s="2" t="str">
        <f t="shared" si="15"/>
        <v>Error?</v>
      </c>
    </row>
    <row r="1025" spans="1:4" x14ac:dyDescent="0.2">
      <c r="A1025" s="5">
        <v>964</v>
      </c>
      <c r="B1025" s="1832">
        <f>'Expenditures 15-22'!H55</f>
        <v>399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399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9449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207310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216759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2005233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37866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2650585</v>
      </c>
      <c r="C1108" s="2" t="s">
        <v>569</v>
      </c>
      <c r="D1108" s="2" t="str">
        <f t="shared" si="16"/>
        <v>Error?</v>
      </c>
    </row>
    <row r="1109" spans="1:4" x14ac:dyDescent="0.2">
      <c r="A1109" s="5">
        <v>1048</v>
      </c>
      <c r="B1109" s="1832">
        <f>'Expenditures 15-22'!K36</f>
        <v>5346</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70266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71003</v>
      </c>
      <c r="C1113" s="2" t="s">
        <v>569</v>
      </c>
      <c r="D1113" s="2" t="str">
        <f t="shared" si="16"/>
        <v>Error?</v>
      </c>
    </row>
    <row r="1114" spans="1:4" x14ac:dyDescent="0.2">
      <c r="A1114" s="5">
        <v>1053</v>
      </c>
      <c r="B1114" s="1832">
        <f>'Expenditures 15-22'!K41</f>
        <v>60091</v>
      </c>
      <c r="C1114" s="2" t="s">
        <v>569</v>
      </c>
      <c r="D1114" s="2" t="str">
        <f t="shared" si="16"/>
        <v>Error?</v>
      </c>
    </row>
    <row r="1115" spans="1:4" x14ac:dyDescent="0.2">
      <c r="A1115" s="5">
        <v>1054</v>
      </c>
      <c r="B1115" s="1832">
        <f>'Expenditures 15-22'!K42</f>
        <v>206706</v>
      </c>
      <c r="C1115" s="2" t="s">
        <v>569</v>
      </c>
      <c r="D1115" s="2" t="str">
        <f t="shared" si="16"/>
        <v>Error?</v>
      </c>
    </row>
    <row r="1116" spans="1:4" x14ac:dyDescent="0.2">
      <c r="A1116" s="5">
        <v>1055</v>
      </c>
      <c r="B1116" s="1832">
        <f>'Expenditures 15-22'!K44</f>
        <v>21932</v>
      </c>
      <c r="C1116" s="2" t="s">
        <v>569</v>
      </c>
      <c r="D1116" s="2" t="str">
        <f t="shared" si="16"/>
        <v>Error?</v>
      </c>
    </row>
    <row r="1117" spans="1:4" x14ac:dyDescent="0.2">
      <c r="A1117" s="5">
        <v>1056</v>
      </c>
      <c r="B1117" s="1832">
        <f>'Expenditures 15-22'!K45</f>
        <v>51290</v>
      </c>
      <c r="C1117" s="2" t="s">
        <v>569</v>
      </c>
      <c r="D1117" s="2" t="str">
        <f t="shared" si="16"/>
        <v>Error?</v>
      </c>
    </row>
    <row r="1118" spans="1:4" x14ac:dyDescent="0.2">
      <c r="A1118" s="5">
        <v>1057</v>
      </c>
      <c r="B1118" s="1832">
        <f>'Expenditures 15-22'!K46</f>
        <v>5063</v>
      </c>
      <c r="C1118" s="2" t="s">
        <v>569</v>
      </c>
      <c r="D1118" s="2" t="str">
        <f t="shared" si="16"/>
        <v>Error?</v>
      </c>
    </row>
    <row r="1119" spans="1:4" x14ac:dyDescent="0.2">
      <c r="A1119" s="5">
        <v>1058</v>
      </c>
      <c r="B1119" s="1832">
        <f>'Expenditures 15-22'!K47</f>
        <v>78285</v>
      </c>
      <c r="C1119" s="2" t="s">
        <v>569</v>
      </c>
      <c r="D1119" s="2" t="str">
        <f t="shared" si="16"/>
        <v>Error?</v>
      </c>
    </row>
    <row r="1120" spans="1:4" x14ac:dyDescent="0.2">
      <c r="A1120" s="5">
        <v>1059</v>
      </c>
      <c r="B1120" s="1832">
        <f>'Expenditures 15-22'!K49</f>
        <v>108905</v>
      </c>
      <c r="C1120" s="2" t="s">
        <v>569</v>
      </c>
      <c r="D1120" s="2" t="str">
        <f t="shared" si="16"/>
        <v>Error?</v>
      </c>
    </row>
    <row r="1121" spans="1:4" x14ac:dyDescent="0.2">
      <c r="A1121" s="5">
        <v>1060</v>
      </c>
      <c r="B1121" s="1832">
        <f>'Expenditures 15-22'!K50</f>
        <v>284241</v>
      </c>
      <c r="C1121" s="2" t="s">
        <v>569</v>
      </c>
      <c r="D1121" s="2" t="str">
        <f t="shared" si="16"/>
        <v>Error?</v>
      </c>
    </row>
    <row r="1122" spans="1:4" x14ac:dyDescent="0.2">
      <c r="A1122" s="5">
        <v>1061</v>
      </c>
      <c r="B1122" s="1832">
        <f>'Expenditures 15-22'!K53</f>
        <v>460762</v>
      </c>
      <c r="C1122" s="2" t="s">
        <v>569</v>
      </c>
      <c r="D1122" s="2" t="str">
        <f t="shared" si="16"/>
        <v>Error?</v>
      </c>
    </row>
    <row r="1123" spans="1:4" x14ac:dyDescent="0.2">
      <c r="A1123" s="5">
        <v>1062</v>
      </c>
      <c r="B1123" s="1832">
        <f>'Expenditures 15-22'!K55</f>
        <v>229050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229050</v>
      </c>
      <c r="C1125" s="2" t="s">
        <v>569</v>
      </c>
      <c r="D1125" s="2" t="str">
        <f t="shared" si="16"/>
        <v>Error?</v>
      </c>
    </row>
    <row r="1126" spans="1:4" x14ac:dyDescent="0.2">
      <c r="A1126" s="5">
        <v>1065</v>
      </c>
      <c r="B1126" s="1832">
        <f>'Expenditures 15-22'!K59</f>
        <v>44000</v>
      </c>
      <c r="C1126" s="2" t="s">
        <v>569</v>
      </c>
      <c r="D1126" s="2" t="str">
        <f t="shared" si="16"/>
        <v>Error?</v>
      </c>
    </row>
    <row r="1127" spans="1:4" x14ac:dyDescent="0.2">
      <c r="A1127" s="5">
        <v>1066</v>
      </c>
      <c r="B1127" s="1832">
        <f>'Expenditures 15-22'!K60</f>
        <v>125458</v>
      </c>
      <c r="C1127" s="2" t="s">
        <v>569</v>
      </c>
      <c r="D1127" s="2" t="str">
        <f t="shared" si="16"/>
        <v>Error?</v>
      </c>
    </row>
    <row r="1128" spans="1:4" x14ac:dyDescent="0.2">
      <c r="A1128" s="5">
        <v>1067</v>
      </c>
      <c r="B1128" s="1832">
        <f>'Expenditures 15-22'!K61</f>
        <v>18921</v>
      </c>
      <c r="C1128" s="2" t="s">
        <v>569</v>
      </c>
      <c r="D1128" s="2" t="str">
        <f t="shared" si="16"/>
        <v>Error?</v>
      </c>
    </row>
    <row r="1129" spans="1:4" x14ac:dyDescent="0.2">
      <c r="A1129" s="5">
        <v>1068</v>
      </c>
      <c r="B1129" s="1832">
        <f>'Expenditures 15-22'!K62</f>
        <v>23805</v>
      </c>
      <c r="C1129" s="2" t="s">
        <v>569</v>
      </c>
      <c r="D1129" s="2" t="str">
        <f t="shared" si="16"/>
        <v>Error?</v>
      </c>
    </row>
    <row r="1130" spans="1:4" x14ac:dyDescent="0.2">
      <c r="A1130" s="5">
        <v>1069</v>
      </c>
      <c r="B1130" s="1832">
        <f>'Expenditures 15-22'!K63</f>
        <v>15482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227666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7691</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180854</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188545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1391014</v>
      </c>
      <c r="C1143" s="2" t="s">
        <v>569</v>
      </c>
      <c r="D1143" s="2" t="str">
        <f t="shared" si="16"/>
        <v>Error?</v>
      </c>
    </row>
    <row r="1144" spans="1:4" x14ac:dyDescent="0.2">
      <c r="A1144" s="5">
        <v>1083</v>
      </c>
      <c r="B1144" s="1832">
        <f>'Expenditures 15-22'!K75</f>
        <v>9332</v>
      </c>
      <c r="C1144" s="2" t="s">
        <v>569</v>
      </c>
      <c r="D1144" s="2" t="str">
        <f t="shared" si="16"/>
        <v>Error?</v>
      </c>
    </row>
    <row r="1145" spans="1:4" x14ac:dyDescent="0.2">
      <c r="A1145" s="5">
        <v>1084</v>
      </c>
      <c r="B1145" s="1832">
        <f>'Expenditures 15-22'!K102</f>
        <v>207310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4258241</v>
      </c>
      <c r="C1152" s="2" t="s">
        <v>569</v>
      </c>
      <c r="D1152" s="2" t="str">
        <f t="shared" si="17"/>
        <v>Error?</v>
      </c>
    </row>
    <row r="1153" spans="1:4" x14ac:dyDescent="0.2">
      <c r="A1153" s="5">
        <v>1092</v>
      </c>
      <c r="B1153" s="1832">
        <f>'Expenditures 15-22'!K115</f>
        <v>439282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184656</v>
      </c>
      <c r="D1221" s="2" t="str">
        <f t="shared" si="18"/>
        <v>Error?</v>
      </c>
    </row>
    <row r="1222" spans="1:4" x14ac:dyDescent="0.2">
      <c r="A1222" s="10">
        <v>1161</v>
      </c>
      <c r="B1222" s="1832"/>
      <c r="D1222" s="2" t="str">
        <f t="shared" si="18"/>
        <v>OK</v>
      </c>
    </row>
    <row r="1223" spans="1:4" x14ac:dyDescent="0.2">
      <c r="A1223" s="5">
        <v>1162</v>
      </c>
      <c r="B1223" s="1832">
        <f>'Expenditures 15-22'!C127</f>
        <v>184656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184656</v>
      </c>
      <c r="C1225" s="2" t="s">
        <v>569</v>
      </c>
      <c r="D1225" s="2" t="str">
        <f t="shared" si="18"/>
        <v>Error?</v>
      </c>
    </row>
    <row r="1226" spans="1:4" x14ac:dyDescent="0.2">
      <c r="A1226" s="5">
        <v>1165</v>
      </c>
      <c r="B1226" s="1832">
        <f>'Expenditures 15-22'!C151</f>
        <v>184656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31017</v>
      </c>
      <c r="D1229" s="2" t="str">
        <f t="shared" si="18"/>
        <v>Error?</v>
      </c>
    </row>
    <row r="1230" spans="1:4" x14ac:dyDescent="0.2">
      <c r="A1230" s="10">
        <v>1169</v>
      </c>
      <c r="B1230" s="1832"/>
      <c r="D1230" s="2" t="str">
        <f t="shared" si="18"/>
        <v>OK</v>
      </c>
    </row>
    <row r="1231" spans="1:4" x14ac:dyDescent="0.2">
      <c r="A1231" s="5">
        <v>1170</v>
      </c>
      <c r="B1231" s="1832">
        <f>'Expenditures 15-22'!D127</f>
        <v>31017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31017</v>
      </c>
      <c r="C1233" s="2" t="s">
        <v>569</v>
      </c>
      <c r="D1233" s="2" t="str">
        <f t="shared" si="18"/>
        <v>Error?</v>
      </c>
    </row>
    <row r="1234" spans="1:4" x14ac:dyDescent="0.2">
      <c r="A1234" s="5">
        <v>1173</v>
      </c>
      <c r="B1234" s="1832">
        <f>'Expenditures 15-22'!D151</f>
        <v>31017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146134</v>
      </c>
      <c r="D1237" s="2" t="str">
        <f t="shared" si="18"/>
        <v>Error?</v>
      </c>
    </row>
    <row r="1238" spans="1:4" x14ac:dyDescent="0.2">
      <c r="A1238" s="10">
        <v>1177</v>
      </c>
      <c r="B1238" s="1832"/>
      <c r="D1238" s="2" t="str">
        <f t="shared" si="18"/>
        <v>OK</v>
      </c>
    </row>
    <row r="1239" spans="1:4" x14ac:dyDescent="0.2">
      <c r="A1239" s="5">
        <v>1178</v>
      </c>
      <c r="B1239" s="1832">
        <f>'Expenditures 15-22'!E127</f>
        <v>146134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146134</v>
      </c>
      <c r="C1241" s="2" t="s">
        <v>569</v>
      </c>
      <c r="D1241" s="2" t="str">
        <f t="shared" si="18"/>
        <v>Error?</v>
      </c>
    </row>
    <row r="1242" spans="1:4" x14ac:dyDescent="0.2">
      <c r="A1242" s="5">
        <v>1181</v>
      </c>
      <c r="B1242" s="1832">
        <f>'Expenditures 15-22'!E151</f>
        <v>146134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145166</v>
      </c>
      <c r="D1245" s="2" t="str">
        <f t="shared" si="18"/>
        <v>Error?</v>
      </c>
    </row>
    <row r="1246" spans="1:4" x14ac:dyDescent="0.2">
      <c r="A1246" s="10">
        <v>1185</v>
      </c>
      <c r="B1246" s="1832"/>
      <c r="D1246" s="2" t="str">
        <f t="shared" si="18"/>
        <v>OK</v>
      </c>
    </row>
    <row r="1247" spans="1:4" x14ac:dyDescent="0.2">
      <c r="A1247" s="5">
        <v>1186</v>
      </c>
      <c r="B1247" s="1832">
        <f>'Expenditures 15-22'!F127</f>
        <v>145166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145166</v>
      </c>
      <c r="C1249" s="2" t="s">
        <v>569</v>
      </c>
      <c r="D1249" s="2" t="str">
        <f t="shared" si="18"/>
        <v>Error?</v>
      </c>
    </row>
    <row r="1250" spans="1:4" x14ac:dyDescent="0.2">
      <c r="A1250" s="5">
        <v>1189</v>
      </c>
      <c r="B1250" s="1832">
        <f>'Expenditures 15-22'!F151</f>
        <v>145166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15468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15468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15468</v>
      </c>
      <c r="C1258" s="2" t="s">
        <v>569</v>
      </c>
      <c r="D1258" s="2" t="str">
        <f t="shared" si="18"/>
        <v>Error?</v>
      </c>
    </row>
    <row r="1259" spans="1:4" x14ac:dyDescent="0.2">
      <c r="A1259" s="5">
        <v>1198</v>
      </c>
      <c r="B1259" s="1832">
        <f>'Expenditures 15-22'!G151</f>
        <v>15468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522441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522441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522441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522441</v>
      </c>
      <c r="C1288" s="2" t="s">
        <v>569</v>
      </c>
      <c r="D1288" s="2" t="str">
        <f t="shared" si="19"/>
        <v>Error?</v>
      </c>
    </row>
    <row r="1289" spans="1:4" x14ac:dyDescent="0.2">
      <c r="A1289" s="5">
        <v>1228</v>
      </c>
      <c r="B1289" s="1832">
        <f>'Expenditures 15-22'!K152</f>
        <v>56656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794277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243376</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1037653</v>
      </c>
      <c r="C1317" s="2" t="s">
        <v>569</v>
      </c>
      <c r="D1317" s="2" t="str">
        <f t="shared" si="19"/>
        <v>Error?</v>
      </c>
    </row>
    <row r="1318" spans="1:4" x14ac:dyDescent="0.2">
      <c r="A1318" s="5">
        <v>1257</v>
      </c>
      <c r="B1318" s="1832">
        <f>'Expenditures 15-22'!H174</f>
        <v>1037653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794277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243376</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1037653</v>
      </c>
      <c r="C1331" s="2" t="s">
        <v>569</v>
      </c>
      <c r="D1331" s="2" t="str">
        <f t="shared" si="19"/>
        <v>Error?</v>
      </c>
    </row>
    <row r="1332" spans="1:4" x14ac:dyDescent="0.2">
      <c r="A1332" s="5">
        <v>1271</v>
      </c>
      <c r="B1332" s="1832">
        <f>'Expenditures 15-22'!K174</f>
        <v>1037653</v>
      </c>
      <c r="C1332" s="2" t="s">
        <v>569</v>
      </c>
      <c r="D1332" s="2" t="str">
        <f t="shared" si="19"/>
        <v>Error?</v>
      </c>
    </row>
    <row r="1333" spans="1:4" x14ac:dyDescent="0.2">
      <c r="A1333" s="5">
        <v>1272</v>
      </c>
      <c r="B1333" s="1832">
        <f>'Expenditures 15-22'!K175</f>
        <v>27504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61331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61331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61331</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61331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61331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61331</v>
      </c>
      <c r="C1388" s="2" t="s">
        <v>569</v>
      </c>
      <c r="D1388" s="2" t="str">
        <f t="shared" si="20"/>
        <v>Error?</v>
      </c>
    </row>
    <row r="1389" spans="1:4" x14ac:dyDescent="0.2">
      <c r="A1389" s="5">
        <v>1328</v>
      </c>
      <c r="B1389" s="1832">
        <f>'Expenditures 15-22'!K211</f>
        <v>119840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598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61550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892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2384</v>
      </c>
      <c r="D1416" s="2" t="str">
        <f t="shared" si="21"/>
        <v>Error?</v>
      </c>
    </row>
    <row r="1417" spans="1:4" x14ac:dyDescent="0.2">
      <c r="A1417" s="5">
        <v>1356</v>
      </c>
      <c r="B1417" s="1832">
        <f>'Expenditures 15-22'!D238</f>
        <v>3276</v>
      </c>
      <c r="C1417" s="2" t="s">
        <v>569</v>
      </c>
      <c r="D1417" s="2" t="str">
        <f t="shared" si="21"/>
        <v>Error?</v>
      </c>
    </row>
    <row r="1418" spans="1:4" x14ac:dyDescent="0.2">
      <c r="A1418" s="5">
        <v>1357</v>
      </c>
      <c r="B1418" s="1832">
        <f>'Expenditures 15-22'!D240</f>
        <v>68</v>
      </c>
      <c r="D1418" s="2" t="str">
        <f t="shared" si="21"/>
        <v>Error?</v>
      </c>
    </row>
    <row r="1419" spans="1:4" x14ac:dyDescent="0.2">
      <c r="A1419" s="5">
        <v>1358</v>
      </c>
      <c r="B1419" s="1832">
        <f>'Expenditures 15-22'!D241</f>
        <v>5375</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5443</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13036</v>
      </c>
      <c r="D1423" s="2" t="str">
        <f t="shared" si="21"/>
        <v>Error?</v>
      </c>
    </row>
    <row r="1424" spans="1:4" x14ac:dyDescent="0.2">
      <c r="A1424" s="5">
        <v>1363</v>
      </c>
      <c r="B1424" s="1832">
        <f>'Expenditures 15-22'!D257</f>
        <v>13036</v>
      </c>
      <c r="C1424" s="2" t="s">
        <v>569</v>
      </c>
      <c r="D1424" s="2" t="str">
        <f t="shared" si="21"/>
        <v>Error?</v>
      </c>
    </row>
    <row r="1425" spans="1:4" x14ac:dyDescent="0.2">
      <c r="A1425" s="5">
        <v>1364</v>
      </c>
      <c r="B1425" s="1832">
        <f>'Expenditures 15-22'!D259</f>
        <v>11574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11574</v>
      </c>
      <c r="C1427" s="2" t="s">
        <v>569</v>
      </c>
      <c r="D1427" s="2" t="str">
        <f t="shared" si="21"/>
        <v>Error?</v>
      </c>
    </row>
    <row r="1428" spans="1:4" x14ac:dyDescent="0.2">
      <c r="A1428" s="5">
        <v>1367</v>
      </c>
      <c r="B1428" s="1832">
        <f>'Expenditures 15-22'!D263</f>
        <v>2984</v>
      </c>
      <c r="D1428" s="2" t="str">
        <f t="shared" si="21"/>
        <v>Error?</v>
      </c>
    </row>
    <row r="1429" spans="1:4" x14ac:dyDescent="0.2">
      <c r="A1429" s="5">
        <v>1368</v>
      </c>
      <c r="B1429" s="1832">
        <f>'Expenditures 15-22'!D264</f>
        <v>18275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34028</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55287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88616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150166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598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61550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892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2384</v>
      </c>
      <c r="C1480" s="2" t="s">
        <v>569</v>
      </c>
      <c r="D1480" s="2" t="str">
        <f t="shared" si="22"/>
        <v>Error?</v>
      </c>
    </row>
    <row r="1481" spans="1:4" x14ac:dyDescent="0.2">
      <c r="A1481" s="5">
        <v>1420</v>
      </c>
      <c r="B1481" s="1832">
        <f>'Expenditures 15-22'!K238</f>
        <v>3276</v>
      </c>
      <c r="C1481" s="2" t="s">
        <v>569</v>
      </c>
      <c r="D1481" s="2" t="str">
        <f t="shared" si="22"/>
        <v>Error?</v>
      </c>
    </row>
    <row r="1482" spans="1:4" x14ac:dyDescent="0.2">
      <c r="A1482" s="5">
        <v>1421</v>
      </c>
      <c r="B1482" s="1832">
        <f>'Expenditures 15-22'!K240</f>
        <v>68</v>
      </c>
      <c r="C1482" s="2" t="s">
        <v>569</v>
      </c>
      <c r="D1482" s="2" t="str">
        <f t="shared" si="22"/>
        <v>Error?</v>
      </c>
    </row>
    <row r="1483" spans="1:4" x14ac:dyDescent="0.2">
      <c r="A1483" s="5">
        <v>1422</v>
      </c>
      <c r="B1483" s="1832">
        <f>'Expenditures 15-22'!K241</f>
        <v>5375</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5443</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13036</v>
      </c>
      <c r="C1487" s="2" t="s">
        <v>569</v>
      </c>
      <c r="D1487" s="2" t="str">
        <f t="shared" si="22"/>
        <v>Error?</v>
      </c>
    </row>
    <row r="1488" spans="1:4" x14ac:dyDescent="0.2">
      <c r="A1488" s="5">
        <v>1427</v>
      </c>
      <c r="B1488" s="1832">
        <f>'Expenditures 15-22'!K257</f>
        <v>13036</v>
      </c>
      <c r="C1488" s="2" t="s">
        <v>569</v>
      </c>
      <c r="D1488" s="2" t="str">
        <f t="shared" si="22"/>
        <v>Error?</v>
      </c>
    </row>
    <row r="1489" spans="1:4" x14ac:dyDescent="0.2">
      <c r="A1489" s="5">
        <v>1428</v>
      </c>
      <c r="B1489" s="1832">
        <f>'Expenditures 15-22'!K259</f>
        <v>11574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11574</v>
      </c>
      <c r="C1491" s="2" t="s">
        <v>569</v>
      </c>
      <c r="D1491" s="2" t="str">
        <f t="shared" si="22"/>
        <v>Error?</v>
      </c>
    </row>
    <row r="1492" spans="1:4" x14ac:dyDescent="0.2">
      <c r="A1492" s="5">
        <v>1431</v>
      </c>
      <c r="B1492" s="1832">
        <f>'Expenditures 15-22'!K263</f>
        <v>2984</v>
      </c>
      <c r="C1492" s="2" t="s">
        <v>569</v>
      </c>
      <c r="D1492" s="2" t="str">
        <f t="shared" si="22"/>
        <v>Error?</v>
      </c>
    </row>
    <row r="1493" spans="1:4" x14ac:dyDescent="0.2">
      <c r="A1493" s="5">
        <v>1432</v>
      </c>
      <c r="B1493" s="1832">
        <f>'Expenditures 15-22'!K264</f>
        <v>18275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34028</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55287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88616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150166</v>
      </c>
      <c r="C1517" s="2" t="s">
        <v>569</v>
      </c>
      <c r="D1517" s="2" t="str">
        <f t="shared" si="22"/>
        <v>Error?</v>
      </c>
    </row>
    <row r="1518" spans="1:4" x14ac:dyDescent="0.2">
      <c r="A1518" s="5">
        <v>1457</v>
      </c>
      <c r="B1518" s="1832">
        <f>'Expenditures 15-22'!K296</f>
        <v>105011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5522</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5522</v>
      </c>
      <c r="C1535" s="2" t="s">
        <v>569</v>
      </c>
      <c r="D1535" s="2" t="str">
        <f t="shared" ref="D1535:D1598" si="23">IF(ISBLANK(B1535),"OK",IF(A1535-B1535=0,"OK","Error?"))</f>
        <v>Error?</v>
      </c>
    </row>
    <row r="1536" spans="1:4" x14ac:dyDescent="0.2">
      <c r="A1536" s="5">
        <v>1475</v>
      </c>
      <c r="B1536" s="1832">
        <f>'Expenditures 15-22'!E312</f>
        <v>5522</v>
      </c>
      <c r="C1536" s="2" t="s">
        <v>569</v>
      </c>
      <c r="D1536" s="2" t="str">
        <f t="shared" si="23"/>
        <v>Error?</v>
      </c>
    </row>
    <row r="1537" spans="1:4" x14ac:dyDescent="0.2">
      <c r="A1537" s="5">
        <v>1476</v>
      </c>
      <c r="B1537" s="1832">
        <f>'Expenditures 15-22'!F301</f>
        <v>4476</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4476</v>
      </c>
      <c r="C1541" s="2" t="s">
        <v>569</v>
      </c>
      <c r="D1541" s="2" t="str">
        <f t="shared" si="23"/>
        <v>Error?</v>
      </c>
    </row>
    <row r="1542" spans="1:4" x14ac:dyDescent="0.2">
      <c r="A1542" s="5">
        <v>1481</v>
      </c>
      <c r="B1542" s="1832">
        <f>'Expenditures 15-22'!F312</f>
        <v>4476</v>
      </c>
      <c r="C1542" s="2" t="s">
        <v>569</v>
      </c>
      <c r="D1542" s="2" t="str">
        <f t="shared" si="23"/>
        <v>Error?</v>
      </c>
    </row>
    <row r="1543" spans="1:4" x14ac:dyDescent="0.2">
      <c r="A1543" s="5">
        <v>1482</v>
      </c>
      <c r="B1543" s="1832">
        <f>'Expenditures 15-22'!G301</f>
        <v>32119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32119</v>
      </c>
      <c r="C1547" s="2" t="s">
        <v>569</v>
      </c>
      <c r="D1547" s="2" t="str">
        <f t="shared" si="23"/>
        <v>Error?</v>
      </c>
    </row>
    <row r="1548" spans="1:4" x14ac:dyDescent="0.2">
      <c r="A1548" s="5">
        <v>1487</v>
      </c>
      <c r="B1548" s="1832">
        <f>'Expenditures 15-22'!G312</f>
        <v>32119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42117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42117</v>
      </c>
      <c r="C1559" s="2" t="s">
        <v>569</v>
      </c>
      <c r="D1559" s="2" t="str">
        <f t="shared" si="23"/>
        <v>Error?</v>
      </c>
    </row>
    <row r="1560" spans="1:4" x14ac:dyDescent="0.2">
      <c r="A1560" s="5">
        <v>1499</v>
      </c>
      <c r="B1560" s="1832">
        <f>'Expenditures 15-22'!K312</f>
        <v>42117</v>
      </c>
      <c r="C1560" s="2" t="s">
        <v>569</v>
      </c>
      <c r="D1560" s="2" t="str">
        <f t="shared" si="23"/>
        <v>Error?</v>
      </c>
    </row>
    <row r="1561" spans="1:4" x14ac:dyDescent="0.2">
      <c r="A1561" s="5">
        <v>1500</v>
      </c>
      <c r="B1561" s="1832">
        <f>'Expenditures 15-22'!K313</f>
        <v>33053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3086363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3512331</v>
      </c>
      <c r="C1630" s="2" t="s">
        <v>569</v>
      </c>
      <c r="D1630" s="2" t="str">
        <f t="shared" si="24"/>
        <v>Error?</v>
      </c>
    </row>
    <row r="1631" spans="1:4" x14ac:dyDescent="0.2">
      <c r="A1631" s="5">
        <v>1570</v>
      </c>
      <c r="B1631" s="1832">
        <f>'Acct Summary 7-8'!D79</f>
        <v>515133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571789</v>
      </c>
      <c r="C1644" s="2" t="s">
        <v>569</v>
      </c>
      <c r="D1644" s="2" t="str">
        <f t="shared" si="24"/>
        <v>Error?</v>
      </c>
    </row>
    <row r="1645" spans="1:4" x14ac:dyDescent="0.2">
      <c r="A1645" s="5">
        <v>1584</v>
      </c>
      <c r="B1645" s="1832">
        <f>'Acct Summary 7-8'!E79</f>
        <v>669925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710743</v>
      </c>
      <c r="C1658" s="2" t="s">
        <v>569</v>
      </c>
      <c r="D1658" s="2" t="str">
        <f t="shared" si="24"/>
        <v>Error?</v>
      </c>
    </row>
    <row r="1659" spans="1:4" x14ac:dyDescent="0.2">
      <c r="A1659" s="5">
        <v>1598</v>
      </c>
      <c r="B1659" s="1832">
        <f>'Acct Summary 7-8'!F79</f>
        <v>590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120430</v>
      </c>
      <c r="C1672" s="2" t="s">
        <v>569</v>
      </c>
      <c r="D1672" s="2" t="str">
        <f t="shared" si="25"/>
        <v>Error?</v>
      </c>
    </row>
    <row r="1673" spans="1:4" x14ac:dyDescent="0.2">
      <c r="A1673" s="5">
        <v>1612</v>
      </c>
      <c r="B1673" s="1832">
        <f>'Acct Summary 7-8'!G79</f>
        <v>338502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443513</v>
      </c>
      <c r="C1686" s="2" t="s">
        <v>569</v>
      </c>
      <c r="D1686" s="2" t="str">
        <f t="shared" si="25"/>
        <v>Error?</v>
      </c>
    </row>
    <row r="1687" spans="1:4" x14ac:dyDescent="0.2">
      <c r="A1687" s="5">
        <v>1626</v>
      </c>
      <c r="B1687" s="1832">
        <f>'Acct Summary 7-8'!H79</f>
        <v>134411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167464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3228482</v>
      </c>
      <c r="C1744" s="2" t="s">
        <v>569</v>
      </c>
      <c r="D1744" s="2" t="str">
        <f t="shared" si="26"/>
        <v>Error?</v>
      </c>
    </row>
    <row r="1745" spans="1:5" x14ac:dyDescent="0.2">
      <c r="A1745" s="5">
        <v>1684</v>
      </c>
      <c r="B1745" s="1832">
        <f>'Tax Sched 23'!B5</f>
        <v>563394</v>
      </c>
      <c r="C1745" s="2" t="s">
        <v>569</v>
      </c>
      <c r="D1745" s="2" t="str">
        <f t="shared" si="26"/>
        <v>Error?</v>
      </c>
    </row>
    <row r="1746" spans="1:5" x14ac:dyDescent="0.2">
      <c r="A1746" s="5">
        <v>1685</v>
      </c>
      <c r="B1746" s="1832">
        <f>'Tax Sched 23'!B6</f>
        <v>1052309</v>
      </c>
      <c r="C1746" s="2" t="s">
        <v>569</v>
      </c>
      <c r="D1746" s="2" t="str">
        <f t="shared" si="26"/>
        <v>Error?</v>
      </c>
    </row>
    <row r="1747" spans="1:5" x14ac:dyDescent="0.2">
      <c r="A1747" s="5">
        <v>1686</v>
      </c>
      <c r="B1747" s="1832">
        <f>'Tax Sched 23'!B7</f>
        <v>109752</v>
      </c>
      <c r="C1747" s="2" t="s">
        <v>569</v>
      </c>
      <c r="D1747" s="2" t="str">
        <f t="shared" si="26"/>
        <v>Error?</v>
      </c>
    </row>
    <row r="1748" spans="1:5" x14ac:dyDescent="0.2">
      <c r="A1748" s="5">
        <v>1687</v>
      </c>
      <c r="B1748" s="1832">
        <f>'Tax Sched 23'!B8</f>
        <v>127124</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539022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5700814</v>
      </c>
      <c r="C1759" s="2" t="s">
        <v>569</v>
      </c>
      <c r="D1759" s="2" t="str">
        <f t="shared" si="26"/>
        <v>Error?</v>
      </c>
    </row>
    <row r="1760" spans="1:5" x14ac:dyDescent="0.2">
      <c r="A1760" s="5">
        <v>1699</v>
      </c>
      <c r="B1760" s="1832">
        <f>'Tax Sched 23'!D4</f>
        <v>1591932</v>
      </c>
      <c r="C1760" s="2" t="s">
        <v>569</v>
      </c>
      <c r="D1760" s="2" t="str">
        <f t="shared" si="26"/>
        <v>Error?</v>
      </c>
    </row>
    <row r="1761" spans="1:7" x14ac:dyDescent="0.2">
      <c r="A1761" s="5">
        <v>1700</v>
      </c>
      <c r="B1761" s="1832">
        <f>'Tax Sched 23'!D5</f>
        <v>316077</v>
      </c>
      <c r="C1761" s="2" t="s">
        <v>569</v>
      </c>
      <c r="D1761" s="2" t="str">
        <f t="shared" si="26"/>
        <v>Error?</v>
      </c>
    </row>
    <row r="1762" spans="1:7" s="8" customFormat="1" x14ac:dyDescent="0.2">
      <c r="A1762" s="5">
        <v>1701</v>
      </c>
      <c r="B1762" s="1832">
        <f>'Tax Sched 23'!D6</f>
        <v>514946</v>
      </c>
      <c r="C1762" s="2" t="s">
        <v>569</v>
      </c>
      <c r="D1762" s="2" t="str">
        <f t="shared" si="26"/>
        <v>Error?</v>
      </c>
      <c r="E1762" s="9"/>
      <c r="G1762"/>
    </row>
    <row r="1763" spans="1:7" x14ac:dyDescent="0.2">
      <c r="A1763" s="5">
        <v>1702</v>
      </c>
      <c r="B1763" s="1832">
        <f>'Tax Sched 23'!D7</f>
        <v>10793</v>
      </c>
      <c r="C1763" s="2" t="s">
        <v>569</v>
      </c>
      <c r="D1763" s="2" t="str">
        <f t="shared" si="26"/>
        <v>Error?</v>
      </c>
    </row>
    <row r="1764" spans="1:7" x14ac:dyDescent="0.2">
      <c r="A1764" s="5">
        <v>1703</v>
      </c>
      <c r="B1764" s="1832">
        <f>'Tax Sched 23'!D8</f>
        <v>62793</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270341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2805599</v>
      </c>
      <c r="C1775" s="2" t="s">
        <v>569</v>
      </c>
      <c r="D1775" s="2" t="str">
        <f t="shared" si="26"/>
        <v>Error?</v>
      </c>
    </row>
    <row r="1776" spans="1:7" x14ac:dyDescent="0.2">
      <c r="A1776" s="5">
        <v>1715</v>
      </c>
      <c r="B1776" s="1832">
        <f>'Tax Sched 23'!C4</f>
        <v>1636550</v>
      </c>
      <c r="D1776" s="2" t="str">
        <f t="shared" si="26"/>
        <v>Error?</v>
      </c>
    </row>
    <row r="1777" spans="1:4" x14ac:dyDescent="0.2">
      <c r="A1777" s="5">
        <v>1716</v>
      </c>
      <c r="B1777" s="1832">
        <f>'Tax Sched 23'!C5</f>
        <v>247317</v>
      </c>
      <c r="D1777" s="2" t="str">
        <f t="shared" si="26"/>
        <v>Error?</v>
      </c>
    </row>
    <row r="1778" spans="1:4" x14ac:dyDescent="0.2">
      <c r="A1778" s="5">
        <v>1717</v>
      </c>
      <c r="B1778" s="1832">
        <f>'Tax Sched 23'!C6</f>
        <v>537363</v>
      </c>
      <c r="D1778" s="2" t="str">
        <f t="shared" si="26"/>
        <v>Error?</v>
      </c>
    </row>
    <row r="1779" spans="1:4" x14ac:dyDescent="0.2">
      <c r="A1779" s="5">
        <v>1718</v>
      </c>
      <c r="B1779" s="1832">
        <f>'Tax Sched 23'!C7</f>
        <v>98959</v>
      </c>
      <c r="D1779" s="2" t="str">
        <f t="shared" si="26"/>
        <v>Error?</v>
      </c>
    </row>
    <row r="1780" spans="1:4" x14ac:dyDescent="0.2">
      <c r="A1780" s="5">
        <v>1719</v>
      </c>
      <c r="B1780" s="1832">
        <f>'Tax Sched 23'!C8</f>
        <v>64331</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268681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2895215</v>
      </c>
      <c r="C1791" s="2" t="s">
        <v>569</v>
      </c>
      <c r="D1791" s="2" t="str">
        <f t="shared" ref="D1791:D1854" si="27">IF(ISBLANK(B1791),"OK",IF(A1791-B1791=0,"OK","Error?"))</f>
        <v>Error?</v>
      </c>
    </row>
    <row r="1792" spans="1:4" x14ac:dyDescent="0.2">
      <c r="A1792" s="5">
        <v>1731</v>
      </c>
      <c r="B1792" s="1832">
        <f>'Tax Sched 23'!F4</f>
        <v>1621937</v>
      </c>
      <c r="C1792" s="2" t="s">
        <v>569</v>
      </c>
      <c r="D1792" s="2" t="str">
        <f t="shared" si="27"/>
        <v>Error?</v>
      </c>
    </row>
    <row r="1793" spans="1:4" x14ac:dyDescent="0.2">
      <c r="A1793" s="5">
        <v>1732</v>
      </c>
      <c r="B1793" s="1832">
        <f>'Tax Sched 23'!F5</f>
        <v>245109</v>
      </c>
      <c r="C1793" s="2" t="s">
        <v>569</v>
      </c>
      <c r="D1793" s="2" t="str">
        <f t="shared" si="27"/>
        <v>Error?</v>
      </c>
    </row>
    <row r="1794" spans="1:4" x14ac:dyDescent="0.2">
      <c r="A1794" s="5">
        <v>1733</v>
      </c>
      <c r="B1794" s="1832">
        <f>'Tax Sched 23'!F6</f>
        <v>532565</v>
      </c>
      <c r="C1794" s="2" t="s">
        <v>569</v>
      </c>
      <c r="D1794" s="2" t="str">
        <f t="shared" si="27"/>
        <v>Error?</v>
      </c>
    </row>
    <row r="1795" spans="1:4" x14ac:dyDescent="0.2">
      <c r="A1795" s="5">
        <v>1734</v>
      </c>
      <c r="B1795" s="1832">
        <f>'Tax Sched 23'!F7</f>
        <v>98075</v>
      </c>
      <c r="C1795" s="2" t="s">
        <v>569</v>
      </c>
      <c r="D1795" s="2" t="str">
        <f t="shared" si="27"/>
        <v>Error?</v>
      </c>
    </row>
    <row r="1796" spans="1:4" x14ac:dyDescent="0.2">
      <c r="A1796" s="5">
        <v>1735</v>
      </c>
      <c r="B1796" s="1832">
        <f>'Tax Sched 23'!F8</f>
        <v>63757</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266283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2869364</v>
      </c>
      <c r="C1807" s="2" t="s">
        <v>569</v>
      </c>
      <c r="D1807" s="2" t="str">
        <f t="shared" si="27"/>
        <v>Error?</v>
      </c>
    </row>
    <row r="1808" spans="1:4" x14ac:dyDescent="0.2">
      <c r="A1808" s="5">
        <v>1747</v>
      </c>
      <c r="B1808" s="1832">
        <f>'Tax Sched 23'!E4</f>
        <v>3258487</v>
      </c>
      <c r="D1808" s="2" t="str">
        <f t="shared" si="27"/>
        <v>Error?</v>
      </c>
    </row>
    <row r="1809" spans="1:4" x14ac:dyDescent="0.2">
      <c r="A1809" s="5">
        <v>1748</v>
      </c>
      <c r="B1809" s="1832">
        <f>'Tax Sched 23'!E5</f>
        <v>492426</v>
      </c>
      <c r="D1809" s="2" t="str">
        <f t="shared" si="27"/>
        <v>Error?</v>
      </c>
    </row>
    <row r="1810" spans="1:4" x14ac:dyDescent="0.2">
      <c r="A1810" s="5">
        <v>1749</v>
      </c>
      <c r="B1810" s="1832">
        <f>'Tax Sched 23'!E6</f>
        <v>1069928</v>
      </c>
      <c r="D1810" s="2" t="str">
        <f t="shared" si="27"/>
        <v>Error?</v>
      </c>
    </row>
    <row r="1811" spans="1:4" x14ac:dyDescent="0.2">
      <c r="A1811" s="5">
        <v>1750</v>
      </c>
      <c r="B1811" s="1832">
        <f>'Tax Sched 23'!E7</f>
        <v>197034</v>
      </c>
      <c r="D1811" s="2" t="str">
        <f t="shared" si="27"/>
        <v>Error?</v>
      </c>
    </row>
    <row r="1812" spans="1:4" x14ac:dyDescent="0.2">
      <c r="A1812" s="5">
        <v>1751</v>
      </c>
      <c r="B1812" s="1832">
        <f>'Tax Sched 23'!E8</f>
        <v>128088</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534964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5764579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2478517</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539022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539022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539022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591553</v>
      </c>
      <c r="D2008" s="2" t="str">
        <f t="shared" si="30"/>
        <v>Error?</v>
      </c>
    </row>
    <row r="2009" spans="1:4" x14ac:dyDescent="0.2">
      <c r="A2009" s="5">
        <v>1948</v>
      </c>
      <c r="B2009" s="1832">
        <f>'Cap Outlay Deprec 26'!C8</f>
        <v>16267151</v>
      </c>
      <c r="D2009" s="2" t="str">
        <f t="shared" si="30"/>
        <v>Error?</v>
      </c>
    </row>
    <row r="2010" spans="1:4" x14ac:dyDescent="0.2">
      <c r="A2010" s="5">
        <v>1949</v>
      </c>
      <c r="B2010" s="1832">
        <f>'Cap Outlay Deprec 26'!C10</f>
        <v>437380</v>
      </c>
      <c r="D2010" s="2" t="str">
        <f t="shared" si="30"/>
        <v>Error?</v>
      </c>
    </row>
    <row r="2011" spans="1:4" x14ac:dyDescent="0.2">
      <c r="A2011" s="5">
        <v>1950</v>
      </c>
      <c r="B2011" s="1832">
        <f>'Cap Outlay Deprec 26'!C12</f>
        <v>880676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18176760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35020</v>
      </c>
      <c r="D2015" s="2" t="str">
        <f t="shared" si="30"/>
        <v>Error?</v>
      </c>
    </row>
    <row r="2016" spans="1:4" x14ac:dyDescent="0.2">
      <c r="A2016" s="5">
        <v>1955</v>
      </c>
      <c r="B2016" s="1832">
        <f>'Cap Outlay Deprec 26'!D10</f>
        <v>12567</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47587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591553</v>
      </c>
      <c r="C2026" s="2" t="s">
        <v>569</v>
      </c>
      <c r="D2026" s="2" t="str">
        <f t="shared" si="30"/>
        <v>Error?</v>
      </c>
    </row>
    <row r="2027" spans="1:4" x14ac:dyDescent="0.2">
      <c r="A2027" s="5">
        <v>1966</v>
      </c>
      <c r="B2027" s="1832">
        <f>'Cap Outlay Deprec 26'!F8</f>
        <v>16302171</v>
      </c>
      <c r="C2027" s="2" t="s">
        <v>569</v>
      </c>
      <c r="D2027" s="2" t="str">
        <f t="shared" si="30"/>
        <v>Error?</v>
      </c>
    </row>
    <row r="2028" spans="1:4" x14ac:dyDescent="0.2">
      <c r="A2028" s="5">
        <v>1967</v>
      </c>
      <c r="B2028" s="1832">
        <f>'Cap Outlay Deprec 26'!F10</f>
        <v>449947</v>
      </c>
      <c r="C2028" s="2" t="s">
        <v>569</v>
      </c>
      <c r="D2028" s="2" t="str">
        <f t="shared" si="30"/>
        <v>Error?</v>
      </c>
    </row>
    <row r="2029" spans="1:4" x14ac:dyDescent="0.2">
      <c r="A2029" s="5">
        <v>1968</v>
      </c>
      <c r="B2029" s="1832">
        <f>'Cap Outlay Deprec 26'!F12</f>
        <v>880676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18224347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7119911</v>
      </c>
      <c r="D2033" s="2" t="str">
        <f t="shared" si="30"/>
        <v>Error?</v>
      </c>
    </row>
    <row r="2034" spans="1:4" x14ac:dyDescent="0.2">
      <c r="A2034" s="5">
        <v>1973</v>
      </c>
      <c r="B2034" s="1832">
        <f>'Cap Outlay Deprec 26'!H10</f>
        <v>407439</v>
      </c>
      <c r="D2034" s="2" t="str">
        <f t="shared" si="30"/>
        <v>Error?</v>
      </c>
    </row>
    <row r="2035" spans="1:4" x14ac:dyDescent="0.2">
      <c r="A2035" s="5">
        <v>1974</v>
      </c>
      <c r="B2035" s="1832">
        <f>'Cap Outlay Deprec 26'!H12</f>
        <v>307369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7834719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380436</v>
      </c>
      <c r="D2039" s="2" t="str">
        <f t="shared" si="30"/>
        <v>Error?</v>
      </c>
    </row>
    <row r="2040" spans="1:4" x14ac:dyDescent="0.2">
      <c r="A2040" s="5">
        <v>1979</v>
      </c>
      <c r="B2040" s="1832">
        <f>'Cap Outlay Deprec 26'!I10</f>
        <v>37690</v>
      </c>
      <c r="D2040" s="2" t="str">
        <f t="shared" si="30"/>
        <v>Error?</v>
      </c>
    </row>
    <row r="2041" spans="1:4" x14ac:dyDescent="0.2">
      <c r="A2041" s="5">
        <v>1980</v>
      </c>
      <c r="B2041" s="1832">
        <f>'Cap Outlay Deprec 26'!I12</f>
        <v>26708</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444834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7500347</v>
      </c>
      <c r="C2051" s="2" t="s">
        <v>569</v>
      </c>
      <c r="D2051" s="2" t="str">
        <f t="shared" si="31"/>
        <v>Error?</v>
      </c>
    </row>
    <row r="2052" spans="1:4" x14ac:dyDescent="0.2">
      <c r="A2052" s="5">
        <v>1991</v>
      </c>
      <c r="B2052" s="1832">
        <f>'Cap Outlay Deprec 26'!K10</f>
        <v>445129</v>
      </c>
      <c r="C2052" s="2" t="s">
        <v>569</v>
      </c>
      <c r="D2052" s="2" t="str">
        <f t="shared" si="31"/>
        <v>Error?</v>
      </c>
    </row>
    <row r="2053" spans="1:4" x14ac:dyDescent="0.2">
      <c r="A2053" s="5">
        <v>1992</v>
      </c>
      <c r="B2053" s="1832">
        <f>'Cap Outlay Deprec 26'!K12</f>
        <v>334077</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8279553</v>
      </c>
      <c r="C2055" s="2" t="s">
        <v>569</v>
      </c>
      <c r="D2055" s="2" t="str">
        <f t="shared" si="31"/>
        <v>Error?</v>
      </c>
    </row>
    <row r="2056" spans="1:4" x14ac:dyDescent="0.2">
      <c r="A2056" s="5">
        <v>1995</v>
      </c>
      <c r="B2056" s="1832">
        <f>'Cap Outlay Deprec 26'!L5</f>
        <v>591553</v>
      </c>
      <c r="C2056" s="2" t="s">
        <v>569</v>
      </c>
      <c r="D2056" s="2" t="str">
        <f t="shared" si="31"/>
        <v>Error?</v>
      </c>
    </row>
    <row r="2057" spans="1:4" x14ac:dyDescent="0.2">
      <c r="A2057" s="5">
        <v>1996</v>
      </c>
      <c r="B2057" s="1832">
        <f>'Cap Outlay Deprec 26'!L8</f>
        <v>8801824</v>
      </c>
      <c r="C2057" s="2" t="s">
        <v>569</v>
      </c>
      <c r="D2057" s="2" t="str">
        <f t="shared" si="31"/>
        <v>Error?</v>
      </c>
    </row>
    <row r="2058" spans="1:4" x14ac:dyDescent="0.2">
      <c r="A2058" s="5">
        <v>1997</v>
      </c>
      <c r="B2058" s="1832">
        <f>'Cap Outlay Deprec 26'!L10</f>
        <v>4818</v>
      </c>
      <c r="C2058" s="2" t="s">
        <v>569</v>
      </c>
      <c r="D2058" s="2" t="str">
        <f t="shared" si="31"/>
        <v>Error?</v>
      </c>
    </row>
    <row r="2059" spans="1:4" x14ac:dyDescent="0.2">
      <c r="A2059" s="5">
        <v>1998</v>
      </c>
      <c r="B2059" s="1832">
        <f>'Cap Outlay Deprec 26'!L12</f>
        <v>546599</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9944794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207310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4255247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279746</v>
      </c>
      <c r="C2553" s="2" t="s">
        <v>569</v>
      </c>
      <c r="D2553" s="2" t="str">
        <f t="shared" si="38"/>
        <v>Error?</v>
      </c>
    </row>
    <row r="2554" spans="1:4" x14ac:dyDescent="0.2">
      <c r="A2554" s="5">
        <v>2493</v>
      </c>
      <c r="B2554" s="1832">
        <f>'Acct Summary 7-8'!C7</f>
        <v>162530</v>
      </c>
      <c r="C2554" s="2" t="s">
        <v>569</v>
      </c>
      <c r="D2554" s="2" t="str">
        <f t="shared" si="38"/>
        <v>Error?</v>
      </c>
    </row>
    <row r="2555" spans="1:4" x14ac:dyDescent="0.2">
      <c r="A2555" s="5">
        <v>2494</v>
      </c>
      <c r="B2555" s="1832">
        <f>'Acct Summary 7-8'!C8</f>
        <v>4697523</v>
      </c>
      <c r="C2555" s="2" t="s">
        <v>569</v>
      </c>
      <c r="D2555" s="2" t="str">
        <f t="shared" si="38"/>
        <v>Error?</v>
      </c>
    </row>
    <row r="2556" spans="1:4" x14ac:dyDescent="0.2">
      <c r="A2556" s="5">
        <v>2495</v>
      </c>
      <c r="B2556" s="1832">
        <f>'Acct Summary 7-8'!C12</f>
        <v>2650585</v>
      </c>
      <c r="C2556" s="2" t="s">
        <v>569</v>
      </c>
      <c r="D2556" s="2" t="str">
        <f t="shared" si="38"/>
        <v>Error?</v>
      </c>
    </row>
    <row r="2557" spans="1:4" x14ac:dyDescent="0.2">
      <c r="A2557" s="5">
        <v>2496</v>
      </c>
      <c r="B2557" s="1832">
        <f>'Acct Summary 7-8'!C13</f>
        <v>1391014</v>
      </c>
      <c r="C2557" s="2" t="s">
        <v>569</v>
      </c>
      <c r="D2557" s="2" t="str">
        <f t="shared" si="38"/>
        <v>Error?</v>
      </c>
    </row>
    <row r="2558" spans="1:4" x14ac:dyDescent="0.2">
      <c r="A2558" s="5">
        <v>2497</v>
      </c>
      <c r="B2558" s="1832">
        <f>'Acct Summary 7-8'!C14</f>
        <v>9332</v>
      </c>
      <c r="C2558" s="2" t="s">
        <v>569</v>
      </c>
      <c r="D2558" s="2" t="str">
        <f t="shared" si="38"/>
        <v>Error?</v>
      </c>
    </row>
    <row r="2559" spans="1:4" x14ac:dyDescent="0.2">
      <c r="A2559" s="5">
        <v>2498</v>
      </c>
      <c r="B2559" s="1832">
        <f>'Acct Summary 7-8'!C15</f>
        <v>207310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4258241</v>
      </c>
      <c r="C2561" s="2" t="s">
        <v>569</v>
      </c>
      <c r="D2561" s="2" t="str">
        <f t="shared" si="39"/>
        <v>Error?</v>
      </c>
    </row>
    <row r="2562" spans="1:4" x14ac:dyDescent="0.2">
      <c r="A2562" s="5">
        <v>2501</v>
      </c>
      <c r="B2562" s="1832">
        <f>'Acct Summary 7-8'!C20</f>
        <v>439282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579097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579097</v>
      </c>
      <c r="C2568" s="2" t="s">
        <v>569</v>
      </c>
      <c r="D2568" s="2" t="str">
        <f t="shared" si="39"/>
        <v>Error?</v>
      </c>
    </row>
    <row r="2569" spans="1:4" x14ac:dyDescent="0.2">
      <c r="A2569" s="5">
        <v>2508</v>
      </c>
      <c r="B2569" s="1832">
        <f>'Acct Summary 7-8'!D13</f>
        <v>522441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522441</v>
      </c>
      <c r="C2573" s="2" t="s">
        <v>569</v>
      </c>
      <c r="D2573" s="2" t="str">
        <f t="shared" si="39"/>
        <v>Error?</v>
      </c>
    </row>
    <row r="2574" spans="1:4" x14ac:dyDescent="0.2">
      <c r="A2574" s="5">
        <v>2513</v>
      </c>
      <c r="B2574" s="1832">
        <f>'Acct Summary 7-8'!D20</f>
        <v>56656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109761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71410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181171</v>
      </c>
      <c r="C2595" s="2" t="s">
        <v>569</v>
      </c>
      <c r="D2595" s="2" t="str">
        <f t="shared" si="39"/>
        <v>Error?</v>
      </c>
    </row>
    <row r="2596" spans="1:4" x14ac:dyDescent="0.2">
      <c r="A2596" s="5">
        <v>2535</v>
      </c>
      <c r="B2596" s="1832">
        <f>'Acct Summary 7-8'!F13</f>
        <v>61331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61331</v>
      </c>
      <c r="C2600" s="2" t="s">
        <v>569</v>
      </c>
      <c r="D2600" s="2" t="str">
        <f t="shared" si="39"/>
        <v>Error?</v>
      </c>
    </row>
    <row r="2601" spans="1:4" x14ac:dyDescent="0.2">
      <c r="A2601" s="5">
        <v>2540</v>
      </c>
      <c r="B2601" s="1832">
        <f>'Acct Summary 7-8'!F20</f>
        <v>119840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255177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255177</v>
      </c>
      <c r="C2606" s="2" t="s">
        <v>569</v>
      </c>
      <c r="D2606" s="2" t="str">
        <f t="shared" si="39"/>
        <v>Error?</v>
      </c>
    </row>
    <row r="2607" spans="1:4" x14ac:dyDescent="0.2">
      <c r="A2607" s="5">
        <v>2546</v>
      </c>
      <c r="B2607" s="1832">
        <f>'Acct Summary 7-8'!G12</f>
        <v>61550</v>
      </c>
      <c r="C2607" s="2" t="s">
        <v>569</v>
      </c>
      <c r="D2607" s="2" t="str">
        <f t="shared" si="39"/>
        <v>Error?</v>
      </c>
    </row>
    <row r="2608" spans="1:4" x14ac:dyDescent="0.2">
      <c r="A2608" s="5">
        <v>2547</v>
      </c>
      <c r="B2608" s="1832">
        <f>'Acct Summary 7-8'!G13</f>
        <v>88616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150166</v>
      </c>
      <c r="C2612" s="2" t="s">
        <v>569</v>
      </c>
      <c r="D2612" s="2" t="str">
        <f t="shared" si="39"/>
        <v>Error?</v>
      </c>
    </row>
    <row r="2613" spans="1:4" x14ac:dyDescent="0.2">
      <c r="A2613" s="5">
        <v>2552</v>
      </c>
      <c r="B2613" s="1832">
        <f>'Acct Summary 7-8'!G20</f>
        <v>105011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1065157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1065157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1037653</v>
      </c>
      <c r="C2634" s="2" t="s">
        <v>569</v>
      </c>
      <c r="D2634" s="2" t="str">
        <f t="shared" si="40"/>
        <v>Error?</v>
      </c>
    </row>
    <row r="2635" spans="1:4" x14ac:dyDescent="0.2">
      <c r="A2635" s="5">
        <v>2574</v>
      </c>
      <c r="B2635" s="1832">
        <f>'Acct Summary 7-8'!E17</f>
        <v>1037653</v>
      </c>
      <c r="C2635" s="2" t="s">
        <v>569</v>
      </c>
      <c r="D2635" s="2" t="str">
        <f t="shared" si="40"/>
        <v>Error?</v>
      </c>
    </row>
    <row r="2636" spans="1:4" x14ac:dyDescent="0.2">
      <c r="A2636" s="5">
        <v>2575</v>
      </c>
      <c r="B2636" s="1832">
        <f>'Acct Summary 7-8'!E20</f>
        <v>27504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75170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75170</v>
      </c>
      <c r="C2658" s="2" t="s">
        <v>569</v>
      </c>
      <c r="D2658" s="2" t="str">
        <f t="shared" si="40"/>
        <v>Error?</v>
      </c>
    </row>
    <row r="2659" spans="1:4" x14ac:dyDescent="0.2">
      <c r="A2659" s="5">
        <v>2598</v>
      </c>
      <c r="B2659" s="1832">
        <f>'Acct Summary 7-8'!H13</f>
        <v>42117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42117</v>
      </c>
      <c r="C2661" s="2" t="s">
        <v>569</v>
      </c>
      <c r="D2661" s="2" t="str">
        <f t="shared" si="40"/>
        <v>Error?</v>
      </c>
    </row>
    <row r="2662" spans="1:4" x14ac:dyDescent="0.2">
      <c r="A2662" s="5">
        <v>2601</v>
      </c>
      <c r="B2662" s="1832">
        <f>'Acct Summary 7-8'!H20</f>
        <v>33053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66867</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749</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67616</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467184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467184</v>
      </c>
      <c r="D2912" s="2" t="str">
        <f t="shared" si="44"/>
        <v>Error?</v>
      </c>
    </row>
    <row r="2913" spans="1:4" x14ac:dyDescent="0.2">
      <c r="A2913" s="5">
        <v>2852</v>
      </c>
      <c r="B2913" s="1832">
        <f>'Assets-Liab 5-6'!I41</f>
        <v>467184</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40930</v>
      </c>
      <c r="D3055" s="2" t="str">
        <f t="shared" si="46"/>
        <v>Error?</v>
      </c>
    </row>
    <row r="3056" spans="1:4" x14ac:dyDescent="0.2">
      <c r="A3056" s="5">
        <v>2995</v>
      </c>
      <c r="B3056" s="1832">
        <f>'Expenditures 15-22'!D10</f>
        <v>8729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49659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1329</v>
      </c>
      <c r="D3064" s="2" t="str">
        <f t="shared" si="46"/>
        <v>Error?</v>
      </c>
    </row>
    <row r="3065" spans="1:4" x14ac:dyDescent="0.2">
      <c r="A3065" s="5">
        <v>3004</v>
      </c>
      <c r="B3065" s="1832">
        <f>'Expenditures 15-22'!K219</f>
        <v>1329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13820</v>
      </c>
      <c r="C3225" s="2" t="s">
        <v>569</v>
      </c>
      <c r="D3225" s="2" t="str">
        <f t="shared" si="49"/>
        <v>Error?</v>
      </c>
    </row>
    <row r="3226" spans="1:4" x14ac:dyDescent="0.2">
      <c r="A3226" s="5">
        <v>3165</v>
      </c>
      <c r="B3226" s="1832">
        <f>'Acct Summary 7-8'!I8</f>
        <v>13820</v>
      </c>
      <c r="C3226" s="2" t="s">
        <v>569</v>
      </c>
      <c r="D3226" s="2" t="str">
        <f t="shared" si="49"/>
        <v>Error?</v>
      </c>
    </row>
    <row r="3227" spans="1:4" x14ac:dyDescent="0.2">
      <c r="A3227" s="5">
        <v>3166</v>
      </c>
      <c r="B3227" s="1832">
        <f>'Acct Summary 7-8'!I20</f>
        <v>13820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13314</v>
      </c>
      <c r="C3231" s="2" t="s">
        <v>569</v>
      </c>
      <c r="D3231" s="2" t="str">
        <f t="shared" si="49"/>
        <v>Error?</v>
      </c>
    </row>
    <row r="3232" spans="1:4" x14ac:dyDescent="0.2">
      <c r="A3232" s="5">
        <v>3171</v>
      </c>
      <c r="B3232" s="1832">
        <f>'Acct Summary 7-8'!C77</f>
        <v>-13314</v>
      </c>
      <c r="C3232" s="2" t="s">
        <v>569</v>
      </c>
      <c r="D3232" s="2" t="str">
        <f t="shared" si="49"/>
        <v>Error?</v>
      </c>
    </row>
    <row r="3233" spans="1:4" x14ac:dyDescent="0.2">
      <c r="A3233" s="5">
        <v>3172</v>
      </c>
      <c r="B3233" s="1832">
        <f>'Acct Summary 7-8'!C78</f>
        <v>425968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56656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119840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105011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13314</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13314</v>
      </c>
      <c r="C3277" s="2" t="s">
        <v>569</v>
      </c>
      <c r="D3277" s="2" t="str">
        <f t="shared" si="50"/>
        <v>Error?</v>
      </c>
    </row>
    <row r="3278" spans="1:4" x14ac:dyDescent="0.2">
      <c r="A3278" s="5">
        <v>3217</v>
      </c>
      <c r="B3278" s="1832">
        <f>'Acct Summary 7-8'!E78</f>
        <v>40818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33053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13820</v>
      </c>
      <c r="C3320" s="2" t="s">
        <v>569</v>
      </c>
      <c r="D3320" s="2" t="str">
        <f t="shared" si="50"/>
        <v>Error?</v>
      </c>
    </row>
    <row r="3321" spans="1:4" x14ac:dyDescent="0.2">
      <c r="A3321" s="5">
        <v>3260</v>
      </c>
      <c r="B3321" s="1832">
        <f>'Acct Summary 7-8'!I79</f>
        <v>453364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467184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493741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58578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735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4773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557827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25099</v>
      </c>
      <c r="D3387" s="2" t="str">
        <f t="shared" si="51"/>
        <v>Error?</v>
      </c>
    </row>
    <row r="3388" spans="1:4" x14ac:dyDescent="0.2">
      <c r="A3388" s="5">
        <v>3327</v>
      </c>
      <c r="B3388" s="1832">
        <f>'Expenditures 15-22'!D217</f>
        <v>34524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25099</v>
      </c>
      <c r="C3390" s="2" t="s">
        <v>569</v>
      </c>
      <c r="D3390" s="2" t="str">
        <f t="shared" si="51"/>
        <v>Error?</v>
      </c>
    </row>
    <row r="3391" spans="1:4" x14ac:dyDescent="0.2">
      <c r="A3391" s="5">
        <v>3330</v>
      </c>
      <c r="B3391" s="1832">
        <f>'Expenditures 15-22'!K217</f>
        <v>34524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3512331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571789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710743</v>
      </c>
      <c r="D3417" s="2" t="str">
        <f t="shared" si="52"/>
        <v>Error?</v>
      </c>
    </row>
    <row r="3418" spans="1:4" x14ac:dyDescent="0.2">
      <c r="A3418" s="10">
        <v>3357</v>
      </c>
      <c r="B3418" s="1832"/>
      <c r="D3418" s="2" t="str">
        <f t="shared" si="52"/>
        <v>OK</v>
      </c>
    </row>
    <row r="3419" spans="1:4" x14ac:dyDescent="0.2">
      <c r="A3419" s="5">
        <v>3358</v>
      </c>
      <c r="B3419" s="1832">
        <f>'Assets-Liab 5-6'!F4</f>
        <v>120430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443513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167464</v>
      </c>
      <c r="D3425" s="2" t="str">
        <f t="shared" si="52"/>
        <v>Error?</v>
      </c>
    </row>
    <row r="3426" spans="1:4" x14ac:dyDescent="0.2">
      <c r="A3426" s="10">
        <v>3365</v>
      </c>
      <c r="B3426" s="1832"/>
      <c r="D3426" s="2" t="str">
        <f t="shared" si="52"/>
        <v>OK</v>
      </c>
    </row>
    <row r="3427" spans="1:4" x14ac:dyDescent="0.2">
      <c r="A3427" s="5">
        <v>3366</v>
      </c>
      <c r="B3427" s="1832">
        <f>'Assets-Liab 5-6'!I4</f>
        <v>467184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80731</v>
      </c>
      <c r="C3446" s="2" t="s">
        <v>569</v>
      </c>
      <c r="D3446" s="2" t="str">
        <f t="shared" si="52"/>
        <v>Error?</v>
      </c>
    </row>
    <row r="3447" spans="1:4" x14ac:dyDescent="0.2">
      <c r="A3447" s="5">
        <v>3386</v>
      </c>
      <c r="B3447" s="1832">
        <f>'Tax Sched 23'!D16</f>
        <v>38717</v>
      </c>
      <c r="C3447" s="2" t="s">
        <v>569</v>
      </c>
      <c r="D3447" s="2" t="str">
        <f t="shared" si="52"/>
        <v>Error?</v>
      </c>
    </row>
    <row r="3448" spans="1:4" x14ac:dyDescent="0.2">
      <c r="A3448" s="5">
        <v>3387</v>
      </c>
      <c r="B3448" s="1832">
        <f>'Tax Sched 23'!C16</f>
        <v>42014</v>
      </c>
      <c r="D3448" s="2" t="str">
        <f t="shared" si="52"/>
        <v>Error?</v>
      </c>
    </row>
    <row r="3449" spans="1:4" x14ac:dyDescent="0.2">
      <c r="A3449" s="5">
        <v>3388</v>
      </c>
      <c r="B3449" s="1832">
        <f>'Tax Sched 23'!F16</f>
        <v>41638</v>
      </c>
      <c r="C3449" s="2" t="s">
        <v>569</v>
      </c>
      <c r="D3449" s="2" t="str">
        <f t="shared" si="52"/>
        <v>Error?</v>
      </c>
    </row>
    <row r="3450" spans="1:4" x14ac:dyDescent="0.2">
      <c r="A3450" s="5">
        <v>3389</v>
      </c>
      <c r="B3450" s="1832">
        <f>'Tax Sched 23'!E16</f>
        <v>83652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2105312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6802835</v>
      </c>
      <c r="C4122" s="2" t="s">
        <v>569</v>
      </c>
      <c r="D4122" s="2" t="str">
        <f t="shared" si="63"/>
        <v>Error?</v>
      </c>
    </row>
    <row r="4123" spans="1:4" x14ac:dyDescent="0.2">
      <c r="A4123" s="5">
        <v>4062</v>
      </c>
      <c r="B4123" s="1832">
        <f>'Acct Summary 7-8'!D10</f>
        <v>579097</v>
      </c>
      <c r="C4123" s="2" t="s">
        <v>569</v>
      </c>
      <c r="D4123" s="2" t="str">
        <f t="shared" si="63"/>
        <v>Error?</v>
      </c>
    </row>
    <row r="4124" spans="1:4" x14ac:dyDescent="0.2">
      <c r="A4124" s="5">
        <v>4063</v>
      </c>
      <c r="B4124" s="1832">
        <f>'Acct Summary 7-8'!E10</f>
        <v>1065157</v>
      </c>
      <c r="C4124" s="2" t="s">
        <v>569</v>
      </c>
      <c r="D4124" s="2" t="str">
        <f t="shared" si="63"/>
        <v>Error?</v>
      </c>
    </row>
    <row r="4125" spans="1:4" x14ac:dyDescent="0.2">
      <c r="A4125" s="5">
        <v>4064</v>
      </c>
      <c r="B4125" s="1832">
        <f>'Acct Summary 7-8'!F10</f>
        <v>181171</v>
      </c>
      <c r="C4125" s="2" t="s">
        <v>569</v>
      </c>
      <c r="D4125" s="2" t="str">
        <f t="shared" si="63"/>
        <v>Error?</v>
      </c>
    </row>
    <row r="4126" spans="1:4" x14ac:dyDescent="0.2">
      <c r="A4126" s="5">
        <v>4065</v>
      </c>
      <c r="B4126" s="1832">
        <f>'Acct Summary 7-8'!G10</f>
        <v>255177</v>
      </c>
      <c r="C4126" s="2" t="s">
        <v>569</v>
      </c>
      <c r="D4126" s="2" t="str">
        <f t="shared" si="63"/>
        <v>Error?</v>
      </c>
    </row>
    <row r="4127" spans="1:4" x14ac:dyDescent="0.2">
      <c r="A4127" s="5">
        <v>4066</v>
      </c>
      <c r="B4127" s="1832">
        <f>'Acct Summary 7-8'!H10</f>
        <v>75170</v>
      </c>
      <c r="C4127" s="2" t="s">
        <v>569</v>
      </c>
      <c r="D4127" s="2" t="str">
        <f t="shared" si="63"/>
        <v>Error?</v>
      </c>
    </row>
    <row r="4128" spans="1:4" x14ac:dyDescent="0.2">
      <c r="A4128" s="5">
        <v>4067</v>
      </c>
      <c r="B4128" s="1832">
        <f>'Acct Summary 7-8'!I10</f>
        <v>13820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2105312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6363553</v>
      </c>
      <c r="C4136" s="2" t="s">
        <v>569</v>
      </c>
      <c r="D4136" s="2" t="str">
        <f t="shared" si="63"/>
        <v>Error?</v>
      </c>
    </row>
    <row r="4137" spans="1:4" x14ac:dyDescent="0.2">
      <c r="A4137" s="5">
        <v>4076</v>
      </c>
      <c r="B4137" s="1832">
        <f>'Acct Summary 7-8'!D19</f>
        <v>522441</v>
      </c>
      <c r="C4137" s="2" t="s">
        <v>569</v>
      </c>
      <c r="D4137" s="2" t="str">
        <f t="shared" si="63"/>
        <v>Error?</v>
      </c>
    </row>
    <row r="4138" spans="1:4" x14ac:dyDescent="0.2">
      <c r="A4138" s="5">
        <v>4077</v>
      </c>
      <c r="B4138" s="1832">
        <f>'Acct Summary 7-8'!E19</f>
        <v>1037653</v>
      </c>
      <c r="C4138" s="2" t="s">
        <v>569</v>
      </c>
      <c r="D4138" s="2" t="str">
        <f t="shared" si="63"/>
        <v>Error?</v>
      </c>
    </row>
    <row r="4139" spans="1:4" x14ac:dyDescent="0.2">
      <c r="A4139" s="5">
        <v>4078</v>
      </c>
      <c r="B4139" s="1832">
        <f>'Acct Summary 7-8'!F19</f>
        <v>61331</v>
      </c>
      <c r="C4139" s="2" t="s">
        <v>569</v>
      </c>
      <c r="D4139" s="2" t="str">
        <f t="shared" si="63"/>
        <v>Error?</v>
      </c>
    </row>
    <row r="4140" spans="1:4" x14ac:dyDescent="0.2">
      <c r="A4140" s="5">
        <v>4079</v>
      </c>
      <c r="B4140" s="1832">
        <f>'Acct Summary 7-8'!G19</f>
        <v>150166</v>
      </c>
      <c r="C4140" s="2" t="s">
        <v>569</v>
      </c>
      <c r="D4140" s="2" t="str">
        <f t="shared" si="63"/>
        <v>Error?</v>
      </c>
    </row>
    <row r="4141" spans="1:4" x14ac:dyDescent="0.2">
      <c r="A4141" s="5">
        <v>4080</v>
      </c>
      <c r="B4141" s="1832">
        <f>'Acct Summary 7-8'!H19</f>
        <v>42117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2235141</v>
      </c>
      <c r="C4171" s="2" t="s">
        <v>569</v>
      </c>
      <c r="D4171" s="2" t="str">
        <f t="shared" si="64"/>
        <v>Error?</v>
      </c>
    </row>
    <row r="4172" spans="1:4" x14ac:dyDescent="0.2">
      <c r="A4172" s="5">
        <v>4111</v>
      </c>
      <c r="B4172" s="1832">
        <f>'Short-Term Long-Term Debt 24'!J49</f>
        <v>1524398</v>
      </c>
      <c r="C4172" s="2" t="s">
        <v>569</v>
      </c>
      <c r="D4172" s="2" t="str">
        <f t="shared" si="64"/>
        <v>Error?</v>
      </c>
    </row>
    <row r="4173" spans="1:4" x14ac:dyDescent="0.2">
      <c r="A4173" s="5">
        <v>4112</v>
      </c>
      <c r="B4173" s="1832">
        <f>'Short-Term Long-Term Debt 24'!H49</f>
        <v>243376</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2060.6</v>
      </c>
      <c r="C4265" s="2" t="s">
        <v>569</v>
      </c>
      <c r="D4265" s="2" t="str">
        <f t="shared" si="65"/>
        <v>Error?</v>
      </c>
      <c r="E4265" s="125"/>
    </row>
    <row r="4266" spans="1:5" x14ac:dyDescent="0.2">
      <c r="A4266" s="12">
        <v>4205</v>
      </c>
      <c r="B4266" s="1832">
        <f>('FP Info 3'!F10)*100000</f>
        <v>311.39999999999998</v>
      </c>
      <c r="C4266" s="2" t="s">
        <v>569</v>
      </c>
      <c r="D4266" s="2" t="str">
        <f t="shared" si="65"/>
        <v>Error?</v>
      </c>
      <c r="E4266" s="125"/>
    </row>
    <row r="4267" spans="1:5" x14ac:dyDescent="0.2">
      <c r="A4267" s="12">
        <v>4206</v>
      </c>
      <c r="B4267" s="1832">
        <f>('FP Info 3'!H10)*100000</f>
        <v>124.6</v>
      </c>
      <c r="C4267" s="2" t="s">
        <v>569</v>
      </c>
      <c r="D4267" s="2" t="str">
        <f t="shared" si="65"/>
        <v>Error?</v>
      </c>
      <c r="E4267" s="125"/>
    </row>
    <row r="4268" spans="1:5" x14ac:dyDescent="0.2">
      <c r="A4268" s="12">
        <v>4207</v>
      </c>
      <c r="B4268" s="1832">
        <f>('FP Info 3'!J10)*100000</f>
        <v>2497</v>
      </c>
      <c r="C4268" s="2" t="s">
        <v>569</v>
      </c>
      <c r="D4268" s="2" t="str">
        <f t="shared" si="65"/>
        <v>Error?</v>
      </c>
    </row>
    <row r="4269" spans="1:5" x14ac:dyDescent="0.2">
      <c r="A4269" s="12">
        <v>4208</v>
      </c>
      <c r="B4269" s="1832">
        <f>'FP Info 3'!J16</f>
        <v>4671734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17305</v>
      </c>
      <c r="D4300" s="2" t="str">
        <f t="shared" si="66"/>
        <v>Error?</v>
      </c>
    </row>
    <row r="4301" spans="1:4" x14ac:dyDescent="0.2">
      <c r="A4301" s="5">
        <v>4240</v>
      </c>
      <c r="B4301" s="1832">
        <f>'Rest Tax Levies-Tort Im 25'!G37</f>
        <v>4246</v>
      </c>
      <c r="D4301" s="2" t="str">
        <f t="shared" si="66"/>
        <v>Error?</v>
      </c>
    </row>
    <row r="4302" spans="1:4" x14ac:dyDescent="0.2">
      <c r="A4302" s="5">
        <v>4241</v>
      </c>
      <c r="B4302" s="1832">
        <f>'Rest Tax Levies-Tort Im 25'!G38</f>
        <v>26233</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15964</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6657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9971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9578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8031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158132955</v>
      </c>
      <c r="D4995" s="2" t="str">
        <f t="shared" si="77"/>
        <v>Error?</v>
      </c>
    </row>
    <row r="4996" spans="1:4" x14ac:dyDescent="0.2">
      <c r="A4996" s="12">
        <v>4935</v>
      </c>
      <c r="B4996" s="1832">
        <f>'FP Info 3'!H31</f>
        <v>10911173.895000001</v>
      </c>
      <c r="D4996" s="2" t="str">
        <f t="shared" si="77"/>
        <v>Error?</v>
      </c>
    </row>
    <row r="4997" spans="1:4" x14ac:dyDescent="0.2">
      <c r="A4997" s="12">
        <v>4936</v>
      </c>
      <c r="B4997" s="1832">
        <f>'FP Info 3'!H37</f>
        <v>2235141</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3228482</v>
      </c>
      <c r="D5061" s="2" t="str">
        <f t="shared" si="78"/>
        <v>Error?</v>
      </c>
    </row>
    <row r="5062" spans="1:4" x14ac:dyDescent="0.2">
      <c r="A5062" s="10">
        <v>5001</v>
      </c>
      <c r="B5062" s="1832"/>
      <c r="D5062" s="2" t="str">
        <f t="shared" si="78"/>
        <v>OK</v>
      </c>
    </row>
    <row r="5063" spans="1:4" x14ac:dyDescent="0.2">
      <c r="A5063" s="5">
        <v>5002</v>
      </c>
      <c r="B5063" s="1832">
        <f>'Revenues 9-14'!C7</f>
        <v>539022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3767504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1000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1000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31914</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31914</v>
      </c>
      <c r="C5087" s="2" t="s">
        <v>569</v>
      </c>
      <c r="D5087" s="2" t="str">
        <f t="shared" si="78"/>
        <v>Error?</v>
      </c>
    </row>
    <row r="5088" spans="1:4" x14ac:dyDescent="0.2">
      <c r="A5088" s="5">
        <v>5027</v>
      </c>
      <c r="B5088" s="1832">
        <f>'Revenues 9-14'!C65</f>
        <v>94182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94182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53670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53670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170731</v>
      </c>
      <c r="D5113" s="2" t="str">
        <f t="shared" si="78"/>
        <v>Error?</v>
      </c>
    </row>
    <row r="5114" spans="1:4" x14ac:dyDescent="0.2">
      <c r="A5114" s="5">
        <v>5053</v>
      </c>
      <c r="B5114" s="1832">
        <f>'Revenues 9-14'!C96</f>
        <v>72805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63441</v>
      </c>
      <c r="D5119" s="2" t="str">
        <f t="shared" ref="D5119:D5182" si="79">IF(ISBLANK(B5119),"OK",IF(A5119-B5119=0,"OK","Error?"))</f>
        <v>Error?</v>
      </c>
    </row>
    <row r="5120" spans="1:4" x14ac:dyDescent="0.2">
      <c r="A5120" s="5">
        <v>5059</v>
      </c>
      <c r="B5120" s="1832">
        <f>'Revenues 9-14'!C108</f>
        <v>306977</v>
      </c>
      <c r="C5120" s="2" t="s">
        <v>569</v>
      </c>
      <c r="D5120" s="2" t="str">
        <f t="shared" si="79"/>
        <v>Error?</v>
      </c>
    </row>
    <row r="5121" spans="1:4" x14ac:dyDescent="0.2">
      <c r="A5121" s="5">
        <v>5060</v>
      </c>
      <c r="B5121" s="1832">
        <f>'Revenues 9-14'!C109</f>
        <v>4255247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278778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278778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218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968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279746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2572</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2572</v>
      </c>
      <c r="C5246" s="2" t="s">
        <v>569</v>
      </c>
      <c r="D5246" s="2" t="str">
        <f t="shared" si="80"/>
        <v>Error?</v>
      </c>
    </row>
    <row r="5247" spans="1:4" x14ac:dyDescent="0.2">
      <c r="A5247" s="5">
        <v>5186</v>
      </c>
      <c r="B5247" s="1832">
        <f>'Revenues 9-14'!C200</f>
        <v>39060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9578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39060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2797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83864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86661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162530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162530</v>
      </c>
      <c r="C5326" s="2" t="s">
        <v>569</v>
      </c>
      <c r="D5326" s="2" t="str">
        <f t="shared" si="82"/>
        <v>Error?</v>
      </c>
    </row>
    <row r="5327" spans="1:5" x14ac:dyDescent="0.2">
      <c r="A5327" s="5">
        <v>5266</v>
      </c>
      <c r="B5327" s="1832">
        <f>'Revenues 9-14'!C268</f>
        <v>4697523</v>
      </c>
      <c r="C5327" s="2" t="s">
        <v>569</v>
      </c>
      <c r="D5327" s="2" t="str">
        <f t="shared" si="82"/>
        <v>Error?</v>
      </c>
    </row>
    <row r="5328" spans="1:5" x14ac:dyDescent="0.2">
      <c r="A5328" s="5">
        <v>5267</v>
      </c>
      <c r="B5328" s="1832">
        <f>'Revenues 9-14'!D5</f>
        <v>563394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563394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15703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15703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579097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579097</v>
      </c>
      <c r="C5508" s="2" t="s">
        <v>569</v>
      </c>
      <c r="D5508" s="2" t="str">
        <f t="shared" si="85"/>
        <v>Error?</v>
      </c>
    </row>
    <row r="5509" spans="1:4" x14ac:dyDescent="0.2">
      <c r="A5509" s="5">
        <v>5448</v>
      </c>
      <c r="B5509" s="1832">
        <f>'Revenues 9-14'!E5</f>
        <v>1052309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1052309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12848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12848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1065157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1065157</v>
      </c>
      <c r="C5552" s="2" t="s">
        <v>569</v>
      </c>
      <c r="D5552" s="2" t="str">
        <f t="shared" si="85"/>
        <v>Error?</v>
      </c>
    </row>
    <row r="5553" spans="1:4" x14ac:dyDescent="0.2">
      <c r="A5553" s="5">
        <v>5492</v>
      </c>
      <c r="B5553" s="1832">
        <f>'Revenues 9-14'!F5</f>
        <v>109752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109752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109761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71410</v>
      </c>
      <c r="D5617" s="2" t="str">
        <f t="shared" si="86"/>
        <v>Error?</v>
      </c>
    </row>
    <row r="5618" spans="1:5" x14ac:dyDescent="0.2">
      <c r="A5618" s="5">
        <v>5557</v>
      </c>
      <c r="B5618" s="1832">
        <f>'Revenues 9-14'!F155</f>
        <v>71410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71410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71410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181171</v>
      </c>
      <c r="C5720" s="2" t="s">
        <v>569</v>
      </c>
      <c r="D5720" s="2" t="str">
        <f t="shared" si="88"/>
        <v>Error?</v>
      </c>
    </row>
    <row r="5721" spans="1:4" x14ac:dyDescent="0.2">
      <c r="A5721" s="5">
        <v>5660</v>
      </c>
      <c r="B5721" s="1832">
        <f>'Revenues 9-14'!G5</f>
        <v>127124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80731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207855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37004</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37004</v>
      </c>
      <c r="C5730" s="2" t="s">
        <v>569</v>
      </c>
      <c r="D5730" s="2" t="str">
        <f t="shared" si="88"/>
        <v>Error?</v>
      </c>
    </row>
    <row r="5731" spans="1:4" x14ac:dyDescent="0.2">
      <c r="A5731" s="5">
        <v>5670</v>
      </c>
      <c r="B5731" s="1832">
        <f>'Revenues 9-14'!G65</f>
        <v>10318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10318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255177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6359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6359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68811</v>
      </c>
      <c r="D5885" s="2" t="str">
        <f t="shared" si="90"/>
        <v>Error?</v>
      </c>
    </row>
    <row r="5886" spans="1:4" x14ac:dyDescent="0.2">
      <c r="A5886" s="5">
        <v>5825</v>
      </c>
      <c r="B5886" s="1832">
        <f>'Revenues 9-14'!H108</f>
        <v>68811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75170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13820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13820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13820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255177</v>
      </c>
      <c r="C6024" s="2" t="s">
        <v>569</v>
      </c>
      <c r="D6024" s="2" t="str">
        <f t="shared" si="93"/>
        <v>Error?</v>
      </c>
    </row>
    <row r="6025" spans="1:5" x14ac:dyDescent="0.2">
      <c r="A6025" s="5">
        <v>5964</v>
      </c>
      <c r="B6025" s="1832">
        <f>'Revenues 9-14'!H109</f>
        <v>75170</v>
      </c>
      <c r="C6025" s="2" t="s">
        <v>569</v>
      </c>
      <c r="D6025" s="2" t="str">
        <f t="shared" si="93"/>
        <v>Error?</v>
      </c>
    </row>
    <row r="6026" spans="1:5" x14ac:dyDescent="0.2">
      <c r="A6026" s="5">
        <v>5965</v>
      </c>
      <c r="B6026" s="1832">
        <f>'Revenues 9-14'!I109</f>
        <v>13820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297.60000000000002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425968</v>
      </c>
      <c r="D6267" s="2" t="str">
        <f t="shared" si="96"/>
        <v>Error?</v>
      </c>
      <c r="E6267" s="2" t="s">
        <v>189</v>
      </c>
    </row>
    <row r="6268" spans="1:5" x14ac:dyDescent="0.2">
      <c r="A6268">
        <v>6207</v>
      </c>
      <c r="B6268" s="1832">
        <f>'Acct Summary 7-8'!D82</f>
        <v>56656</v>
      </c>
      <c r="D6268" s="2" t="str">
        <f t="shared" si="96"/>
        <v>Error?</v>
      </c>
      <c r="E6268" s="2" t="s">
        <v>189</v>
      </c>
    </row>
    <row r="6269" spans="1:5" x14ac:dyDescent="0.2">
      <c r="A6269">
        <v>6208</v>
      </c>
      <c r="B6269" s="1832">
        <f>'Acct Summary 7-8'!E82</f>
        <v>40818</v>
      </c>
      <c r="D6269" s="2" t="str">
        <f t="shared" si="96"/>
        <v>Error?</v>
      </c>
      <c r="E6269" s="2" t="s">
        <v>189</v>
      </c>
    </row>
    <row r="6270" spans="1:5" x14ac:dyDescent="0.2">
      <c r="A6270">
        <v>6209</v>
      </c>
      <c r="B6270" s="1832">
        <f>'Acct Summary 7-8'!F82</f>
        <v>119840</v>
      </c>
      <c r="D6270" s="2" t="str">
        <f t="shared" si="96"/>
        <v>Error?</v>
      </c>
      <c r="E6270" s="2" t="s">
        <v>189</v>
      </c>
    </row>
    <row r="6271" spans="1:5" x14ac:dyDescent="0.2">
      <c r="A6271">
        <v>6210</v>
      </c>
      <c r="B6271" s="1832">
        <f>'Acct Summary 7-8'!G82</f>
        <v>105011</v>
      </c>
      <c r="D6271" s="2" t="str">
        <f t="shared" ref="D6271:D6334" si="97">IF(ISBLANK(B6271),"OK",IF(A6271-B6271=0,"OK","Error?"))</f>
        <v>Error?</v>
      </c>
      <c r="E6271" s="2" t="s">
        <v>189</v>
      </c>
    </row>
    <row r="6272" spans="1:5" x14ac:dyDescent="0.2">
      <c r="A6272">
        <v>6211</v>
      </c>
      <c r="B6272" s="1832">
        <f>'Acct Summary 7-8'!H82</f>
        <v>33053</v>
      </c>
      <c r="D6272" s="2" t="str">
        <f t="shared" si="97"/>
        <v>Error?</v>
      </c>
      <c r="E6272" s="2" t="s">
        <v>189</v>
      </c>
    </row>
    <row r="6273" spans="1:5" x14ac:dyDescent="0.2">
      <c r="A6273">
        <v>6212</v>
      </c>
      <c r="B6273" s="1832">
        <f>'Acct Summary 7-8'!I82</f>
        <v>13820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0.12127786361820683</v>
      </c>
      <c r="D6276" s="2" t="str">
        <f t="shared" si="97"/>
        <v>Error?</v>
      </c>
      <c r="E6276" s="2" t="s">
        <v>189</v>
      </c>
    </row>
    <row r="6277" spans="1:5" x14ac:dyDescent="0.2">
      <c r="A6277">
        <v>6216</v>
      </c>
      <c r="B6277" s="1832">
        <f>'Acct Summary 7-8'!D83</f>
        <v>9.9085501819727209E-2</v>
      </c>
      <c r="D6277" s="2" t="str">
        <f t="shared" si="97"/>
        <v>Error?</v>
      </c>
      <c r="E6277" s="2" t="s">
        <v>189</v>
      </c>
    </row>
    <row r="6278" spans="1:5" x14ac:dyDescent="0.2">
      <c r="A6278">
        <v>6217</v>
      </c>
      <c r="B6278" s="1832">
        <f>'Acct Summary 7-8'!E83</f>
        <v>5.7430041519930551E-2</v>
      </c>
      <c r="D6278" s="2" t="str">
        <f t="shared" si="97"/>
        <v>Error?</v>
      </c>
      <c r="E6278" s="2" t="s">
        <v>189</v>
      </c>
    </row>
    <row r="6279" spans="1:5" x14ac:dyDescent="0.2">
      <c r="A6279">
        <v>6218</v>
      </c>
      <c r="B6279" s="1832">
        <f>'Acct Summary 7-8'!F83</f>
        <v>0.9951008884829361</v>
      </c>
      <c r="D6279" s="2" t="str">
        <f t="shared" si="97"/>
        <v>Error?</v>
      </c>
      <c r="E6279" s="2" t="s">
        <v>189</v>
      </c>
    </row>
    <row r="6280" spans="1:5" x14ac:dyDescent="0.2">
      <c r="A6280">
        <v>6219</v>
      </c>
      <c r="B6280" s="1832">
        <f>'Acct Summary 7-8'!G83</f>
        <v>0.2367709627451732</v>
      </c>
      <c r="D6280" s="2" t="str">
        <f t="shared" si="97"/>
        <v>Error?</v>
      </c>
      <c r="E6280" s="2" t="s">
        <v>189</v>
      </c>
    </row>
    <row r="6281" spans="1:5" x14ac:dyDescent="0.2">
      <c r="A6281">
        <v>6220</v>
      </c>
      <c r="B6281" s="1832">
        <f>'Acct Summary 7-8'!H83</f>
        <v>0.19737376391343811</v>
      </c>
      <c r="D6281" s="2" t="str">
        <f t="shared" si="97"/>
        <v>Error?</v>
      </c>
      <c r="E6281" s="2" t="s">
        <v>189</v>
      </c>
    </row>
    <row r="6282" spans="1:5" x14ac:dyDescent="0.2">
      <c r="A6282">
        <v>6221</v>
      </c>
      <c r="B6282" s="1832">
        <f>'Acct Summary 7-8'!I83</f>
        <v>2.9581492516867015E-2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10560</v>
      </c>
      <c r="D6285" s="2" t="str">
        <f t="shared" si="97"/>
        <v>Error?</v>
      </c>
      <c r="E6285" s="2" t="s">
        <v>189</v>
      </c>
    </row>
    <row r="6286" spans="1:5" x14ac:dyDescent="0.2">
      <c r="A6286">
        <v>6225</v>
      </c>
      <c r="B6286" s="1832">
        <f>'Acct Summary 7-8'!E38</f>
        <v>2754</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10250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10250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10250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207310</v>
      </c>
      <c r="D6983" s="2" t="str">
        <f t="shared" si="108"/>
        <v>Error?</v>
      </c>
    </row>
    <row r="6984" spans="1:4" x14ac:dyDescent="0.2">
      <c r="A6984">
        <v>6923</v>
      </c>
      <c r="B6984" s="1832">
        <f>'Expenditures 15-22'!K86</f>
        <v>207310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207310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10250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10250</v>
      </c>
      <c r="D7624" s="2" t="str">
        <f t="shared" si="124"/>
        <v>Error?</v>
      </c>
      <c r="E7624" s="2" t="s">
        <v>19</v>
      </c>
    </row>
    <row r="7625" spans="1:5" x14ac:dyDescent="0.2">
      <c r="A7625">
        <f t="shared" si="123"/>
        <v>7564</v>
      </c>
      <c r="B7625" s="1832">
        <f>'Cap Outlay Deprec 26'!I17</f>
        <v>1025</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445859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10560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2754</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539022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7875538</v>
      </c>
      <c r="D7817" s="2" t="str">
        <f t="shared" si="128"/>
        <v>Error?</v>
      </c>
      <c r="E7817" s="4" t="s">
        <v>1966</v>
      </c>
    </row>
    <row r="7818" spans="1:5" x14ac:dyDescent="0.2">
      <c r="A7818">
        <v>7757</v>
      </c>
      <c r="B7818" s="1832">
        <f>'PCTC-OEPP 27-28'!F172</f>
        <v>138134</v>
      </c>
      <c r="D7818" s="2" t="str">
        <f t="shared" si="128"/>
        <v>Error?</v>
      </c>
      <c r="E7818" s="4" t="s">
        <v>1980</v>
      </c>
    </row>
    <row r="7819" spans="1:5" x14ac:dyDescent="0.2">
      <c r="A7819">
        <v>7758</v>
      </c>
      <c r="B7819" s="1832">
        <f>'PCTC-OEPP 27-28'!F173</f>
        <v>5793</v>
      </c>
      <c r="D7819" s="2" t="str">
        <f t="shared" si="128"/>
        <v>Error?</v>
      </c>
      <c r="E7819" s="4" t="s">
        <v>1980</v>
      </c>
    </row>
    <row r="7820" spans="1:5" x14ac:dyDescent="0.2">
      <c r="A7820">
        <v>7759</v>
      </c>
      <c r="B7820" s="1832">
        <f>'ICR Computation 30'!E40</f>
        <v>-27267</v>
      </c>
      <c r="D7820" s="2" t="str">
        <f t="shared" si="128"/>
        <v>Error?</v>
      </c>
    </row>
    <row r="7821" spans="1:5" x14ac:dyDescent="0.2">
      <c r="A7821">
        <v>7760</v>
      </c>
      <c r="B7821" s="1832">
        <f>'ICR Computation 30'!G40</f>
        <v>-27267</v>
      </c>
      <c r="D7821" s="2" t="str">
        <f t="shared" si="128"/>
        <v>Error?</v>
      </c>
    </row>
    <row r="7822" spans="1:5" x14ac:dyDescent="0.2">
      <c r="A7822" s="1">
        <v>7761</v>
      </c>
      <c r="B7822" s="1832">
        <f>'PCTC-OEPP 27-28'!F14</f>
        <v>6029832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9332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485736</v>
      </c>
      <c r="D7834" s="2" t="str">
        <f t="shared" si="129"/>
        <v>Error?</v>
      </c>
      <c r="E7834" s="4" t="s">
        <v>1998</v>
      </c>
    </row>
    <row r="7835" spans="1:5" x14ac:dyDescent="0.2">
      <c r="A7835">
        <v>7774</v>
      </c>
      <c r="B7835" s="1832">
        <f>'PCTC-OEPP 27-28'!F78</f>
        <v>5544096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18629.354838709674</v>
      </c>
      <c r="D7837" s="2" t="str">
        <f t="shared" si="129"/>
        <v>Error?</v>
      </c>
      <c r="E7837" s="4" t="s">
        <v>1998</v>
      </c>
    </row>
    <row r="7838" spans="1:5" x14ac:dyDescent="0.2">
      <c r="A7838">
        <v>7777</v>
      </c>
      <c r="B7838" s="1832">
        <f>'PCTC-OEPP 27-28'!F96</f>
        <v>53670</v>
      </c>
      <c r="D7838" s="2" t="str">
        <f t="shared" si="129"/>
        <v>Error?</v>
      </c>
      <c r="E7838" s="4" t="s">
        <v>1998</v>
      </c>
    </row>
    <row r="7839" spans="1:5" x14ac:dyDescent="0.2">
      <c r="A7839">
        <v>7778</v>
      </c>
      <c r="B7839" s="1832">
        <f>'PCTC-OEPP 27-28'!F102</f>
        <v>170731</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71410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2572</v>
      </c>
      <c r="D7858" s="2" t="str">
        <f t="shared" si="129"/>
        <v>Error?</v>
      </c>
      <c r="E7858" s="4" t="s">
        <v>1998</v>
      </c>
    </row>
    <row r="7859" spans="1:5" x14ac:dyDescent="0.2">
      <c r="A7859">
        <v>7798</v>
      </c>
      <c r="B7859" s="1832">
        <f>'PCTC-OEPP 27-28'!F127</f>
        <v>39060</v>
      </c>
      <c r="D7859" s="2" t="str">
        <f t="shared" si="129"/>
        <v>Error?</v>
      </c>
      <c r="E7859" s="4" t="s">
        <v>1998</v>
      </c>
    </row>
    <row r="7860" spans="1:5" x14ac:dyDescent="0.2">
      <c r="A7860">
        <v>7799</v>
      </c>
      <c r="B7860" s="1832">
        <f>'PCTC-OEPP 27-28'!F128</f>
        <v>9578</v>
      </c>
      <c r="D7860" s="2" t="str">
        <f t="shared" si="129"/>
        <v>Error?</v>
      </c>
      <c r="E7860" s="4" t="s">
        <v>1998</v>
      </c>
    </row>
    <row r="7861" spans="1:5" x14ac:dyDescent="0.2">
      <c r="A7861">
        <v>7800</v>
      </c>
      <c r="B7861" s="1832">
        <f>'PCTC-OEPP 27-28'!F129</f>
        <v>83864</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8031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6657</v>
      </c>
      <c r="D7874" s="2" t="str">
        <f t="shared" si="129"/>
        <v>Error?</v>
      </c>
      <c r="E7874" s="4" t="s">
        <v>1998</v>
      </c>
    </row>
    <row r="7875" spans="1:5" x14ac:dyDescent="0.2">
      <c r="A7875">
        <v>7814</v>
      </c>
      <c r="B7875" s="1832">
        <f>'PCTC-OEPP 27-28'!F170</f>
        <v>9971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600439</v>
      </c>
      <c r="D7877" s="2" t="str">
        <f t="shared" si="129"/>
        <v>Error?</v>
      </c>
      <c r="E7877" s="4" t="s">
        <v>1998</v>
      </c>
    </row>
    <row r="7878" spans="1:5" x14ac:dyDescent="0.2">
      <c r="A7878">
        <v>7817</v>
      </c>
      <c r="B7878" s="1832">
        <f>'PCTC-OEPP 27-28'!F176</f>
        <v>4943657</v>
      </c>
      <c r="D7878" s="2" t="str">
        <f t="shared" si="129"/>
        <v>Error?</v>
      </c>
      <c r="E7878" s="4" t="s">
        <v>1998</v>
      </c>
    </row>
    <row r="7879" spans="1:5" x14ac:dyDescent="0.2">
      <c r="A7879">
        <v>7818</v>
      </c>
      <c r="B7879" s="1832">
        <f>'PCTC-OEPP 27-28'!F178</f>
        <v>5389516</v>
      </c>
      <c r="D7879" s="2" t="str">
        <f t="shared" si="129"/>
        <v>Error?</v>
      </c>
      <c r="E7879" s="4" t="s">
        <v>1998</v>
      </c>
    </row>
    <row r="7880" spans="1:5" x14ac:dyDescent="0.2">
      <c r="A7880">
        <v>7819</v>
      </c>
      <c r="B7880" s="1832">
        <f>'PCTC-OEPP 27-28'!F180</f>
        <v>18109.932795698922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Winfield SD 34</v>
      </c>
      <c r="B7" s="2536"/>
      <c r="C7" s="2536"/>
      <c r="D7" s="2537"/>
      <c r="E7" s="2538">
        <f>COVER!A13</f>
        <v>19022034002</v>
      </c>
      <c r="F7" s="2539"/>
      <c r="G7" s="2545" t="str">
        <f>COVER!T23</f>
        <v>066-005340</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Evans, Marshall and Pease, PC</v>
      </c>
      <c r="H9" s="2551"/>
      <c r="I9" s="2551"/>
      <c r="J9" s="2551"/>
      <c r="K9" s="2551"/>
      <c r="L9" s="2552"/>
    </row>
    <row r="10" spans="1:29" ht="13.5" customHeight="1" x14ac:dyDescent="0.2">
      <c r="A10" s="2524" t="str">
        <f>COVER!A38</f>
        <v>Dr. Matt Rich</v>
      </c>
      <c r="B10" s="2525"/>
      <c r="C10" s="2525"/>
      <c r="D10" s="2525"/>
      <c r="E10" s="2525"/>
      <c r="F10" s="2526"/>
      <c r="G10" s="2518" t="str">
        <f>COVER!T17</f>
        <v>1875 Hicks Road</v>
      </c>
      <c r="H10" s="2519"/>
      <c r="I10" s="2519"/>
      <c r="J10" s="2519"/>
      <c r="K10" s="2519"/>
      <c r="L10" s="2520"/>
    </row>
    <row r="11" spans="1:29" ht="13.5" customHeight="1" x14ac:dyDescent="0.2">
      <c r="A11" s="963" t="s">
        <v>1502</v>
      </c>
      <c r="B11" s="964"/>
      <c r="C11" s="965"/>
      <c r="D11" s="970"/>
      <c r="E11" s="965"/>
      <c r="F11" s="969"/>
      <c r="G11" s="2518" t="str">
        <f>COVER!T19</f>
        <v>Rolling Meadows</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jeff@empcpa.com</v>
      </c>
      <c r="J13" s="2531"/>
      <c r="K13" s="2531"/>
      <c r="L13" s="2532"/>
    </row>
    <row r="14" spans="1:29" ht="13.5" customHeight="1" x14ac:dyDescent="0.2">
      <c r="A14" s="2518" t="str">
        <f>COVER!A19</f>
        <v>0 S. 150 Winfield Road</v>
      </c>
      <c r="B14" s="2519"/>
      <c r="C14" s="2519"/>
      <c r="D14" s="2519"/>
      <c r="E14" s="2519"/>
      <c r="F14" s="2520"/>
      <c r="G14" s="974" t="s">
        <v>1175</v>
      </c>
      <c r="H14" s="972"/>
      <c r="I14" s="972"/>
      <c r="J14" s="972"/>
      <c r="K14" s="972"/>
      <c r="L14" s="973"/>
    </row>
    <row r="15" spans="1:29" ht="13.5" customHeight="1" x14ac:dyDescent="0.2">
      <c r="A15" s="2518" t="str">
        <f>COVER!A21</f>
        <v xml:space="preserve">Winfield  </v>
      </c>
      <c r="B15" s="2519"/>
      <c r="C15" s="2519"/>
      <c r="D15" s="2519"/>
      <c r="E15" s="2519"/>
      <c r="F15" s="2520"/>
      <c r="G15" s="2515" t="str">
        <f>COVER!T15</f>
        <v>Jeffery M. Rollefson, CPA</v>
      </c>
      <c r="H15" s="2516"/>
      <c r="I15" s="2516"/>
      <c r="J15" s="2516"/>
      <c r="K15" s="2516"/>
      <c r="L15" s="2517"/>
    </row>
    <row r="16" spans="1:29" ht="12.2" customHeight="1" x14ac:dyDescent="0.2">
      <c r="A16" s="2541">
        <f>COVER!A25</f>
        <v>60190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847-221-5700</v>
      </c>
      <c r="H18" s="2536"/>
      <c r="I18" s="2536"/>
      <c r="J18" s="2536"/>
      <c r="K18" s="2535" t="str">
        <f>COVER!X21</f>
        <v>847-221-5701</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Winfield SD 34</v>
      </c>
      <c r="B1" s="2558"/>
      <c r="C1" s="2558"/>
      <c r="D1" s="2558"/>
    </row>
    <row r="2" spans="1:11" s="991" customFormat="1" ht="12.75" x14ac:dyDescent="0.2">
      <c r="A2" s="2559">
        <f>'Single Audit Cover'!E7</f>
        <v>19022034002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Winfield SD 34</v>
      </c>
      <c r="B1" s="2562"/>
      <c r="C1" s="2562"/>
      <c r="D1" s="2562"/>
      <c r="E1" s="2562"/>
    </row>
    <row r="2" spans="1:5" x14ac:dyDescent="0.2">
      <c r="A2" s="2563">
        <f>'Single Audit Cover'!E7</f>
        <v>19022034002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162530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-9971</v>
      </c>
    </row>
    <row r="19" spans="1:4" ht="13.5" thickBot="1" x14ac:dyDescent="0.25">
      <c r="A19" s="1041" t="s">
        <v>1224</v>
      </c>
      <c r="D19" s="1042">
        <f>SUM(D10:D17)</f>
        <v>152559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152559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152559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Winfield SD 34</v>
      </c>
      <c r="C1" s="2566"/>
      <c r="D1" s="2566"/>
      <c r="E1" s="2566"/>
      <c r="F1" s="2566"/>
      <c r="G1" s="2566"/>
      <c r="H1" s="2566"/>
      <c r="I1" s="2566"/>
      <c r="J1" s="2566"/>
      <c r="K1" s="2566"/>
      <c r="L1" s="2566"/>
      <c r="M1" s="2566"/>
    </row>
    <row r="2" spans="2:14" ht="15" x14ac:dyDescent="0.2">
      <c r="B2" s="2567">
        <f>'Single Audit Cover'!E7</f>
        <v>19022034002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Winfield SD 34</v>
      </c>
      <c r="B1" s="2579"/>
      <c r="C1" s="2579"/>
      <c r="D1" s="2579"/>
      <c r="E1" s="2579"/>
      <c r="F1" s="2579"/>
    </row>
    <row r="2" spans="1:7" ht="13.5" customHeight="1" x14ac:dyDescent="0.2">
      <c r="A2" s="2567">
        <f>'Single Audit Cover'!E7</f>
        <v>19022034002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33512</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2066</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2057</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Winfield SD 34</v>
      </c>
      <c r="C1" s="2594"/>
      <c r="D1" s="2594"/>
      <c r="E1" s="2594"/>
      <c r="F1" s="2594"/>
      <c r="G1" s="2594"/>
      <c r="H1" s="2594"/>
      <c r="I1" s="2594"/>
      <c r="J1" s="1178"/>
    </row>
    <row r="2" spans="2:10" s="295" customFormat="1" ht="12.75" customHeight="1" x14ac:dyDescent="0.2">
      <c r="B2" s="2595">
        <f>'Single Audit Cover'!E7</f>
        <v>19022034002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Winfield SD 34</v>
      </c>
      <c r="C1" s="2593"/>
      <c r="D1" s="2593"/>
      <c r="E1" s="2593"/>
      <c r="F1" s="2593"/>
      <c r="G1" s="2593"/>
      <c r="H1" s="2593"/>
      <c r="I1" s="2593"/>
      <c r="J1" s="2593"/>
      <c r="K1" s="2593"/>
      <c r="L1" s="1144"/>
      <c r="M1" s="1144"/>
    </row>
    <row r="2" spans="1:13" ht="12" customHeight="1" x14ac:dyDescent="0.2">
      <c r="B2" s="2595">
        <f>'Single Audit Cover'!E7</f>
        <v>19022034002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Winfield SD 34</v>
      </c>
      <c r="C1" s="2616"/>
      <c r="D1" s="2616"/>
      <c r="E1" s="2616"/>
      <c r="F1" s="2616"/>
      <c r="G1" s="2616"/>
      <c r="H1" s="2616"/>
      <c r="I1" s="2616"/>
      <c r="J1" s="2616"/>
      <c r="K1" s="2616"/>
      <c r="L1" s="1221"/>
    </row>
    <row r="2" spans="1:12" ht="12.75" customHeight="1" x14ac:dyDescent="0.2">
      <c r="B2" s="2617">
        <f>'Single Audit Cover'!E7</f>
        <v>19022034002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Winfield SD 34</v>
      </c>
      <c r="C1" s="2593"/>
      <c r="D1" s="2593"/>
      <c r="E1" s="1240"/>
    </row>
    <row r="2" spans="2:5" s="1058" customFormat="1" ht="12.75" customHeight="1" x14ac:dyDescent="0.2">
      <c r="B2" s="2595">
        <f>'Single Audit Cover'!E7</f>
        <v>19022034002</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25" sqref="H2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158132955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2.0605999999999999E-2</v>
      </c>
      <c r="E10" s="333" t="s">
        <v>998</v>
      </c>
      <c r="F10" s="332">
        <v>3.114E-3</v>
      </c>
      <c r="G10" s="333" t="s">
        <v>998</v>
      </c>
      <c r="H10" s="332">
        <v>1.2459999999999999E-3</v>
      </c>
      <c r="I10" s="333" t="s">
        <v>999</v>
      </c>
      <c r="J10" s="1424">
        <f>ROUND(D10+F10+H10,5)</f>
        <v>2.4969999999999999E-2</v>
      </c>
      <c r="K10" s="217"/>
      <c r="L10" s="332">
        <v>0</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5471611</v>
      </c>
      <c r="E16" s="1547"/>
      <c r="F16" s="1546">
        <f>SUM('Acct Summary 7-8'!C17,'Acct Summary 7-8'!D17,'Acct Summary 7-8'!F17)</f>
        <v>4842013</v>
      </c>
      <c r="G16" s="1547"/>
      <c r="H16" s="1546">
        <f>SUM(D16-F16)</f>
        <v>629598</v>
      </c>
      <c r="I16" s="1548"/>
      <c r="J16" s="1546">
        <f>SUM('Acct Summary 7-8'!C81,'Acct Summary 7-8'!D81,'Acct Summary 7-8'!F81,'Acct Summary 7-8'!I81)</f>
        <v>4671734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10911173.895000001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2235141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Winfield SD 34</v>
      </c>
      <c r="E7" s="368"/>
      <c r="G7" s="247"/>
      <c r="H7" s="364"/>
      <c r="I7" s="364"/>
      <c r="J7" s="364"/>
      <c r="K7" s="364"/>
      <c r="L7" s="307"/>
      <c r="M7" s="307"/>
      <c r="N7" s="307"/>
      <c r="O7" s="307"/>
      <c r="P7" s="307"/>
    </row>
    <row r="8" spans="1:18" ht="12.75" x14ac:dyDescent="0.2">
      <c r="A8" s="307"/>
      <c r="B8" s="307"/>
      <c r="C8" s="366" t="s">
        <v>1115</v>
      </c>
      <c r="D8" s="369">
        <f>COVER!A13</f>
        <v>19022034002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4671734</v>
      </c>
      <c r="I12" s="380"/>
      <c r="J12" s="380"/>
      <c r="K12" s="1559">
        <f>TRUNC((H12/H13*100000),5)/100000</f>
        <v>0.85589589570000002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5458297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-13314</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4842013</v>
      </c>
      <c r="I17" s="380"/>
      <c r="J17" s="389"/>
      <c r="K17" s="1559">
        <f>TRUNC((H17/H18*100000),5)/100000</f>
        <v>0.88709225600000008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5458297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-13314</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4671734</v>
      </c>
      <c r="I24" s="394"/>
      <c r="J24" s="394"/>
      <c r="K24" s="1555">
        <f>TRUNC(((H24/H25*100000)/100000),2)</f>
        <v>347.33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13450.036109999999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3356292.9034000002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2235141</v>
      </c>
      <c r="I32" s="392"/>
      <c r="J32" s="392"/>
      <c r="K32" s="1555">
        <f>TRUNC(100-((((H32/H33*100))*100)/100),2)</f>
        <v>79.510000000000005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10911173.895000001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pane="bottomLeft" activeCell="M42" sqref="M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3512331</v>
      </c>
      <c r="D4" s="1573">
        <v>571789</v>
      </c>
      <c r="E4" s="1573">
        <v>710743</v>
      </c>
      <c r="F4" s="1573">
        <v>120430</v>
      </c>
      <c r="G4" s="1573">
        <v>443513</v>
      </c>
      <c r="H4" s="1573">
        <v>167464</v>
      </c>
      <c r="I4" s="1573">
        <v>467184</v>
      </c>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3512331</v>
      </c>
      <c r="D13" s="1587">
        <f t="shared" ref="D13:L13" si="0">SUM(D4:D12)</f>
        <v>571789</v>
      </c>
      <c r="E13" s="1587">
        <f t="shared" si="0"/>
        <v>710743</v>
      </c>
      <c r="F13" s="1587">
        <f t="shared" si="0"/>
        <v>120430</v>
      </c>
      <c r="G13" s="1587">
        <f t="shared" si="0"/>
        <v>443513</v>
      </c>
      <c r="H13" s="1587">
        <f t="shared" si="0"/>
        <v>167464</v>
      </c>
      <c r="I13" s="1587">
        <f t="shared" si="0"/>
        <v>467184</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591553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16302171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880676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449947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710743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1524398</v>
      </c>
    </row>
    <row r="23" spans="1:14" ht="13.5" customHeight="1" thickBot="1" x14ac:dyDescent="0.25">
      <c r="A23" s="1426" t="s">
        <v>638</v>
      </c>
      <c r="B23" s="1429"/>
      <c r="C23" s="1575"/>
      <c r="D23" s="1575"/>
      <c r="E23" s="1575"/>
      <c r="F23" s="1575"/>
      <c r="G23" s="1575"/>
      <c r="H23" s="1575"/>
      <c r="I23" s="1575"/>
      <c r="J23" s="1575"/>
      <c r="K23" s="1575"/>
      <c r="L23" s="1575"/>
      <c r="M23" s="1594">
        <f>SUM(M15:M22)</f>
        <v>18224347</v>
      </c>
      <c r="N23" s="1594">
        <f>SUM(N21:N22)</f>
        <v>2235141</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2235141</v>
      </c>
    </row>
    <row r="37" spans="1:14" ht="13.5" thickBot="1" x14ac:dyDescent="0.25">
      <c r="A37" s="1426" t="s">
        <v>648</v>
      </c>
      <c r="B37" s="1429"/>
      <c r="C37" s="1582"/>
      <c r="D37" s="1582"/>
      <c r="E37" s="1582"/>
      <c r="F37" s="1582"/>
      <c r="G37" s="1582"/>
      <c r="H37" s="1582"/>
      <c r="I37" s="1582"/>
      <c r="J37" s="1582"/>
      <c r="K37" s="1582"/>
      <c r="L37" s="1585"/>
      <c r="M37" s="1575"/>
      <c r="N37" s="1594">
        <f>SUM(N36:N36)</f>
        <v>2235141</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3512331</v>
      </c>
      <c r="D39" s="1573">
        <v>571789</v>
      </c>
      <c r="E39" s="1573">
        <v>710743</v>
      </c>
      <c r="F39" s="1573">
        <v>120430</v>
      </c>
      <c r="G39" s="1573">
        <v>443513</v>
      </c>
      <c r="H39" s="1573">
        <v>167464</v>
      </c>
      <c r="I39" s="1573">
        <v>467184</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18224347</v>
      </c>
      <c r="N40" s="1604"/>
    </row>
    <row r="41" spans="1:14" ht="13.5" customHeight="1" thickBot="1" x14ac:dyDescent="0.25">
      <c r="A41" s="1426" t="s">
        <v>650</v>
      </c>
      <c r="B41" s="1405"/>
      <c r="C41" s="1594">
        <f>(SUM(C34,C37,C38,C39))</f>
        <v>3512331</v>
      </c>
      <c r="D41" s="1594">
        <f t="shared" ref="D41:L41" si="2">SUM(D34,D37,D38:D39)</f>
        <v>571789</v>
      </c>
      <c r="E41" s="1594">
        <f t="shared" si="2"/>
        <v>710743</v>
      </c>
      <c r="F41" s="1594">
        <f t="shared" si="2"/>
        <v>120430</v>
      </c>
      <c r="G41" s="1594">
        <f t="shared" si="2"/>
        <v>443513</v>
      </c>
      <c r="H41" s="1594">
        <f t="shared" si="2"/>
        <v>167464</v>
      </c>
      <c r="I41" s="1594">
        <f t="shared" si="2"/>
        <v>467184</v>
      </c>
      <c r="J41" s="1594">
        <f t="shared" si="2"/>
        <v>0</v>
      </c>
      <c r="K41" s="1594">
        <f t="shared" si="2"/>
        <v>0</v>
      </c>
      <c r="L41" s="1594">
        <f t="shared" si="2"/>
        <v>0</v>
      </c>
      <c r="M41" s="1594">
        <f>SUM(M40)</f>
        <v>18224347</v>
      </c>
      <c r="N41" s="1594">
        <f>SUM(N37)</f>
        <v>2235141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K79" sqref="K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4255247</v>
      </c>
      <c r="D4" s="1606">
        <f>'Revenues 9-14'!D109</f>
        <v>579097</v>
      </c>
      <c r="E4" s="1606">
        <f>'Revenues 9-14'!E109</f>
        <v>1065157</v>
      </c>
      <c r="F4" s="1606">
        <f>'Revenues 9-14'!F109</f>
        <v>109761</v>
      </c>
      <c r="G4" s="1606">
        <f>'Revenues 9-14'!G109</f>
        <v>255177</v>
      </c>
      <c r="H4" s="1606">
        <f>'Revenues 9-14'!H109</f>
        <v>75170</v>
      </c>
      <c r="I4" s="1606">
        <f>'Revenues 9-14'!I109</f>
        <v>13820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279746</v>
      </c>
      <c r="D6" s="1607">
        <f>'Revenues 9-14'!D170</f>
        <v>0</v>
      </c>
      <c r="E6" s="1607">
        <f>'Revenues 9-14'!E170</f>
        <v>0</v>
      </c>
      <c r="F6" s="1607">
        <f>'Revenues 9-14'!F170</f>
        <v>71410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162530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4697523</v>
      </c>
      <c r="D8" s="1594">
        <f t="shared" ref="D8:K8" si="0">SUM(D4:D7)</f>
        <v>579097</v>
      </c>
      <c r="E8" s="1594">
        <f t="shared" si="0"/>
        <v>1065157</v>
      </c>
      <c r="F8" s="1594">
        <f t="shared" si="0"/>
        <v>181171</v>
      </c>
      <c r="G8" s="1594">
        <f t="shared" si="0"/>
        <v>255177</v>
      </c>
      <c r="H8" s="1594">
        <f t="shared" si="0"/>
        <v>75170</v>
      </c>
      <c r="I8" s="1594">
        <f t="shared" si="0"/>
        <v>13820</v>
      </c>
      <c r="J8" s="1594">
        <f t="shared" si="0"/>
        <v>0</v>
      </c>
      <c r="K8" s="1594">
        <f t="shared" si="0"/>
        <v>0</v>
      </c>
      <c r="L8" s="325"/>
    </row>
    <row r="9" spans="1:13" ht="15.75" thickTop="1" x14ac:dyDescent="0.2">
      <c r="A9" s="449" t="s">
        <v>1634</v>
      </c>
      <c r="B9" s="450">
        <v>3998</v>
      </c>
      <c r="C9" s="1586">
        <v>2105312</v>
      </c>
      <c r="D9" s="1613"/>
      <c r="E9" s="1586"/>
      <c r="F9" s="1586"/>
      <c r="G9" s="1614"/>
      <c r="H9" s="1586"/>
      <c r="I9" s="1609" t="s">
        <v>1159</v>
      </c>
      <c r="J9" s="1583"/>
      <c r="K9" s="1586"/>
      <c r="L9" s="325"/>
    </row>
    <row r="10" spans="1:13" s="452" customFormat="1" ht="13.5" thickBot="1" x14ac:dyDescent="0.25">
      <c r="A10" s="1426" t="s">
        <v>1163</v>
      </c>
      <c r="B10" s="1407"/>
      <c r="C10" s="1594">
        <f>SUM(C8:C9)</f>
        <v>6802835</v>
      </c>
      <c r="D10" s="1594">
        <f t="shared" ref="D10:K10" si="1">SUM(D8:D9)</f>
        <v>579097</v>
      </c>
      <c r="E10" s="1594">
        <f t="shared" si="1"/>
        <v>1065157</v>
      </c>
      <c r="F10" s="1594">
        <f t="shared" si="1"/>
        <v>181171</v>
      </c>
      <c r="G10" s="1594">
        <f t="shared" si="1"/>
        <v>255177</v>
      </c>
      <c r="H10" s="1594">
        <f t="shared" si="1"/>
        <v>75170</v>
      </c>
      <c r="I10" s="1594">
        <f t="shared" si="1"/>
        <v>13820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2650585</v>
      </c>
      <c r="D12" s="1616" t="s">
        <v>1159</v>
      </c>
      <c r="E12" s="1575" t="s">
        <v>1159</v>
      </c>
      <c r="F12" s="1575" t="s">
        <v>1159</v>
      </c>
      <c r="G12" s="1606">
        <f>'Expenditures 15-22'!K229</f>
        <v>61550</v>
      </c>
      <c r="H12" s="1617"/>
      <c r="I12" s="1575" t="s">
        <v>1159</v>
      </c>
      <c r="J12" s="1575" t="s">
        <v>1159</v>
      </c>
      <c r="K12" s="1617" t="s">
        <v>1159</v>
      </c>
      <c r="L12" s="325"/>
    </row>
    <row r="13" spans="1:13" ht="15.75" customHeight="1" x14ac:dyDescent="0.2">
      <c r="A13" s="1314" t="s">
        <v>454</v>
      </c>
      <c r="B13" s="1316">
        <v>2000</v>
      </c>
      <c r="C13" s="1607">
        <f>'Expenditures 15-22'!K74</f>
        <v>1391014</v>
      </c>
      <c r="D13" s="1607">
        <f>'Expenditures 15-22'!K129</f>
        <v>522441</v>
      </c>
      <c r="E13" s="1576" t="s">
        <v>1159</v>
      </c>
      <c r="F13" s="1607">
        <f>'Expenditures 15-22'!K184</f>
        <v>61331</v>
      </c>
      <c r="G13" s="1607">
        <f>'Expenditures 15-22'!K279</f>
        <v>88616</v>
      </c>
      <c r="H13" s="1607">
        <f>'Expenditures 15-22'!K303</f>
        <v>42117</v>
      </c>
      <c r="I13" s="1575" t="s">
        <v>1159</v>
      </c>
      <c r="J13" s="1607">
        <f>'Expenditures 15-22'!K330</f>
        <v>0</v>
      </c>
      <c r="K13" s="1618">
        <f>'Expenditures 15-22'!K352</f>
        <v>0</v>
      </c>
      <c r="L13" s="325"/>
    </row>
    <row r="14" spans="1:13" ht="15.75" customHeight="1" x14ac:dyDescent="0.2">
      <c r="A14" s="1314" t="s">
        <v>446</v>
      </c>
      <c r="B14" s="1316">
        <v>3000</v>
      </c>
      <c r="C14" s="1607">
        <f>'Expenditures 15-22'!K75</f>
        <v>9332</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207310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1037653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4258241</v>
      </c>
      <c r="D17" s="1594">
        <f t="shared" si="2"/>
        <v>522441</v>
      </c>
      <c r="E17" s="1594">
        <f t="shared" si="2"/>
        <v>1037653</v>
      </c>
      <c r="F17" s="1594">
        <f t="shared" si="2"/>
        <v>61331</v>
      </c>
      <c r="G17" s="1594">
        <f t="shared" si="2"/>
        <v>150166</v>
      </c>
      <c r="H17" s="1594">
        <f t="shared" si="2"/>
        <v>42117</v>
      </c>
      <c r="I17" s="1575"/>
      <c r="J17" s="1594">
        <f>SUM(J12:J16)</f>
        <v>0</v>
      </c>
      <c r="K17" s="1594">
        <f>SUM(K12:K16)</f>
        <v>0</v>
      </c>
      <c r="L17" s="325"/>
    </row>
    <row r="18" spans="1:12" ht="15" customHeight="1" thickTop="1" x14ac:dyDescent="0.2">
      <c r="A18" s="1430" t="s">
        <v>1635</v>
      </c>
      <c r="B18" s="1431">
        <v>4180</v>
      </c>
      <c r="C18" s="1606">
        <f t="shared" ref="C18:H18" si="3">C9</f>
        <v>2105312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6363553</v>
      </c>
      <c r="D19" s="1594">
        <f t="shared" si="4"/>
        <v>522441</v>
      </c>
      <c r="E19" s="1594">
        <f t="shared" si="4"/>
        <v>1037653</v>
      </c>
      <c r="F19" s="1594">
        <f t="shared" si="4"/>
        <v>61331</v>
      </c>
      <c r="G19" s="1594">
        <f t="shared" si="4"/>
        <v>150166</v>
      </c>
      <c r="H19" s="1594">
        <f t="shared" si="4"/>
        <v>42117</v>
      </c>
      <c r="I19" s="1575"/>
      <c r="J19" s="1594">
        <f>SUM(J17:J18)</f>
        <v>0</v>
      </c>
      <c r="K19" s="1594">
        <f>SUM(K17:K18)</f>
        <v>0</v>
      </c>
      <c r="L19" s="325"/>
    </row>
    <row r="20" spans="1:12" ht="16.5" thickTop="1" thickBot="1" x14ac:dyDescent="0.25">
      <c r="A20" s="2231" t="s">
        <v>1636</v>
      </c>
      <c r="B20" s="2232"/>
      <c r="C20" s="1622">
        <f>C8-C17</f>
        <v>439282</v>
      </c>
      <c r="D20" s="1622">
        <f t="shared" ref="D20:K20" si="5">D8-D17</f>
        <v>56656</v>
      </c>
      <c r="E20" s="1622">
        <f t="shared" si="5"/>
        <v>27504</v>
      </c>
      <c r="F20" s="1622">
        <f t="shared" si="5"/>
        <v>119840</v>
      </c>
      <c r="G20" s="1622">
        <f t="shared" si="5"/>
        <v>105011</v>
      </c>
      <c r="H20" s="1622">
        <f t="shared" si="5"/>
        <v>33053</v>
      </c>
      <c r="I20" s="1622">
        <f t="shared" si="5"/>
        <v>13820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10560</v>
      </c>
      <c r="F37" s="1580"/>
      <c r="G37" s="1580"/>
      <c r="H37" s="1580"/>
      <c r="I37" s="1582"/>
      <c r="J37" s="1580"/>
      <c r="K37" s="1580"/>
      <c r="L37" s="453"/>
    </row>
    <row r="38" spans="1:12" s="433" customFormat="1" x14ac:dyDescent="0.2">
      <c r="A38" s="1260" t="s">
        <v>439</v>
      </c>
      <c r="B38" s="454">
        <v>7500</v>
      </c>
      <c r="C38" s="1582"/>
      <c r="D38" s="1582"/>
      <c r="E38" s="1607">
        <f>SUM(C58:D61,H58:H61)</f>
        <v>2754</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13314</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v>10560</v>
      </c>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v>2754</v>
      </c>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13314</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-13314</v>
      </c>
      <c r="D77" s="1624">
        <f t="shared" si="8"/>
        <v>0</v>
      </c>
      <c r="E77" s="1624">
        <f t="shared" si="8"/>
        <v>13314</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425968</v>
      </c>
      <c r="D78" s="1629">
        <f t="shared" si="9"/>
        <v>56656</v>
      </c>
      <c r="E78" s="1629">
        <f t="shared" si="9"/>
        <v>40818</v>
      </c>
      <c r="F78" s="1629">
        <f t="shared" si="9"/>
        <v>119840</v>
      </c>
      <c r="G78" s="1629">
        <f t="shared" si="9"/>
        <v>105011</v>
      </c>
      <c r="H78" s="1629">
        <f t="shared" si="9"/>
        <v>33053</v>
      </c>
      <c r="I78" s="1629">
        <f t="shared" si="9"/>
        <v>13820</v>
      </c>
      <c r="J78" s="1629">
        <f t="shared" si="9"/>
        <v>0</v>
      </c>
      <c r="K78" s="1629">
        <f t="shared" si="9"/>
        <v>0</v>
      </c>
      <c r="L78" s="457"/>
    </row>
    <row r="79" spans="1:12" ht="13.5" thickTop="1" x14ac:dyDescent="0.2">
      <c r="A79" s="1844" t="str">
        <f>"Fund Balances - July 1, "&amp;'AFR20'!E2-1</f>
        <v>Fund Balances - July 1, 2019</v>
      </c>
      <c r="B79" s="458"/>
      <c r="C79" s="1583">
        <v>3086363</v>
      </c>
      <c r="D79" s="1630">
        <v>515133</v>
      </c>
      <c r="E79" s="1630">
        <v>669925</v>
      </c>
      <c r="F79" s="1630">
        <v>590</v>
      </c>
      <c r="G79" s="1630">
        <v>338502</v>
      </c>
      <c r="H79" s="1630">
        <v>134411</v>
      </c>
      <c r="I79" s="1630">
        <v>453364</v>
      </c>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3512331</v>
      </c>
      <c r="D81" s="1594">
        <f>SUM(D78:D80)</f>
        <v>571789</v>
      </c>
      <c r="E81" s="1594">
        <f t="shared" ref="E81:K81" si="10">SUM(E78:E80)</f>
        <v>710743</v>
      </c>
      <c r="F81" s="1594">
        <f t="shared" si="10"/>
        <v>120430</v>
      </c>
      <c r="G81" s="1594">
        <f t="shared" si="10"/>
        <v>443513</v>
      </c>
      <c r="H81" s="1594">
        <f t="shared" si="10"/>
        <v>167464</v>
      </c>
      <c r="I81" s="1594">
        <f t="shared" si="10"/>
        <v>467184</v>
      </c>
      <c r="J81" s="1594">
        <f t="shared" si="10"/>
        <v>0</v>
      </c>
      <c r="K81" s="1594">
        <f t="shared" si="10"/>
        <v>0</v>
      </c>
      <c r="L81" s="325"/>
    </row>
    <row r="82" spans="1:12" ht="0.75" customHeight="1" thickTop="1" thickBot="1" x14ac:dyDescent="0.25">
      <c r="A82" s="459" t="s">
        <v>340</v>
      </c>
      <c r="B82" s="460"/>
      <c r="C82" s="461">
        <f>(C81-C79)</f>
        <v>425968</v>
      </c>
      <c r="D82" s="461">
        <f t="shared" ref="D82:K82" si="11">(D81-D79)</f>
        <v>56656</v>
      </c>
      <c r="E82" s="461">
        <f t="shared" si="11"/>
        <v>40818</v>
      </c>
      <c r="F82" s="461">
        <f t="shared" si="11"/>
        <v>119840</v>
      </c>
      <c r="G82" s="461">
        <f t="shared" si="11"/>
        <v>105011</v>
      </c>
      <c r="H82" s="461">
        <f t="shared" si="11"/>
        <v>33053</v>
      </c>
      <c r="I82" s="461">
        <f t="shared" si="11"/>
        <v>13820</v>
      </c>
      <c r="J82" s="461">
        <f t="shared" si="11"/>
        <v>0</v>
      </c>
      <c r="K82" s="461">
        <f t="shared" si="11"/>
        <v>0</v>
      </c>
    </row>
    <row r="83" spans="1:12" ht="14.25" hidden="1" thickTop="1" thickBot="1" x14ac:dyDescent="0.25">
      <c r="A83" s="462" t="s">
        <v>341</v>
      </c>
      <c r="B83" s="428"/>
      <c r="C83" s="463">
        <f>C82/C81</f>
        <v>0.12127786361820683</v>
      </c>
      <c r="D83" s="463">
        <f t="shared" ref="D83:K83" si="12">D82/D81</f>
        <v>9.9085501819727209E-2</v>
      </c>
      <c r="E83" s="463">
        <f t="shared" si="12"/>
        <v>5.7430041519930551E-2</v>
      </c>
      <c r="F83" s="463">
        <f t="shared" si="12"/>
        <v>0.9951008884829361</v>
      </c>
      <c r="G83" s="463">
        <f t="shared" si="12"/>
        <v>0.2367709627451732</v>
      </c>
      <c r="H83" s="463">
        <f t="shared" si="12"/>
        <v>0.19737376391343811</v>
      </c>
      <c r="I83" s="463">
        <f t="shared" si="12"/>
        <v>2.9581492516867015E-2</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3228482</v>
      </c>
      <c r="D5" s="1586">
        <v>563394</v>
      </c>
      <c r="E5" s="1573">
        <v>1052309</v>
      </c>
      <c r="F5" s="1631">
        <v>109752</v>
      </c>
      <c r="G5" s="1573">
        <f>64331+62793</f>
        <v>127124</v>
      </c>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539022</v>
      </c>
      <c r="D7" s="1573"/>
      <c r="E7" s="1575"/>
      <c r="F7" s="1574"/>
      <c r="G7" s="1574"/>
      <c r="H7" s="1574"/>
      <c r="I7" s="1575"/>
      <c r="J7" s="1575"/>
      <c r="K7" s="1575"/>
    </row>
    <row r="8" spans="1:12" x14ac:dyDescent="0.2">
      <c r="A8" s="427" t="s">
        <v>410</v>
      </c>
      <c r="B8" s="429">
        <v>1150</v>
      </c>
      <c r="C8" s="1580"/>
      <c r="D8" s="1580"/>
      <c r="E8" s="1582"/>
      <c r="F8" s="1582"/>
      <c r="G8" s="1586">
        <f>42014+38717</f>
        <v>80731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3767504</v>
      </c>
      <c r="D12" s="1633">
        <f t="shared" si="0"/>
        <v>563394</v>
      </c>
      <c r="E12" s="1633">
        <f t="shared" si="0"/>
        <v>1052309</v>
      </c>
      <c r="F12" s="1633">
        <f t="shared" si="0"/>
        <v>109752</v>
      </c>
      <c r="G12" s="1633">
        <f t="shared" si="0"/>
        <v>207855</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1000</v>
      </c>
      <c r="D16" s="1573"/>
      <c r="E16" s="1573"/>
      <c r="F16" s="1573"/>
      <c r="G16" s="1573">
        <v>37004</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1000</v>
      </c>
      <c r="D18" s="1635">
        <f t="shared" ref="D18:K18" si="1">SUM(D14:D17)</f>
        <v>0</v>
      </c>
      <c r="E18" s="1635">
        <f t="shared" si="1"/>
        <v>0</v>
      </c>
      <c r="F18" s="1635">
        <f t="shared" si="1"/>
        <v>0</v>
      </c>
      <c r="G18" s="1635">
        <f t="shared" si="1"/>
        <v>37004</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v>31914</v>
      </c>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31914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94182</v>
      </c>
      <c r="D65" s="1573">
        <v>15703</v>
      </c>
      <c r="E65" s="1573">
        <v>12848</v>
      </c>
      <c r="F65" s="1574">
        <v>9</v>
      </c>
      <c r="G65" s="1573">
        <v>10318</v>
      </c>
      <c r="H65" s="1573">
        <v>6359</v>
      </c>
      <c r="I65" s="1573">
        <v>13820</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94182</v>
      </c>
      <c r="D67" s="1594">
        <f t="shared" ref="D67:K67" si="2">SUM(D65:D66)</f>
        <v>15703</v>
      </c>
      <c r="E67" s="1594">
        <f t="shared" si="2"/>
        <v>12848</v>
      </c>
      <c r="F67" s="1594">
        <f t="shared" si="2"/>
        <v>9</v>
      </c>
      <c r="G67" s="1594">
        <f t="shared" si="2"/>
        <v>10318</v>
      </c>
      <c r="H67" s="1594">
        <f t="shared" si="2"/>
        <v>6359</v>
      </c>
      <c r="I67" s="1594">
        <f t="shared" si="2"/>
        <v>13820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53670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53670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170731</v>
      </c>
      <c r="D95" s="1632"/>
      <c r="E95" s="1617"/>
      <c r="F95" s="1617"/>
      <c r="G95" s="1617"/>
      <c r="H95" s="1617"/>
      <c r="I95" s="1617"/>
      <c r="J95" s="1617"/>
      <c r="K95" s="1617"/>
    </row>
    <row r="96" spans="1:11" ht="12.75" customHeight="1" x14ac:dyDescent="0.2">
      <c r="A96" s="427" t="s">
        <v>388</v>
      </c>
      <c r="B96" s="429">
        <v>1920</v>
      </c>
      <c r="C96" s="1632">
        <v>72805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63441</v>
      </c>
      <c r="D107" s="1573"/>
      <c r="E107" s="1573"/>
      <c r="F107" s="1573"/>
      <c r="G107" s="1573"/>
      <c r="H107" s="1573">
        <v>68811</v>
      </c>
      <c r="I107" s="1573"/>
      <c r="J107" s="1574"/>
      <c r="K107" s="1573"/>
    </row>
    <row r="108" spans="1:12" ht="12.75" customHeight="1" thickBot="1" x14ac:dyDescent="0.25">
      <c r="A108" s="1406" t="s">
        <v>484</v>
      </c>
      <c r="B108" s="1408"/>
      <c r="C108" s="1633">
        <f>SUM(C95:C107)</f>
        <v>306977</v>
      </c>
      <c r="D108" s="1633">
        <f t="shared" ref="D108:K108" si="3">SUM(D95:D107)</f>
        <v>0</v>
      </c>
      <c r="E108" s="1633">
        <f t="shared" si="3"/>
        <v>0</v>
      </c>
      <c r="F108" s="1633">
        <f t="shared" si="3"/>
        <v>0</v>
      </c>
      <c r="G108" s="1633">
        <f t="shared" si="3"/>
        <v>0</v>
      </c>
      <c r="H108" s="1633">
        <f t="shared" si="3"/>
        <v>68811</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4255247</v>
      </c>
      <c r="D109" s="1641">
        <f t="shared" si="4"/>
        <v>579097</v>
      </c>
      <c r="E109" s="1641">
        <f t="shared" si="4"/>
        <v>1065157</v>
      </c>
      <c r="F109" s="1641">
        <f t="shared" si="4"/>
        <v>109761</v>
      </c>
      <c r="G109" s="1641">
        <f t="shared" si="4"/>
        <v>255177</v>
      </c>
      <c r="H109" s="1641">
        <f t="shared" si="4"/>
        <v>75170</v>
      </c>
      <c r="I109" s="1641">
        <f t="shared" si="4"/>
        <v>13820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278778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278778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218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v>71410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71410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968</v>
      </c>
      <c r="D169" s="1658">
        <f t="shared" si="6"/>
        <v>0</v>
      </c>
      <c r="E169" s="1658">
        <f t="shared" si="6"/>
        <v>0</v>
      </c>
      <c r="F169" s="1658">
        <f t="shared" si="6"/>
        <v>71410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279746</v>
      </c>
      <c r="D170" s="1641">
        <f t="shared" si="7"/>
        <v>0</v>
      </c>
      <c r="E170" s="1641">
        <f t="shared" si="7"/>
        <v>0</v>
      </c>
      <c r="F170" s="1641">
        <f t="shared" si="7"/>
        <v>71410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v>2572</v>
      </c>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2572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39060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39060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9578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9578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2797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83864</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86661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8031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6657</v>
      </c>
      <c r="D263" s="1651"/>
      <c r="E263" s="1575"/>
      <c r="F263" s="1651"/>
      <c r="G263" s="1651"/>
      <c r="H263" s="1575"/>
      <c r="I263" s="1575"/>
      <c r="J263" s="1575"/>
      <c r="K263" s="1575"/>
    </row>
    <row r="264" spans="1:11" ht="12.75" customHeight="1" thickTop="1" thickBot="1" x14ac:dyDescent="0.25">
      <c r="A264" s="427" t="s">
        <v>374</v>
      </c>
      <c r="B264" s="429">
        <v>4992</v>
      </c>
      <c r="C264" s="1650">
        <v>9971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162530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162530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4697523</v>
      </c>
      <c r="D268" s="1641">
        <f t="shared" si="12"/>
        <v>579097</v>
      </c>
      <c r="E268" s="1641">
        <f t="shared" si="12"/>
        <v>1065157</v>
      </c>
      <c r="F268" s="1641">
        <f t="shared" si="12"/>
        <v>181171</v>
      </c>
      <c r="G268" s="1641">
        <f t="shared" si="12"/>
        <v>255177</v>
      </c>
      <c r="H268" s="1641">
        <f t="shared" si="12"/>
        <v>75170</v>
      </c>
      <c r="I268" s="1641">
        <f t="shared" si="12"/>
        <v>13820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3" activePane="bottomLeft" state="frozen"/>
      <selection pane="bottomLeft" activeCell="L302" sqref="L30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1784518</v>
      </c>
      <c r="D5" s="1573">
        <v>153334</v>
      </c>
      <c r="E5" s="1573">
        <v>9875</v>
      </c>
      <c r="F5" s="1573">
        <v>57506</v>
      </c>
      <c r="G5" s="1573"/>
      <c r="H5" s="1573"/>
      <c r="I5" s="1574"/>
      <c r="J5" s="1574"/>
      <c r="K5" s="1672">
        <f>SUM(C5:J5)</f>
        <v>2005233</v>
      </c>
      <c r="L5" s="1573">
        <v>2010780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493741</v>
      </c>
      <c r="D8" s="1573">
        <v>58578</v>
      </c>
      <c r="E8" s="1573">
        <v>735</v>
      </c>
      <c r="F8" s="1573">
        <v>4773</v>
      </c>
      <c r="G8" s="1573"/>
      <c r="H8" s="1573"/>
      <c r="I8" s="1574"/>
      <c r="J8" s="1574"/>
      <c r="K8" s="1672">
        <f t="shared" si="0"/>
        <v>557827</v>
      </c>
      <c r="L8" s="1573">
        <v>623395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40930</v>
      </c>
      <c r="D10" s="1573">
        <v>8729</v>
      </c>
      <c r="E10" s="1573"/>
      <c r="F10" s="1573"/>
      <c r="G10" s="1573"/>
      <c r="H10" s="1573"/>
      <c r="I10" s="1574"/>
      <c r="J10" s="1574"/>
      <c r="K10" s="1672">
        <f t="shared" si="0"/>
        <v>49659</v>
      </c>
      <c r="L10" s="1573">
        <v>41065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32165</v>
      </c>
      <c r="D14" s="1573">
        <v>2255</v>
      </c>
      <c r="E14" s="1573">
        <v>1550</v>
      </c>
      <c r="F14" s="1573">
        <v>1896</v>
      </c>
      <c r="G14" s="1573"/>
      <c r="H14" s="1573"/>
      <c r="I14" s="1574"/>
      <c r="J14" s="1574"/>
      <c r="K14" s="1672">
        <f t="shared" si="0"/>
        <v>37866</v>
      </c>
      <c r="L14" s="1573">
        <v>47100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2351354</v>
      </c>
      <c r="D33" s="1674">
        <f t="shared" ref="D33:L33" si="1">SUM(D5:D32)</f>
        <v>222896</v>
      </c>
      <c r="E33" s="1674">
        <f t="shared" si="1"/>
        <v>12160</v>
      </c>
      <c r="F33" s="1674">
        <f t="shared" si="1"/>
        <v>64175</v>
      </c>
      <c r="G33" s="1674">
        <f t="shared" si="1"/>
        <v>0</v>
      </c>
      <c r="H33" s="1674">
        <f t="shared" si="1"/>
        <v>0</v>
      </c>
      <c r="I33" s="1674">
        <f t="shared" si="1"/>
        <v>0</v>
      </c>
      <c r="J33" s="1674">
        <f t="shared" si="1"/>
        <v>0</v>
      </c>
      <c r="K33" s="1674">
        <f t="shared" si="1"/>
        <v>2650585</v>
      </c>
      <c r="L33" s="1674">
        <f t="shared" si="1"/>
        <v>2722340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5146</v>
      </c>
      <c r="F36" s="1586">
        <v>200</v>
      </c>
      <c r="G36" s="1586"/>
      <c r="H36" s="1586"/>
      <c r="I36" s="1574"/>
      <c r="J36" s="1574"/>
      <c r="K36" s="1672">
        <f t="shared" ref="K36:K41" si="2">SUM(C36:J36)</f>
        <v>5346</v>
      </c>
      <c r="L36" s="1573">
        <v>7026</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59512</v>
      </c>
      <c r="D38" s="1573">
        <v>8859</v>
      </c>
      <c r="E38" s="1573"/>
      <c r="F38" s="1573">
        <v>1895</v>
      </c>
      <c r="G38" s="1573"/>
      <c r="H38" s="1573"/>
      <c r="I38" s="1574"/>
      <c r="J38" s="1574"/>
      <c r="K38" s="1672">
        <f t="shared" si="2"/>
        <v>70266</v>
      </c>
      <c r="L38" s="1573">
        <v>69360</v>
      </c>
    </row>
    <row r="39" spans="1:14" x14ac:dyDescent="0.2">
      <c r="A39" s="1274" t="s">
        <v>197</v>
      </c>
      <c r="B39" s="503">
        <v>2140</v>
      </c>
      <c r="C39" s="1573"/>
      <c r="D39" s="1573"/>
      <c r="E39" s="1573"/>
      <c r="F39" s="1573"/>
      <c r="G39" s="1573"/>
      <c r="H39" s="1573"/>
      <c r="I39" s="1574"/>
      <c r="J39" s="1574"/>
      <c r="K39" s="1672">
        <f t="shared" si="2"/>
        <v>0</v>
      </c>
      <c r="L39" s="1573">
        <v>100</v>
      </c>
    </row>
    <row r="40" spans="1:14" x14ac:dyDescent="0.2">
      <c r="A40" s="1274" t="s">
        <v>198</v>
      </c>
      <c r="B40" s="503">
        <v>2150</v>
      </c>
      <c r="C40" s="1573"/>
      <c r="D40" s="1573"/>
      <c r="E40" s="1573">
        <v>70661</v>
      </c>
      <c r="F40" s="1573">
        <v>342</v>
      </c>
      <c r="G40" s="1573"/>
      <c r="H40" s="1573"/>
      <c r="I40" s="1574"/>
      <c r="J40" s="1574"/>
      <c r="K40" s="1672">
        <f t="shared" si="2"/>
        <v>71003</v>
      </c>
      <c r="L40" s="1573">
        <v>55330</v>
      </c>
    </row>
    <row r="41" spans="1:14" x14ac:dyDescent="0.2">
      <c r="A41" s="1274" t="s">
        <v>1650</v>
      </c>
      <c r="B41" s="503">
        <v>2190</v>
      </c>
      <c r="C41" s="1573">
        <v>55161</v>
      </c>
      <c r="D41" s="1573">
        <v>4930</v>
      </c>
      <c r="E41" s="1573"/>
      <c r="F41" s="1573"/>
      <c r="G41" s="1573"/>
      <c r="H41" s="1573"/>
      <c r="I41" s="1574"/>
      <c r="J41" s="1574"/>
      <c r="K41" s="1672">
        <f t="shared" si="2"/>
        <v>60091</v>
      </c>
      <c r="L41" s="1573">
        <v>63250</v>
      </c>
    </row>
    <row r="42" spans="1:14" ht="12.75" customHeight="1" thickBot="1" x14ac:dyDescent="0.25">
      <c r="A42" s="1380" t="s">
        <v>556</v>
      </c>
      <c r="B42" s="1381" t="s">
        <v>711</v>
      </c>
      <c r="C42" s="1674">
        <f>SUM(C36:C41)</f>
        <v>114673</v>
      </c>
      <c r="D42" s="1674">
        <f t="shared" ref="D42:L42" si="3">SUM(D36:D41)</f>
        <v>13789</v>
      </c>
      <c r="E42" s="1674">
        <f t="shared" si="3"/>
        <v>75807</v>
      </c>
      <c r="F42" s="1674">
        <f t="shared" si="3"/>
        <v>2437</v>
      </c>
      <c r="G42" s="1674">
        <f t="shared" si="3"/>
        <v>0</v>
      </c>
      <c r="H42" s="1674">
        <f t="shared" si="3"/>
        <v>0</v>
      </c>
      <c r="I42" s="1674">
        <f t="shared" si="3"/>
        <v>0</v>
      </c>
      <c r="J42" s="1674">
        <f t="shared" si="3"/>
        <v>0</v>
      </c>
      <c r="K42" s="1674">
        <f t="shared" si="3"/>
        <v>206706</v>
      </c>
      <c r="L42" s="1674">
        <f t="shared" si="3"/>
        <v>195066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4374</v>
      </c>
      <c r="D44" s="1586">
        <v>291</v>
      </c>
      <c r="E44" s="1586">
        <v>15660</v>
      </c>
      <c r="F44" s="1586">
        <v>1607</v>
      </c>
      <c r="G44" s="1586"/>
      <c r="H44" s="1586"/>
      <c r="I44" s="1574"/>
      <c r="J44" s="1574"/>
      <c r="K44" s="1678">
        <f>SUM(C44:J44)</f>
        <v>21932</v>
      </c>
      <c r="L44" s="1586">
        <v>21450</v>
      </c>
    </row>
    <row r="45" spans="1:14" x14ac:dyDescent="0.2">
      <c r="A45" s="1274" t="s">
        <v>810</v>
      </c>
      <c r="B45" s="503">
        <v>2220</v>
      </c>
      <c r="C45" s="1573">
        <v>30894</v>
      </c>
      <c r="D45" s="1573">
        <v>13767</v>
      </c>
      <c r="E45" s="1573"/>
      <c r="F45" s="1573">
        <v>6629</v>
      </c>
      <c r="G45" s="1573"/>
      <c r="H45" s="1573"/>
      <c r="I45" s="1574"/>
      <c r="J45" s="1574"/>
      <c r="K45" s="1678">
        <f>SUM(C45:J45)</f>
        <v>51290</v>
      </c>
      <c r="L45" s="1573">
        <v>53760</v>
      </c>
    </row>
    <row r="46" spans="1:14" x14ac:dyDescent="0.2">
      <c r="A46" s="1274" t="s">
        <v>811</v>
      </c>
      <c r="B46" s="503">
        <v>2230</v>
      </c>
      <c r="C46" s="1573"/>
      <c r="D46" s="1573"/>
      <c r="E46" s="1573">
        <v>5063</v>
      </c>
      <c r="F46" s="1573"/>
      <c r="G46" s="1573"/>
      <c r="H46" s="1573"/>
      <c r="I46" s="1574"/>
      <c r="J46" s="1574"/>
      <c r="K46" s="1678">
        <f>SUM(C46:J46)</f>
        <v>5063</v>
      </c>
      <c r="L46" s="1573">
        <v>8000</v>
      </c>
    </row>
    <row r="47" spans="1:14" ht="12.75" customHeight="1" thickBot="1" x14ac:dyDescent="0.25">
      <c r="A47" s="1380" t="s">
        <v>557</v>
      </c>
      <c r="B47" s="1381" t="s">
        <v>32</v>
      </c>
      <c r="C47" s="1674">
        <f>SUM(C44:C46)</f>
        <v>35268</v>
      </c>
      <c r="D47" s="1674">
        <f t="shared" ref="D47:K47" si="4">SUM(D44:D46)</f>
        <v>14058</v>
      </c>
      <c r="E47" s="1674">
        <f t="shared" si="4"/>
        <v>20723</v>
      </c>
      <c r="F47" s="1674">
        <f t="shared" si="4"/>
        <v>8236</v>
      </c>
      <c r="G47" s="1674">
        <f t="shared" si="4"/>
        <v>0</v>
      </c>
      <c r="H47" s="1674">
        <f t="shared" si="4"/>
        <v>0</v>
      </c>
      <c r="I47" s="1674">
        <f t="shared" si="4"/>
        <v>0</v>
      </c>
      <c r="J47" s="1674">
        <f t="shared" si="4"/>
        <v>0</v>
      </c>
      <c r="K47" s="1674">
        <f t="shared" si="4"/>
        <v>78285</v>
      </c>
      <c r="L47" s="1674">
        <f>SUM(L44:L46)</f>
        <v>83210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15</v>
      </c>
      <c r="E49" s="1586">
        <v>100388</v>
      </c>
      <c r="F49" s="1586">
        <v>1253</v>
      </c>
      <c r="G49" s="1586"/>
      <c r="H49" s="1586">
        <v>7249</v>
      </c>
      <c r="I49" s="1574"/>
      <c r="J49" s="1574"/>
      <c r="K49" s="1678">
        <f>SUM(C49:J49)</f>
        <v>108905</v>
      </c>
      <c r="L49" s="1586">
        <v>71750</v>
      </c>
    </row>
    <row r="50" spans="1:14" x14ac:dyDescent="0.2">
      <c r="A50" s="1274" t="s">
        <v>813</v>
      </c>
      <c r="B50" s="503">
        <v>2320</v>
      </c>
      <c r="C50" s="1573">
        <v>239567</v>
      </c>
      <c r="D50" s="1573">
        <v>42069</v>
      </c>
      <c r="E50" s="1573">
        <v>804</v>
      </c>
      <c r="F50" s="1573"/>
      <c r="G50" s="1573"/>
      <c r="H50" s="1573">
        <v>1801</v>
      </c>
      <c r="I50" s="1574"/>
      <c r="J50" s="1574"/>
      <c r="K50" s="1678">
        <f>SUM(C50:J50)</f>
        <v>284241</v>
      </c>
      <c r="L50" s="1573">
        <v>294350</v>
      </c>
    </row>
    <row r="51" spans="1:14" x14ac:dyDescent="0.2">
      <c r="A51" s="1274" t="s">
        <v>42</v>
      </c>
      <c r="B51" s="503">
        <v>2330</v>
      </c>
      <c r="C51" s="1573">
        <v>66867</v>
      </c>
      <c r="D51" s="1573"/>
      <c r="E51" s="1573">
        <v>749</v>
      </c>
      <c r="F51" s="1573"/>
      <c r="G51" s="1573"/>
      <c r="H51" s="1573"/>
      <c r="I51" s="1574"/>
      <c r="J51" s="1574"/>
      <c r="K51" s="1678">
        <f>SUM(C51:J51)</f>
        <v>67616</v>
      </c>
      <c r="L51" s="1573">
        <v>67500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306434</v>
      </c>
      <c r="D53" s="1674">
        <f t="shared" ref="D53:L53" si="5">SUM(D49:D52)</f>
        <v>42084</v>
      </c>
      <c r="E53" s="1674">
        <f t="shared" si="5"/>
        <v>101941</v>
      </c>
      <c r="F53" s="1674">
        <f t="shared" si="5"/>
        <v>1253</v>
      </c>
      <c r="G53" s="1674">
        <f t="shared" si="5"/>
        <v>0</v>
      </c>
      <c r="H53" s="1674">
        <f t="shared" si="5"/>
        <v>9050</v>
      </c>
      <c r="I53" s="1674">
        <f t="shared" si="5"/>
        <v>0</v>
      </c>
      <c r="J53" s="1674">
        <f t="shared" si="5"/>
        <v>0</v>
      </c>
      <c r="K53" s="1674">
        <f t="shared" si="5"/>
        <v>460762</v>
      </c>
      <c r="L53" s="1674">
        <f t="shared" si="5"/>
        <v>433600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194252</v>
      </c>
      <c r="D55" s="1586">
        <v>34174</v>
      </c>
      <c r="E55" s="1586">
        <v>225</v>
      </c>
      <c r="F55" s="1586"/>
      <c r="G55" s="1586"/>
      <c r="H55" s="1586">
        <v>399</v>
      </c>
      <c r="I55" s="1574"/>
      <c r="J55" s="1574"/>
      <c r="K55" s="1678">
        <f>SUM(C55:J55)</f>
        <v>229050</v>
      </c>
      <c r="L55" s="1586">
        <v>239550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194252</v>
      </c>
      <c r="D57" s="1679">
        <f t="shared" ref="D57:K57" si="6">SUM(D55:D56)</f>
        <v>34174</v>
      </c>
      <c r="E57" s="1679">
        <f t="shared" si="6"/>
        <v>225</v>
      </c>
      <c r="F57" s="1679">
        <f t="shared" si="6"/>
        <v>0</v>
      </c>
      <c r="G57" s="1679">
        <f t="shared" si="6"/>
        <v>0</v>
      </c>
      <c r="H57" s="1679">
        <f t="shared" si="6"/>
        <v>399</v>
      </c>
      <c r="I57" s="1679">
        <f t="shared" si="6"/>
        <v>0</v>
      </c>
      <c r="J57" s="1679">
        <f t="shared" si="6"/>
        <v>0</v>
      </c>
      <c r="K57" s="1679">
        <f t="shared" si="6"/>
        <v>229050</v>
      </c>
      <c r="L57" s="1674">
        <f>SUM(L55:L56)</f>
        <v>239550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39000</v>
      </c>
      <c r="D59" s="1586"/>
      <c r="E59" s="1586">
        <v>5000</v>
      </c>
      <c r="F59" s="1586"/>
      <c r="G59" s="1586"/>
      <c r="H59" s="1586"/>
      <c r="I59" s="1574"/>
      <c r="J59" s="1574"/>
      <c r="K59" s="1678">
        <f t="shared" ref="K59:K64" si="7">SUM(C59:J59)</f>
        <v>44000</v>
      </c>
      <c r="L59" s="1586">
        <v>44000</v>
      </c>
      <c r="M59" s="501"/>
      <c r="N59" s="501"/>
    </row>
    <row r="60" spans="1:14" s="321" customFormat="1" x14ac:dyDescent="0.2">
      <c r="A60" s="1274" t="s">
        <v>460</v>
      </c>
      <c r="B60" s="503">
        <v>2520</v>
      </c>
      <c r="C60" s="1573">
        <v>104409</v>
      </c>
      <c r="D60" s="1573">
        <v>14033</v>
      </c>
      <c r="E60" s="1573">
        <v>7016</v>
      </c>
      <c r="F60" s="1573"/>
      <c r="G60" s="1573"/>
      <c r="H60" s="1573"/>
      <c r="I60" s="1574"/>
      <c r="J60" s="1574"/>
      <c r="K60" s="1678">
        <f t="shared" si="7"/>
        <v>125458</v>
      </c>
      <c r="L60" s="1573">
        <v>128850</v>
      </c>
      <c r="M60" s="501"/>
      <c r="N60" s="501"/>
    </row>
    <row r="61" spans="1:14" s="321" customFormat="1" x14ac:dyDescent="0.2">
      <c r="A61" s="1274" t="s">
        <v>195</v>
      </c>
      <c r="B61" s="503">
        <v>2540</v>
      </c>
      <c r="C61" s="1573"/>
      <c r="D61" s="1573"/>
      <c r="E61" s="1573">
        <v>8768</v>
      </c>
      <c r="F61" s="1573">
        <v>10153</v>
      </c>
      <c r="G61" s="1573"/>
      <c r="H61" s="1573"/>
      <c r="I61" s="1574"/>
      <c r="J61" s="1574"/>
      <c r="K61" s="1678">
        <f t="shared" si="7"/>
        <v>18921</v>
      </c>
      <c r="L61" s="1573">
        <v>44000</v>
      </c>
      <c r="M61" s="501"/>
      <c r="N61" s="501"/>
    </row>
    <row r="62" spans="1:14" s="321" customFormat="1" x14ac:dyDescent="0.2">
      <c r="A62" s="1274" t="s">
        <v>947</v>
      </c>
      <c r="B62" s="503">
        <v>2550</v>
      </c>
      <c r="C62" s="1573"/>
      <c r="D62" s="1573"/>
      <c r="E62" s="1573">
        <v>23805</v>
      </c>
      <c r="F62" s="1573"/>
      <c r="G62" s="1573"/>
      <c r="H62" s="1573"/>
      <c r="I62" s="1574"/>
      <c r="J62" s="1574"/>
      <c r="K62" s="1678">
        <f t="shared" si="7"/>
        <v>23805</v>
      </c>
      <c r="L62" s="1573">
        <v>16000</v>
      </c>
      <c r="M62" s="501"/>
      <c r="N62" s="501"/>
    </row>
    <row r="63" spans="1:14" s="501" customFormat="1" x14ac:dyDescent="0.2">
      <c r="A63" s="1274" t="s">
        <v>100</v>
      </c>
      <c r="B63" s="503">
        <v>2560</v>
      </c>
      <c r="C63" s="1573"/>
      <c r="D63" s="1573"/>
      <c r="E63" s="1573">
        <v>15482</v>
      </c>
      <c r="F63" s="1573"/>
      <c r="G63" s="1573"/>
      <c r="H63" s="1573"/>
      <c r="I63" s="1574"/>
      <c r="J63" s="1574"/>
      <c r="K63" s="1678">
        <f t="shared" si="7"/>
        <v>15482</v>
      </c>
      <c r="L63" s="1573">
        <v>16000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143409</v>
      </c>
      <c r="D65" s="1674">
        <f t="shared" ref="D65:L65" si="8">SUM(D59:D64)</f>
        <v>14033</v>
      </c>
      <c r="E65" s="1674">
        <f t="shared" si="8"/>
        <v>60071</v>
      </c>
      <c r="F65" s="1674">
        <f t="shared" si="8"/>
        <v>10153</v>
      </c>
      <c r="G65" s="1674">
        <f t="shared" si="8"/>
        <v>0</v>
      </c>
      <c r="H65" s="1674">
        <f t="shared" si="8"/>
        <v>0</v>
      </c>
      <c r="I65" s="1674">
        <f t="shared" si="8"/>
        <v>0</v>
      </c>
      <c r="J65" s="1674">
        <f t="shared" si="8"/>
        <v>0</v>
      </c>
      <c r="K65" s="1674">
        <f t="shared" si="8"/>
        <v>227666</v>
      </c>
      <c r="L65" s="1674">
        <f t="shared" si="8"/>
        <v>248850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7691</v>
      </c>
      <c r="F69" s="1573"/>
      <c r="G69" s="1573"/>
      <c r="H69" s="1573"/>
      <c r="I69" s="1574"/>
      <c r="J69" s="1574"/>
      <c r="K69" s="1678">
        <f>SUM(C69:J69)</f>
        <v>7691</v>
      </c>
      <c r="L69" s="1573">
        <v>8100</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170604</v>
      </c>
      <c r="F71" s="1573"/>
      <c r="G71" s="1573"/>
      <c r="H71" s="1573"/>
      <c r="I71" s="1574">
        <v>10250</v>
      </c>
      <c r="J71" s="1574"/>
      <c r="K71" s="1678">
        <f>SUM(C71:J71)</f>
        <v>180854</v>
      </c>
      <c r="L71" s="1573">
        <v>175000</v>
      </c>
      <c r="M71" s="501"/>
      <c r="N71" s="501"/>
    </row>
    <row r="72" spans="1:14" s="321" customFormat="1" ht="12.75" customHeight="1" thickBot="1" x14ac:dyDescent="0.25">
      <c r="A72" s="1380" t="s">
        <v>37</v>
      </c>
      <c r="B72" s="1383" t="s">
        <v>36</v>
      </c>
      <c r="C72" s="1674">
        <f>SUM(C67:C71)</f>
        <v>0</v>
      </c>
      <c r="D72" s="1674">
        <f t="shared" ref="D72:K72" si="9">SUM(D67:D71)</f>
        <v>0</v>
      </c>
      <c r="E72" s="1674">
        <f t="shared" si="9"/>
        <v>178295</v>
      </c>
      <c r="F72" s="1674">
        <f t="shared" si="9"/>
        <v>0</v>
      </c>
      <c r="G72" s="1674">
        <f t="shared" si="9"/>
        <v>0</v>
      </c>
      <c r="H72" s="1674">
        <f t="shared" si="9"/>
        <v>0</v>
      </c>
      <c r="I72" s="1674">
        <f t="shared" si="9"/>
        <v>10250</v>
      </c>
      <c r="J72" s="1674">
        <f t="shared" si="9"/>
        <v>0</v>
      </c>
      <c r="K72" s="1674">
        <f t="shared" si="9"/>
        <v>188545</v>
      </c>
      <c r="L72" s="1674">
        <f>SUM(L67:L71)</f>
        <v>183100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794036</v>
      </c>
      <c r="D74" s="1681">
        <f t="shared" ref="D74:K74" si="10">SUM(D42,D47,D53,D57,D65,D72,D73)</f>
        <v>118138</v>
      </c>
      <c r="E74" s="1681">
        <f t="shared" si="10"/>
        <v>437062</v>
      </c>
      <c r="F74" s="1681">
        <f t="shared" si="10"/>
        <v>22079</v>
      </c>
      <c r="G74" s="1681">
        <f t="shared" si="10"/>
        <v>0</v>
      </c>
      <c r="H74" s="1681">
        <f t="shared" si="10"/>
        <v>9449</v>
      </c>
      <c r="I74" s="1681">
        <f t="shared" si="10"/>
        <v>10250</v>
      </c>
      <c r="J74" s="1681">
        <f t="shared" si="10"/>
        <v>0</v>
      </c>
      <c r="K74" s="1681">
        <f t="shared" si="10"/>
        <v>1391014</v>
      </c>
      <c r="L74" s="1681">
        <f>SUM(L42,L47,L53,L57,L65,L72,L73)</f>
        <v>1383376</v>
      </c>
    </row>
    <row r="75" spans="1:14" s="254" customFormat="1" ht="15.75" customHeight="1" thickTop="1" thickBot="1" x14ac:dyDescent="0.25">
      <c r="A75" s="1348" t="s">
        <v>47</v>
      </c>
      <c r="B75" s="1349" t="s">
        <v>571</v>
      </c>
      <c r="C75" s="1649"/>
      <c r="D75" s="1649"/>
      <c r="E75" s="1649">
        <v>9332</v>
      </c>
      <c r="F75" s="1649"/>
      <c r="G75" s="1649"/>
      <c r="H75" s="1649"/>
      <c r="I75" s="1627"/>
      <c r="J75" s="1627"/>
      <c r="K75" s="1674">
        <f>SUM(C75:J75)</f>
        <v>9332</v>
      </c>
      <c r="L75" s="1651">
        <v>10198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207310</v>
      </c>
      <c r="I86" s="1582"/>
      <c r="J86" s="1582"/>
      <c r="K86" s="1681">
        <f t="shared" ref="K86:K98" si="12">H86</f>
        <v>207310</v>
      </c>
      <c r="L86" s="1626">
        <v>270000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207310</v>
      </c>
      <c r="I92" s="1582"/>
      <c r="J92" s="1582"/>
      <c r="K92" s="1681">
        <f t="shared" si="12"/>
        <v>207310</v>
      </c>
      <c r="L92" s="1674">
        <f>SUM(L85:L91)</f>
        <v>270000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207310</v>
      </c>
      <c r="I102" s="1582"/>
      <c r="J102" s="1582"/>
      <c r="K102" s="1681">
        <f>SUM(K84,K92,K100,K101)</f>
        <v>207310</v>
      </c>
      <c r="L102" s="1681">
        <f>SUM(L84,L92,L100,L101)</f>
        <v>270000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3145390</v>
      </c>
      <c r="D114" s="1674">
        <f t="shared" ref="D114:K114" si="13">SUM(D33,D74,D75,D102,D112,D113)</f>
        <v>341034</v>
      </c>
      <c r="E114" s="1674">
        <f t="shared" si="13"/>
        <v>458554</v>
      </c>
      <c r="F114" s="1674">
        <f t="shared" si="13"/>
        <v>86254</v>
      </c>
      <c r="G114" s="1674">
        <f t="shared" si="13"/>
        <v>0</v>
      </c>
      <c r="H114" s="1674">
        <f>SUM(H33,H74,H75,H102,H112,H113)</f>
        <v>216759</v>
      </c>
      <c r="I114" s="1674">
        <f t="shared" si="13"/>
        <v>10250</v>
      </c>
      <c r="J114" s="1674">
        <f t="shared" si="13"/>
        <v>0</v>
      </c>
      <c r="K114" s="1674">
        <f t="shared" si="13"/>
        <v>4258241</v>
      </c>
      <c r="L114" s="1674">
        <f>SUM(L33,L74,L75,L102,L112,L113)</f>
        <v>4385914</v>
      </c>
    </row>
    <row r="115" spans="1:14" ht="13.5" thickTop="1" x14ac:dyDescent="0.2">
      <c r="A115" s="2286" t="s">
        <v>989</v>
      </c>
      <c r="B115" s="2287"/>
      <c r="C115" s="1675"/>
      <c r="D115" s="1675"/>
      <c r="E115" s="1675"/>
      <c r="F115" s="1675"/>
      <c r="G115" s="1675"/>
      <c r="H115" s="1675"/>
      <c r="I115" s="1675"/>
      <c r="J115" s="1675"/>
      <c r="K115" s="1689">
        <f>'Revenues 9-14'!C268-'Expenditures 15-22'!K114</f>
        <v>439282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184656</v>
      </c>
      <c r="D124" s="1573">
        <v>31017</v>
      </c>
      <c r="E124" s="1573">
        <v>146134</v>
      </c>
      <c r="F124" s="1573">
        <v>145166</v>
      </c>
      <c r="G124" s="1573">
        <v>15468</v>
      </c>
      <c r="H124" s="1573"/>
      <c r="I124" s="1574"/>
      <c r="J124" s="1574"/>
      <c r="K124" s="1674">
        <f>SUM(C124:J124)</f>
        <v>522441</v>
      </c>
      <c r="L124" s="1573">
        <v>595800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184656</v>
      </c>
      <c r="D127" s="1674">
        <f t="shared" ref="D127:L127" si="14">SUM(D122:D126)</f>
        <v>31017</v>
      </c>
      <c r="E127" s="1674">
        <f t="shared" si="14"/>
        <v>146134</v>
      </c>
      <c r="F127" s="1674">
        <f t="shared" si="14"/>
        <v>145166</v>
      </c>
      <c r="G127" s="1674">
        <f t="shared" si="14"/>
        <v>15468</v>
      </c>
      <c r="H127" s="1674">
        <f t="shared" si="14"/>
        <v>0</v>
      </c>
      <c r="I127" s="1674">
        <f t="shared" si="14"/>
        <v>0</v>
      </c>
      <c r="J127" s="1674">
        <f t="shared" si="14"/>
        <v>0</v>
      </c>
      <c r="K127" s="1674">
        <f t="shared" si="14"/>
        <v>522441</v>
      </c>
      <c r="L127" s="1674">
        <f t="shared" si="14"/>
        <v>595800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184656</v>
      </c>
      <c r="D129" s="1681">
        <f t="shared" ref="D129:L129" si="15">SUM(D120,D127,D128)</f>
        <v>31017</v>
      </c>
      <c r="E129" s="1681">
        <f t="shared" si="15"/>
        <v>146134</v>
      </c>
      <c r="F129" s="1681">
        <f t="shared" si="15"/>
        <v>145166</v>
      </c>
      <c r="G129" s="1681">
        <f t="shared" si="15"/>
        <v>15468</v>
      </c>
      <c r="H129" s="1681">
        <f t="shared" si="15"/>
        <v>0</v>
      </c>
      <c r="I129" s="1681">
        <f t="shared" si="15"/>
        <v>0</v>
      </c>
      <c r="J129" s="1681">
        <f t="shared" si="15"/>
        <v>0</v>
      </c>
      <c r="K129" s="1681">
        <f t="shared" si="15"/>
        <v>522441</v>
      </c>
      <c r="L129" s="1681">
        <f t="shared" si="15"/>
        <v>595800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184656</v>
      </c>
      <c r="D151" s="1674">
        <f t="shared" ref="D151:K151" si="16">SUM(D129,D130,D139,D149,D150)</f>
        <v>31017</v>
      </c>
      <c r="E151" s="1674">
        <f t="shared" si="16"/>
        <v>146134</v>
      </c>
      <c r="F151" s="1674">
        <f t="shared" si="16"/>
        <v>145166</v>
      </c>
      <c r="G151" s="1674">
        <f t="shared" si="16"/>
        <v>15468</v>
      </c>
      <c r="H151" s="1674">
        <f t="shared" si="16"/>
        <v>0</v>
      </c>
      <c r="I151" s="1674">
        <f t="shared" si="16"/>
        <v>0</v>
      </c>
      <c r="J151" s="1674">
        <f t="shared" si="16"/>
        <v>0</v>
      </c>
      <c r="K151" s="1674">
        <f t="shared" si="16"/>
        <v>522441</v>
      </c>
      <c r="L151" s="1674">
        <f>SUM(L129,L130,L139,L149,L150)</f>
        <v>595800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56656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794277</v>
      </c>
      <c r="I169" s="1673"/>
      <c r="J169" s="1673"/>
      <c r="K169" s="1672">
        <f>SUM(C169:H169)</f>
        <v>794277</v>
      </c>
      <c r="L169" s="1695">
        <v>792100</v>
      </c>
    </row>
    <row r="170" spans="1:14" ht="33.75" customHeight="1" x14ac:dyDescent="0.2">
      <c r="A170" s="543" t="s">
        <v>1651</v>
      </c>
      <c r="B170" s="545" t="s">
        <v>31</v>
      </c>
      <c r="C170" s="1673"/>
      <c r="D170" s="1673"/>
      <c r="E170" s="1673"/>
      <c r="F170" s="1673"/>
      <c r="G170" s="1673"/>
      <c r="H170" s="1646">
        <v>243376</v>
      </c>
      <c r="I170" s="1673"/>
      <c r="J170" s="1673"/>
      <c r="K170" s="1672">
        <f>SUM(C170:J170)</f>
        <v>243376</v>
      </c>
      <c r="L170" s="1646">
        <v>233000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1037653</v>
      </c>
      <c r="I172" s="1684"/>
      <c r="J172" s="1673"/>
      <c r="K172" s="1681">
        <f>SUM(K168,K169,K170,K171)</f>
        <v>1037653</v>
      </c>
      <c r="L172" s="1681">
        <f>SUM(L168,L169,L170,L171)</f>
        <v>1025100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1037653</v>
      </c>
      <c r="I174" s="1684"/>
      <c r="J174" s="1673"/>
      <c r="K174" s="1681">
        <f>SUM(K160,K172,K173)</f>
        <v>1037653</v>
      </c>
      <c r="L174" s="1681">
        <f>SUM(L160,L172,L173)</f>
        <v>1025100</v>
      </c>
    </row>
    <row r="175" spans="1:14" ht="13.5" thickTop="1" x14ac:dyDescent="0.2">
      <c r="A175" s="2286" t="s">
        <v>989</v>
      </c>
      <c r="B175" s="2287"/>
      <c r="C175" s="1673"/>
      <c r="D175" s="1673"/>
      <c r="E175" s="1673"/>
      <c r="F175" s="1673"/>
      <c r="G175" s="1673"/>
      <c r="H175" s="1675"/>
      <c r="I175" s="1673"/>
      <c r="J175" s="1673"/>
      <c r="K175" s="1689">
        <f>'Revenues 9-14'!E268-'Expenditures 15-22'!K174</f>
        <v>27504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61331</v>
      </c>
      <c r="F182" s="1573"/>
      <c r="G182" s="1573"/>
      <c r="H182" s="1573"/>
      <c r="I182" s="1574"/>
      <c r="J182" s="1574"/>
      <c r="K182" s="1672">
        <f>SUM(C182:J182)</f>
        <v>61331</v>
      </c>
      <c r="L182" s="1573">
        <v>150000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61331</v>
      </c>
      <c r="F184" s="1681">
        <f t="shared" si="17"/>
        <v>0</v>
      </c>
      <c r="G184" s="1681">
        <f t="shared" si="17"/>
        <v>0</v>
      </c>
      <c r="H184" s="1681">
        <f t="shared" si="17"/>
        <v>0</v>
      </c>
      <c r="I184" s="1681">
        <f t="shared" si="17"/>
        <v>0</v>
      </c>
      <c r="J184" s="1681">
        <f t="shared" si="17"/>
        <v>0</v>
      </c>
      <c r="K184" s="1681">
        <f>SUM(K180,K182,K183)</f>
        <v>61331</v>
      </c>
      <c r="L184" s="1681">
        <f>SUM(L180, L182:L183)</f>
        <v>150000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61331</v>
      </c>
      <c r="F210" s="1674">
        <f>SUM(F184,F185)</f>
        <v>0</v>
      </c>
      <c r="G210" s="1674">
        <f>SUM(G184,G185)</f>
        <v>0</v>
      </c>
      <c r="H210" s="1674">
        <f>SUM(H184,H185,H196,H208,H209)</f>
        <v>0</v>
      </c>
      <c r="I210" s="1674">
        <f>SUM(I184,I185)</f>
        <v>0</v>
      </c>
      <c r="J210" s="1674">
        <f>SUM(J184,J185)</f>
        <v>0</v>
      </c>
      <c r="K210" s="1672">
        <f>SUM(K184,K185,K196,K208,K209)</f>
        <v>61331</v>
      </c>
      <c r="L210" s="1674">
        <f>SUM(L184,L185,L196,L208,L209)</f>
        <v>150000</v>
      </c>
    </row>
    <row r="211" spans="1:14" ht="13.5" thickTop="1" x14ac:dyDescent="0.2">
      <c r="A211" s="2286" t="s">
        <v>989</v>
      </c>
      <c r="B211" s="2287"/>
      <c r="C211" s="1675"/>
      <c r="D211" s="1675"/>
      <c r="E211" s="1675"/>
      <c r="F211" s="1675"/>
      <c r="G211" s="1675"/>
      <c r="H211" s="1675"/>
      <c r="I211" s="1673"/>
      <c r="J211" s="1673"/>
      <c r="K211" s="1689">
        <f>'Revenues 9-14'!F268-'Expenditures 15-22'!K210</f>
        <v>119840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25099</v>
      </c>
      <c r="E215" s="1673"/>
      <c r="F215" s="1673"/>
      <c r="G215" s="1673"/>
      <c r="H215" s="1673"/>
      <c r="I215" s="1673"/>
      <c r="J215" s="1673"/>
      <c r="K215" s="1672">
        <f>D215</f>
        <v>25099</v>
      </c>
      <c r="L215" s="1573">
        <v>27410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34524</v>
      </c>
      <c r="E217" s="1673"/>
      <c r="F217" s="1673"/>
      <c r="G217" s="1673"/>
      <c r="H217" s="1673"/>
      <c r="I217" s="1673"/>
      <c r="J217" s="1673"/>
      <c r="K217" s="1672">
        <f t="shared" si="19"/>
        <v>34524</v>
      </c>
      <c r="L217" s="1573">
        <v>40420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1329</v>
      </c>
      <c r="E219" s="1673"/>
      <c r="F219" s="1673"/>
      <c r="G219" s="1673"/>
      <c r="H219" s="1673"/>
      <c r="I219" s="1673"/>
      <c r="J219" s="1673"/>
      <c r="K219" s="1672">
        <f t="shared" si="19"/>
        <v>1329</v>
      </c>
      <c r="L219" s="1573">
        <v>1520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598</v>
      </c>
      <c r="E223" s="1673"/>
      <c r="F223" s="1673"/>
      <c r="G223" s="1673"/>
      <c r="H223" s="1673"/>
      <c r="I223" s="1673"/>
      <c r="J223" s="1673"/>
      <c r="K223" s="1672">
        <f t="shared" si="19"/>
        <v>598</v>
      </c>
      <c r="L223" s="1573">
        <v>950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61550</v>
      </c>
      <c r="E229" s="1673"/>
      <c r="F229" s="1673"/>
      <c r="G229" s="1673"/>
      <c r="H229" s="1673"/>
      <c r="I229" s="1673"/>
      <c r="J229" s="1673"/>
      <c r="K229" s="1674">
        <f>SUM(K215:K228)</f>
        <v>61550</v>
      </c>
      <c r="L229" s="1674">
        <f>SUM(L215:L228)</f>
        <v>70300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892</v>
      </c>
      <c r="E234" s="1673"/>
      <c r="F234" s="1673"/>
      <c r="G234" s="1673"/>
      <c r="H234" s="1673"/>
      <c r="I234" s="1673"/>
      <c r="J234" s="1673"/>
      <c r="K234" s="1672">
        <f t="shared" si="20"/>
        <v>892</v>
      </c>
      <c r="L234" s="1573">
        <v>900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2384</v>
      </c>
      <c r="E237" s="1673"/>
      <c r="F237" s="1673"/>
      <c r="G237" s="1673"/>
      <c r="H237" s="1673"/>
      <c r="I237" s="1673"/>
      <c r="J237" s="1673"/>
      <c r="K237" s="1672">
        <f t="shared" si="20"/>
        <v>2384</v>
      </c>
      <c r="L237" s="1573">
        <v>4900</v>
      </c>
    </row>
    <row r="238" spans="1:12" ht="12.75" customHeight="1" thickBot="1" x14ac:dyDescent="0.25">
      <c r="A238" s="1380" t="s">
        <v>556</v>
      </c>
      <c r="B238" s="1383" t="s">
        <v>711</v>
      </c>
      <c r="C238" s="1673"/>
      <c r="D238" s="1674">
        <f>SUM(D232:D237)</f>
        <v>3276</v>
      </c>
      <c r="E238" s="1673"/>
      <c r="F238" s="1673"/>
      <c r="G238" s="1673"/>
      <c r="H238" s="1673"/>
      <c r="I238" s="1673"/>
      <c r="J238" s="1673"/>
      <c r="K238" s="1674">
        <f>SUM(K232:K237)</f>
        <v>3276</v>
      </c>
      <c r="L238" s="1674">
        <f>SUM(L232:L237)</f>
        <v>5800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68</v>
      </c>
      <c r="E240" s="1673"/>
      <c r="F240" s="1673"/>
      <c r="G240" s="1673"/>
      <c r="H240" s="1673"/>
      <c r="I240" s="1673"/>
      <c r="J240" s="1673"/>
      <c r="K240" s="1678">
        <f>D240</f>
        <v>68</v>
      </c>
      <c r="L240" s="1586">
        <v>330</v>
      </c>
    </row>
    <row r="241" spans="1:12" x14ac:dyDescent="0.2">
      <c r="A241" s="1274" t="s">
        <v>810</v>
      </c>
      <c r="B241" s="503">
        <v>2220</v>
      </c>
      <c r="C241" s="1673"/>
      <c r="D241" s="1573">
        <v>5375</v>
      </c>
      <c r="E241" s="1673"/>
      <c r="F241" s="1673"/>
      <c r="G241" s="1673"/>
      <c r="H241" s="1673"/>
      <c r="I241" s="1673"/>
      <c r="J241" s="1673"/>
      <c r="K241" s="1678">
        <f>D241</f>
        <v>5375</v>
      </c>
      <c r="L241" s="1573">
        <v>6000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5443</v>
      </c>
      <c r="E243" s="1673"/>
      <c r="F243" s="1673"/>
      <c r="G243" s="1673"/>
      <c r="H243" s="1673"/>
      <c r="I243" s="1673"/>
      <c r="J243" s="1673"/>
      <c r="K243" s="1674">
        <f>SUM(K240:K242)</f>
        <v>5443</v>
      </c>
      <c r="L243" s="1674">
        <f>SUM(L240:L242)</f>
        <v>6330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13036</v>
      </c>
      <c r="E246" s="1673"/>
      <c r="F246" s="1673"/>
      <c r="G246" s="1673"/>
      <c r="H246" s="1673"/>
      <c r="I246" s="1673"/>
      <c r="J246" s="1673"/>
      <c r="K246" s="1678">
        <f t="shared" ref="K246:K256" si="21">D246</f>
        <v>13036</v>
      </c>
      <c r="L246" s="1573">
        <v>13300</v>
      </c>
    </row>
    <row r="247" spans="1:12" x14ac:dyDescent="0.2">
      <c r="A247" s="1274" t="s">
        <v>814</v>
      </c>
      <c r="B247" s="503">
        <v>2330</v>
      </c>
      <c r="C247" s="1673"/>
      <c r="D247" s="1573"/>
      <c r="E247" s="1673"/>
      <c r="F247" s="1673"/>
      <c r="G247" s="1673"/>
      <c r="H247" s="1673"/>
      <c r="I247" s="1673"/>
      <c r="J247" s="1673"/>
      <c r="K247" s="1678">
        <f t="shared" si="21"/>
        <v>0</v>
      </c>
      <c r="L247" s="1573">
        <v>1000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13036</v>
      </c>
      <c r="E257" s="1673"/>
      <c r="F257" s="1673"/>
      <c r="G257" s="1673"/>
      <c r="H257" s="1673"/>
      <c r="I257" s="1673"/>
      <c r="J257" s="1673"/>
      <c r="K257" s="1674">
        <f>SUM(K245:K256)</f>
        <v>13036</v>
      </c>
      <c r="L257" s="1674">
        <f>SUM(L245:L256)</f>
        <v>14300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11574</v>
      </c>
      <c r="E259" s="1673"/>
      <c r="F259" s="1673"/>
      <c r="G259" s="1673"/>
      <c r="H259" s="1673"/>
      <c r="I259" s="1673"/>
      <c r="J259" s="1673"/>
      <c r="K259" s="1678">
        <f>D259</f>
        <v>11574</v>
      </c>
      <c r="L259" s="1586">
        <v>12900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11574</v>
      </c>
      <c r="E261" s="1673"/>
      <c r="F261" s="1673"/>
      <c r="G261" s="1673"/>
      <c r="H261" s="1673"/>
      <c r="I261" s="1673"/>
      <c r="J261" s="1673"/>
      <c r="K261" s="1674">
        <f>SUM(K259:K260)</f>
        <v>11574</v>
      </c>
      <c r="L261" s="1674">
        <f>SUM(L259:L260)</f>
        <v>12900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2984</v>
      </c>
      <c r="E263" s="1673"/>
      <c r="F263" s="1673"/>
      <c r="G263" s="1673"/>
      <c r="H263" s="1673"/>
      <c r="I263" s="1673"/>
      <c r="J263" s="1673"/>
      <c r="K263" s="1678">
        <f>D263</f>
        <v>2984</v>
      </c>
      <c r="L263" s="1586">
        <v>2900</v>
      </c>
    </row>
    <row r="264" spans="1:14" x14ac:dyDescent="0.2">
      <c r="A264" s="1274" t="s">
        <v>460</v>
      </c>
      <c r="B264" s="559">
        <v>2520</v>
      </c>
      <c r="C264" s="1673"/>
      <c r="D264" s="1573">
        <v>18275</v>
      </c>
      <c r="E264" s="1673"/>
      <c r="F264" s="1673"/>
      <c r="G264" s="1673"/>
      <c r="H264" s="1673"/>
      <c r="I264" s="1673"/>
      <c r="J264" s="1673"/>
      <c r="K264" s="1678">
        <f t="shared" ref="K264:K269" si="22">D264</f>
        <v>18275</v>
      </c>
      <c r="L264" s="1573">
        <v>19500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34028</v>
      </c>
      <c r="E266" s="1673"/>
      <c r="F266" s="1673"/>
      <c r="G266" s="1673"/>
      <c r="H266" s="1673"/>
      <c r="I266" s="1673"/>
      <c r="J266" s="1673"/>
      <c r="K266" s="1678">
        <f t="shared" si="22"/>
        <v>34028</v>
      </c>
      <c r="L266" s="1573">
        <v>41000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55287</v>
      </c>
      <c r="E270" s="1673"/>
      <c r="F270" s="1673"/>
      <c r="G270" s="1673"/>
      <c r="H270" s="1673"/>
      <c r="I270" s="1673"/>
      <c r="J270" s="1673"/>
      <c r="K270" s="1674">
        <f>SUM(K263:K269)</f>
        <v>55287</v>
      </c>
      <c r="L270" s="1674">
        <f>SUM(L263:L269)</f>
        <v>63400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88616</v>
      </c>
      <c r="E279" s="1673"/>
      <c r="F279" s="1673"/>
      <c r="G279" s="1673"/>
      <c r="H279" s="1673"/>
      <c r="I279" s="1673"/>
      <c r="J279" s="1673"/>
      <c r="K279" s="1681">
        <f>SUM(K238,K243,K257,K261,K270,K277,K278)</f>
        <v>88616</v>
      </c>
      <c r="L279" s="1681">
        <f>SUM(L238,L243,L257,L261,L270,L277,L278)</f>
        <v>102730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150166</v>
      </c>
      <c r="E295" s="1673"/>
      <c r="F295" s="1673"/>
      <c r="G295" s="1673"/>
      <c r="H295" s="1674">
        <f>H293</f>
        <v>0</v>
      </c>
      <c r="I295" s="1673"/>
      <c r="J295" s="1673"/>
      <c r="K295" s="1674">
        <f>SUM(K229,K279,K280,K285,K293,K294)</f>
        <v>150166</v>
      </c>
      <c r="L295" s="1674">
        <f>SUM(L229,L279,L280,L285,L293,L294)</f>
        <v>173030</v>
      </c>
    </row>
    <row r="296" spans="1:14" ht="13.5" thickTop="1" x14ac:dyDescent="0.2">
      <c r="A296" s="2286" t="s">
        <v>989</v>
      </c>
      <c r="B296" s="2287"/>
      <c r="C296" s="1673"/>
      <c r="D296" s="1675"/>
      <c r="E296" s="1673"/>
      <c r="F296" s="1673"/>
      <c r="G296" s="1673"/>
      <c r="H296" s="1707"/>
      <c r="I296" s="1673"/>
      <c r="J296" s="1673"/>
      <c r="K296" s="1689">
        <f>'Revenues 9-14'!G268-'Expenditures 15-22'!K295</f>
        <v>105011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5522</v>
      </c>
      <c r="F301" s="1573">
        <v>4476</v>
      </c>
      <c r="G301" s="1573">
        <v>32119</v>
      </c>
      <c r="H301" s="1573"/>
      <c r="I301" s="1574"/>
      <c r="J301" s="1574"/>
      <c r="K301" s="1672">
        <f>SUM(C301:J301)</f>
        <v>42117</v>
      </c>
      <c r="L301" s="1574">
        <v>49000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5522</v>
      </c>
      <c r="F303" s="1681">
        <f t="shared" si="23"/>
        <v>4476</v>
      </c>
      <c r="G303" s="1681">
        <f t="shared" si="23"/>
        <v>32119</v>
      </c>
      <c r="H303" s="1681">
        <f t="shared" si="23"/>
        <v>0</v>
      </c>
      <c r="I303" s="1681">
        <f t="shared" si="23"/>
        <v>0</v>
      </c>
      <c r="J303" s="1681">
        <f t="shared" si="23"/>
        <v>0</v>
      </c>
      <c r="K303" s="1681">
        <f t="shared" si="23"/>
        <v>42117</v>
      </c>
      <c r="L303" s="1681">
        <f t="shared" si="23"/>
        <v>49000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5522</v>
      </c>
      <c r="F312" s="1674">
        <f>SUM(F303)</f>
        <v>4476</v>
      </c>
      <c r="G312" s="1674">
        <f>SUM(G303)</f>
        <v>32119</v>
      </c>
      <c r="H312" s="1674">
        <f>SUM(H303,H310)</f>
        <v>0</v>
      </c>
      <c r="I312" s="1674">
        <f>SUM(I303)</f>
        <v>0</v>
      </c>
      <c r="J312" s="1674">
        <f>SUM(J303)</f>
        <v>0</v>
      </c>
      <c r="K312" s="1674">
        <f>SUM(K303,K310,K311)</f>
        <v>42117</v>
      </c>
      <c r="L312" s="1674">
        <f>SUM(L303,L310,L311)</f>
        <v>49000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33053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http://purl.org/dc/terms/"/>
    <ds:schemaRef ds:uri="http://purl.org/dc/elements/1.1/"/>
    <ds:schemaRef ds:uri="4d435f69-8686-490b-bd6d-b153bf22ab50"/>
    <ds:schemaRef ds:uri="d21dc803-237d-4c68-8692-8d731fd29118"/>
    <ds:schemaRef ds:uri="http://schemas.microsoft.com/office/infopath/2007/PartnerControls"/>
    <ds:schemaRef ds:uri="http://www.w3.org/XML/1998/namespace"/>
    <ds:schemaRef ds:uri="http://schemas.microsoft.com/office/2006/documentManagement/types"/>
    <ds:schemaRef ds:uri="http://purl.org/dc/dcmitype/"/>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2020-09-22T18:22:50Z</cp:lastPrinted>
  <dcterms:created xsi:type="dcterms:W3CDTF">2003-10-29T19:06:34Z</dcterms:created>
  <dcterms:modified xsi:type="dcterms:W3CDTF">2020-11-05T13:17:02Z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130</vt:lpwstr>
  </property>
  <property fmtid="{D5CDD505-2E9C-101B-9397-08002B2CF9AE}" pid="7" name="workpaperIndex">
    <vt:lpwstr/>
  </property>
</Properties>
</file>