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053E905-7BB0-4AF7-9DCE-B542BF6FD910}" xr6:coauthVersionLast="36" xr6:coauthVersionMax="36" xr10:uidLastSave="{00000000-0000-0000-0000-000000000000}"/>
  <bookViews>
    <workbookView xWindow="0" yWindow="0" windowWidth="23040" windowHeight="86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9"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SEFA'!$B$1:$M$48</definedName>
    <definedName name="_xlnm.Print_Area" localSheetId="28">' SEFA (2)'!$B$1:$M$48</definedName>
    <definedName name="_xlnm.Print_Area" localSheetId="29">' SEFA (3)'!$B$1:$M$52</definedName>
    <definedName name="_xlnm.Print_Area" localSheetId="30">' SEFA (4)'!$B$1:$M$45</definedName>
    <definedName name="_xlnm.Print_Area" localSheetId="31">' SEFA (5)'!$B$1:$M$48</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 i="11" l="1"/>
  <c r="I12" i="11"/>
  <c r="I8" i="11"/>
  <c r="G325" i="29" l="1"/>
  <c r="L14" i="186" l="1"/>
  <c r="I23" i="185" l="1"/>
  <c r="F15" i="186" l="1"/>
  <c r="I19" i="189" l="1"/>
  <c r="I21" i="189" s="1"/>
  <c r="F19" i="189"/>
  <c r="F21" i="189" s="1"/>
  <c r="L18" i="189"/>
  <c r="L17" i="189"/>
  <c r="L13" i="189"/>
  <c r="I9" i="189"/>
  <c r="G9" i="189"/>
  <c r="F9" i="189"/>
  <c r="E9" i="189"/>
  <c r="J8" i="189"/>
  <c r="H8" i="189"/>
  <c r="I15" i="187"/>
  <c r="F15" i="187"/>
  <c r="I19" i="187"/>
  <c r="F19" i="187"/>
  <c r="G17" i="187"/>
  <c r="L17" i="187" s="1"/>
  <c r="L13" i="187"/>
  <c r="L14" i="187"/>
  <c r="C7" i="5"/>
  <c r="I182" i="29"/>
  <c r="H182" i="29"/>
  <c r="I124" i="29"/>
  <c r="H124" i="29"/>
  <c r="I5" i="29"/>
  <c r="H5" i="29"/>
  <c r="L4" i="3" l="1"/>
  <c r="F349" i="29" l="1"/>
  <c r="D215" i="29"/>
  <c r="H171" i="29"/>
  <c r="C34" i="173" l="1"/>
  <c r="C33" i="173"/>
  <c r="I24" i="187"/>
  <c r="F24" i="187"/>
  <c r="L31" i="186"/>
  <c r="I29" i="186"/>
  <c r="F29" i="186"/>
  <c r="L28" i="186"/>
  <c r="L27" i="186"/>
  <c r="I25" i="186"/>
  <c r="F25" i="186"/>
  <c r="L24" i="186"/>
  <c r="L23" i="186"/>
  <c r="I19" i="186"/>
  <c r="F19" i="186"/>
  <c r="L18" i="186"/>
  <c r="L17" i="186"/>
  <c r="I15" i="186"/>
  <c r="L13" i="186"/>
  <c r="E11" i="108" l="1"/>
  <c r="E324" i="29"/>
  <c r="K9" i="12" l="1"/>
  <c r="K7" i="12"/>
  <c r="H5" i="12"/>
  <c r="F41" i="8" l="1"/>
  <c r="E6" i="8"/>
  <c r="C12" i="7" l="1"/>
  <c r="C13" i="7" s="1"/>
  <c r="E12" i="7"/>
  <c r="E13" i="7" s="1"/>
  <c r="K4" i="3" l="1"/>
  <c r="G4" i="3" l="1"/>
  <c r="F4" i="3" l="1"/>
  <c r="E4" i="3" l="1"/>
  <c r="D4" i="3" l="1"/>
  <c r="C4" i="3" l="1"/>
  <c r="L23" i="187" l="1"/>
  <c r="L22" i="187"/>
  <c r="L18" i="187"/>
  <c r="I9" i="187"/>
  <c r="G9" i="187"/>
  <c r="F9" i="187"/>
  <c r="E9" i="187"/>
  <c r="J8" i="187"/>
  <c r="H8" i="187"/>
  <c r="I9" i="186"/>
  <c r="G9" i="186"/>
  <c r="F9" i="186"/>
  <c r="E9" i="186"/>
  <c r="J8" i="186"/>
  <c r="H8" i="186"/>
  <c r="L28" i="185"/>
  <c r="L27" i="185"/>
  <c r="I29" i="185"/>
  <c r="I21" i="186" s="1"/>
  <c r="F29" i="185"/>
  <c r="F21" i="186" s="1"/>
  <c r="L22" i="185"/>
  <c r="F23" i="185"/>
  <c r="I19" i="185"/>
  <c r="F19" i="185"/>
  <c r="I15" i="185"/>
  <c r="F15" i="185"/>
  <c r="L21" i="185"/>
  <c r="L18" i="185"/>
  <c r="L17" i="185"/>
  <c r="L14" i="185"/>
  <c r="L13" i="185"/>
  <c r="I9" i="185"/>
  <c r="G9" i="185"/>
  <c r="F9" i="185"/>
  <c r="E9" i="185"/>
  <c r="J8" i="185"/>
  <c r="H8" i="185"/>
  <c r="I19" i="179"/>
  <c r="L14" i="179"/>
  <c r="I15" i="179"/>
  <c r="F19" i="179"/>
  <c r="F15" i="179"/>
  <c r="F27" i="179" l="1"/>
  <c r="I27" i="179"/>
  <c r="G38" i="174"/>
  <c r="F25" i="185"/>
  <c r="F33" i="186" s="1"/>
  <c r="I25" i="185"/>
  <c r="I33" i="186" s="1"/>
  <c r="F29" i="179"/>
  <c r="I29" i="179"/>
  <c r="I26" i="187" l="1"/>
  <c r="F26" i="187"/>
  <c r="J7" i="184"/>
  <c r="L53" i="184" s="1"/>
  <c r="J6" i="184"/>
  <c r="L52" i="184"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F23" i="189" l="1"/>
  <c r="D35" i="171" s="1"/>
  <c r="I23" i="189"/>
  <c r="D45" i="174" s="1"/>
  <c r="L19" i="184"/>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9"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3" i="179"/>
  <c r="L21" i="179"/>
  <c r="L18" i="179"/>
  <c r="L17" i="179"/>
  <c r="L13" i="179"/>
  <c r="D14" i="171" l="1"/>
  <c r="D12" i="171"/>
  <c r="A10" i="169"/>
  <c r="A16" i="169"/>
  <c r="A15" i="169"/>
  <c r="A14" i="169"/>
  <c r="K18" i="169"/>
  <c r="G18" i="169"/>
  <c r="G15" i="169"/>
  <c r="I13" i="169"/>
  <c r="G11" i="169"/>
  <c r="G10" i="169"/>
  <c r="G9" i="169"/>
  <c r="G7" i="169"/>
  <c r="E7" i="169"/>
  <c r="B2" i="189" s="1"/>
  <c r="A7" i="169"/>
  <c r="B1" i="189"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14" i="12" s="1"/>
  <c r="K23" i="12" s="1"/>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125" i="106"/>
  <c r="B126" i="106"/>
  <c r="D126" i="106" s="1"/>
  <c r="D127" i="106"/>
  <c r="D128" i="106"/>
  <c r="B129" i="106"/>
  <c r="D129" i="106" s="1"/>
  <c r="B130" i="106"/>
  <c r="D130" i="106" s="1"/>
  <c r="E13" i="3"/>
  <c r="D132" i="106"/>
  <c r="D133" i="106"/>
  <c r="B134" i="106"/>
  <c r="D134" i="106" s="1"/>
  <c r="D135" i="106"/>
  <c r="D136" i="106"/>
  <c r="D137" i="106"/>
  <c r="D138"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I36" i="8"/>
  <c r="J36" i="8" s="1"/>
  <c r="I37" i="8"/>
  <c r="J37" i="8" s="1"/>
  <c r="I38" i="8"/>
  <c r="J38" i="8" s="1"/>
  <c r="I39" i="8"/>
  <c r="J39" i="8" s="1"/>
  <c r="I40" i="8"/>
  <c r="J40" i="8" s="1"/>
  <c r="I41" i="8"/>
  <c r="J41" i="8" s="1"/>
  <c r="I42" i="8"/>
  <c r="I43" i="8"/>
  <c r="J43" i="8" s="1"/>
  <c r="I44" i="8"/>
  <c r="J44" i="8" s="1"/>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0" i="127"/>
  <c r="B61" i="127"/>
  <c r="E27" i="108"/>
  <c r="G27"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G26" i="108" l="1"/>
  <c r="F36" i="108"/>
  <c r="F70" i="34"/>
  <c r="B7720" i="106"/>
  <c r="D7720" i="106" s="1"/>
  <c r="B1274" i="106"/>
  <c r="D1274" i="106" s="1"/>
  <c r="B7078" i="106"/>
  <c r="D7078" i="106" s="1"/>
  <c r="F64" i="34"/>
  <c r="B7719" i="106"/>
  <c r="D7719" i="106" s="1"/>
  <c r="H33" i="118"/>
  <c r="H28" i="118"/>
  <c r="F50" i="34"/>
  <c r="B7721" i="106"/>
  <c r="D7721" i="106" s="1"/>
  <c r="F42" i="34"/>
  <c r="B2836" i="106"/>
  <c r="D2836" i="106" s="1"/>
  <c r="D22" i="37"/>
  <c r="D14" i="4"/>
  <c r="B2570" i="106" s="1"/>
  <c r="D2570" i="106" s="1"/>
  <c r="F56" i="34"/>
  <c r="B7832" i="106" s="1"/>
  <c r="D7832" i="106" s="1"/>
  <c r="B6995" i="106"/>
  <c r="D6995" i="106" s="1"/>
  <c r="E34" i="108"/>
  <c r="D24" i="37"/>
  <c r="B4270" i="106" s="1"/>
  <c r="D4270" i="106" s="1"/>
  <c r="F37" i="34"/>
  <c r="B7829" i="106" s="1"/>
  <c r="D7829" i="106" s="1"/>
  <c r="B7047" i="106"/>
  <c r="D7047" i="106" s="1"/>
  <c r="F67" i="34"/>
  <c r="F36" i="34"/>
  <c r="B7828" i="106" s="1"/>
  <c r="D7828" i="106" s="1"/>
  <c r="J49" i="8"/>
  <c r="B4172" i="106" s="1"/>
  <c r="D4172" i="106" s="1"/>
  <c r="L22" i="37"/>
  <c r="B131" i="106"/>
  <c r="D131" i="106" s="1"/>
  <c r="N21" i="3"/>
  <c r="B282" i="106" s="1"/>
  <c r="D282" i="106" s="1"/>
  <c r="D69" i="36"/>
  <c r="D68" i="36"/>
  <c r="F72" i="34"/>
  <c r="G14" i="4"/>
  <c r="B2609" i="106" s="1"/>
  <c r="D2609" i="106" s="1"/>
  <c r="F71" i="34"/>
  <c r="H15" i="184"/>
  <c r="F52" i="34"/>
  <c r="B7831" i="106" s="1"/>
  <c r="D7831" i="106" s="1"/>
  <c r="F34" i="34"/>
  <c r="B7826" i="106" s="1"/>
  <c r="D7826" i="106" s="1"/>
  <c r="B7153" i="106"/>
  <c r="D7153" i="106" s="1"/>
  <c r="E60" i="184"/>
  <c r="N60" i="184" s="1"/>
  <c r="B7705" i="106"/>
  <c r="D7705" i="106" s="1"/>
  <c r="E67" i="184"/>
  <c r="N67" i="184" s="1"/>
  <c r="G39" i="108"/>
  <c r="B7126" i="106"/>
  <c r="D7126" i="106" s="1"/>
  <c r="E57" i="184"/>
  <c r="N57" i="184" s="1"/>
  <c r="G33" i="108"/>
  <c r="E17" i="184"/>
  <c r="H17" i="184" s="1"/>
  <c r="B7189" i="106"/>
  <c r="D7189" i="106" s="1"/>
  <c r="E64" i="184"/>
  <c r="N64" i="184" s="1"/>
  <c r="J129" i="29"/>
  <c r="B7038" i="106" s="1"/>
  <c r="D7038" i="106" s="1"/>
  <c r="B7076" i="106"/>
  <c r="D7076" i="106" s="1"/>
  <c r="G35" i="108"/>
  <c r="B109" i="106"/>
  <c r="D109" i="106" s="1"/>
  <c r="F77" i="4"/>
  <c r="B3255" i="106" s="1"/>
  <c r="D3255" i="106" s="1"/>
  <c r="B6289" i="106"/>
  <c r="D6289" i="106" s="1"/>
  <c r="C352" i="29"/>
  <c r="C367" i="29" s="1"/>
  <c r="B3622" i="106" s="1"/>
  <c r="D3622" i="106" s="1"/>
  <c r="B7696" i="106"/>
  <c r="D7696" i="106" s="1"/>
  <c r="E66" i="184"/>
  <c r="H342" i="29"/>
  <c r="B7221" i="106" s="1"/>
  <c r="D7221" i="106" s="1"/>
  <c r="B7198" i="106"/>
  <c r="D7198" i="106" s="1"/>
  <c r="E65" i="184"/>
  <c r="B7180" i="106"/>
  <c r="D7180" i="106" s="1"/>
  <c r="E63" i="184"/>
  <c r="B7171" i="106"/>
  <c r="D7171" i="106" s="1"/>
  <c r="E62" i="184"/>
  <c r="B7162" i="106"/>
  <c r="D7162" i="106" s="1"/>
  <c r="E61" i="184"/>
  <c r="B7135" i="106"/>
  <c r="D7135" i="106" s="1"/>
  <c r="E58" i="184"/>
  <c r="M58" i="184" s="1"/>
  <c r="I129" i="29"/>
  <c r="B7037" i="106" s="1"/>
  <c r="D7037" i="106" s="1"/>
  <c r="C129" i="29"/>
  <c r="C151" i="29" s="1"/>
  <c r="B1226" i="106" s="1"/>
  <c r="D1226" i="106" s="1"/>
  <c r="D31" i="108"/>
  <c r="E16" i="184"/>
  <c r="H16" i="184" s="1"/>
  <c r="G30" i="108"/>
  <c r="B2724" i="106"/>
  <c r="D2724" i="106" s="1"/>
  <c r="H12" i="184"/>
  <c r="C342" i="29"/>
  <c r="B7216" i="106" s="1"/>
  <c r="D7216" i="106" s="1"/>
  <c r="J210" i="29"/>
  <c r="B7072" i="106" s="1"/>
  <c r="D7072" i="106" s="1"/>
  <c r="I210" i="29"/>
  <c r="B7071" i="106" s="1"/>
  <c r="D7071" i="106" s="1"/>
  <c r="H365" i="29"/>
  <c r="B7242" i="106" s="1"/>
  <c r="D7242" i="106" s="1"/>
  <c r="H76" i="4"/>
  <c r="B3298" i="106" s="1"/>
  <c r="D3298"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134" i="106"/>
  <c r="D1134" i="106" s="1"/>
  <c r="B7759" i="106"/>
  <c r="D7759" i="106" s="1"/>
  <c r="B1339" i="106"/>
  <c r="D1339" i="106" s="1"/>
  <c r="C210" i="29"/>
  <c r="B1340" i="106" s="1"/>
  <c r="D1340"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L151" i="29"/>
  <c r="C266" i="5"/>
  <c r="J24" i="12"/>
  <c r="B7730" i="106"/>
  <c r="D7730" i="106" s="1"/>
  <c r="K28" i="118" l="1"/>
  <c r="O27" i="118" s="1"/>
  <c r="O29" i="118" s="1"/>
  <c r="B1225" i="106"/>
  <c r="D1225" i="106" s="1"/>
  <c r="M62" i="184"/>
  <c r="N62" i="184" s="1"/>
  <c r="M63" i="184"/>
  <c r="N63" i="184" s="1"/>
  <c r="M65" i="184"/>
  <c r="M61" i="184"/>
  <c r="N61" i="184" s="1"/>
  <c r="M66" i="184"/>
  <c r="N66" i="184" s="1"/>
  <c r="J151" i="29"/>
  <c r="B7052" i="106" s="1"/>
  <c r="D7052" i="106" s="1"/>
  <c r="B1328" i="106"/>
  <c r="D1328" i="106" s="1"/>
  <c r="B2057" i="106"/>
  <c r="D2057" i="106" s="1"/>
  <c r="M17" i="3"/>
  <c r="B274" i="106" s="1"/>
  <c r="D274" i="106" s="1"/>
  <c r="B2058" i="106"/>
  <c r="D2058" i="106" s="1"/>
  <c r="M18" i="3"/>
  <c r="B275" i="106" s="1"/>
  <c r="D275" i="106" s="1"/>
  <c r="B2059" i="106"/>
  <c r="D2059" i="106" s="1"/>
  <c r="M19" i="3"/>
  <c r="B276" i="106" s="1"/>
  <c r="D276" i="106" s="1"/>
  <c r="B3459" i="106"/>
  <c r="D3459" i="106" s="1"/>
  <c r="M20" i="3"/>
  <c r="B2864" i="106" s="1"/>
  <c r="D2864" i="106" s="1"/>
  <c r="B2056" i="106"/>
  <c r="D2056" i="106" s="1"/>
  <c r="M16" i="3"/>
  <c r="L16" i="11"/>
  <c r="B2061" i="106" s="1"/>
  <c r="D2061" i="106" s="1"/>
  <c r="I7" i="4"/>
  <c r="B4444" i="106" s="1"/>
  <c r="D4444" i="106" s="1"/>
  <c r="K365" i="29"/>
  <c r="K16" i="4" s="1"/>
  <c r="B3621" i="106"/>
  <c r="D3621" i="106" s="1"/>
  <c r="E19" i="184"/>
  <c r="B5770" i="106"/>
  <c r="D5770" i="106" s="1"/>
  <c r="H77" i="4"/>
  <c r="B3299" i="106" s="1"/>
  <c r="D3299" i="106" s="1"/>
  <c r="K77" i="4"/>
  <c r="B3587" i="106" s="1"/>
  <c r="D3587" i="106" s="1"/>
  <c r="N23" i="3"/>
  <c r="B284" i="106" s="1"/>
  <c r="D284" i="106" s="1"/>
  <c r="I151" i="29"/>
  <c r="F59" i="34" s="1"/>
  <c r="K342" i="29"/>
  <c r="F13" i="34" s="1"/>
  <c r="N58" i="184"/>
  <c r="E68" i="184"/>
  <c r="B1381" i="106"/>
  <c r="D1381" i="106" s="1"/>
  <c r="H151" i="29"/>
  <c r="B1273" i="106" s="1"/>
  <c r="D1273" i="106" s="1"/>
  <c r="H19" i="184"/>
  <c r="L20" i="184" s="1"/>
  <c r="F41" i="108"/>
  <c r="G43" i="108" s="1"/>
  <c r="L114" i="29"/>
  <c r="B7235" i="106"/>
  <c r="D7235" i="106" s="1"/>
  <c r="B2031" i="106"/>
  <c r="D2031" i="106" s="1"/>
  <c r="J16" i="4"/>
  <c r="B6226" i="106" s="1"/>
  <c r="D6226" i="106" s="1"/>
  <c r="B7222" i="106"/>
  <c r="D7222" i="106" s="1"/>
  <c r="F76" i="34"/>
  <c r="B7887" i="106" s="1"/>
  <c r="D7887" i="106" s="1"/>
  <c r="B7215" i="106"/>
  <c r="D7215" i="106" s="1"/>
  <c r="E367" i="29"/>
  <c r="B3636" i="106" s="1"/>
  <c r="D3636" i="106" s="1"/>
  <c r="B3635" i="106"/>
  <c r="D3635" i="106" s="1"/>
  <c r="B7220" i="106"/>
  <c r="D7220" i="106" s="1"/>
  <c r="F75" i="34"/>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68" i="184" l="1"/>
  <c r="N65" i="184"/>
  <c r="N68" i="184" s="1"/>
  <c r="B7243" i="106"/>
  <c r="D7243" i="106" s="1"/>
  <c r="K367" i="29"/>
  <c r="B3678" i="106" s="1"/>
  <c r="D3678" i="106" s="1"/>
  <c r="M23" i="3"/>
  <c r="B273" i="106"/>
  <c r="D273" i="106" s="1"/>
  <c r="B7051" i="106"/>
  <c r="D7051" i="106" s="1"/>
  <c r="B1145" i="106"/>
  <c r="D1145" i="106" s="1"/>
  <c r="B7224" i="106"/>
  <c r="D7224" i="106" s="1"/>
  <c r="B7886" i="106"/>
  <c r="D7886"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79" i="106"/>
  <c r="D279" i="106" s="1"/>
  <c r="M40" i="3"/>
  <c r="J20" i="4"/>
  <c r="B6230" i="106" s="1"/>
  <c r="D6230" i="106" s="1"/>
  <c r="F77" i="34"/>
  <c r="B7834" i="106" s="1"/>
  <c r="D7834" i="106" s="1"/>
  <c r="B6223" i="106"/>
  <c r="D6223" i="106" s="1"/>
  <c r="F8" i="4"/>
  <c r="F10" i="4" s="1"/>
  <c r="B4125" i="106" s="1"/>
  <c r="D4125" i="106" s="1"/>
  <c r="B6227" i="106"/>
  <c r="D6227" i="106" s="1"/>
  <c r="J19" i="4"/>
  <c r="B6229" i="106" s="1"/>
  <c r="D6229" i="106" s="1"/>
  <c r="K17" i="4"/>
  <c r="B3575" i="106" s="1"/>
  <c r="D3575" i="106" s="1"/>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M41" i="3"/>
  <c r="B280" i="106"/>
  <c r="D280" i="106" s="1"/>
  <c r="B2595" i="106"/>
  <c r="D2595" i="106" s="1"/>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15" i="106" s="1"/>
  <c r="D6215" i="106" s="1"/>
  <c r="B281" i="106" l="1"/>
  <c r="D281" i="106" s="1"/>
  <c r="D54" i="36"/>
  <c r="B3576" i="106"/>
  <c r="D3576" i="106" s="1"/>
  <c r="D10" i="146"/>
  <c r="F8" i="146"/>
  <c r="D78" i="4"/>
  <c r="D81" i="4" s="1"/>
  <c r="D39" i="3" s="1"/>
  <c r="B6214" i="106"/>
  <c r="D6214"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567" i="106"/>
  <c r="D3567" i="106" s="1"/>
  <c r="K41" i="3"/>
  <c r="B2912" i="106"/>
  <c r="D2912" i="106" s="1"/>
  <c r="I41" i="3"/>
  <c r="D51" i="36"/>
  <c r="B6216" i="106"/>
  <c r="D6216" i="106" s="1"/>
  <c r="E34" i="3"/>
  <c r="B6171" i="106"/>
  <c r="D6171" i="106" s="1"/>
  <c r="B123" i="106"/>
  <c r="D123" i="106" s="1"/>
  <c r="F176" i="34"/>
  <c r="B7878" i="106" s="1"/>
  <c r="D7878" i="106" s="1"/>
  <c r="B7835" i="106"/>
  <c r="D7835" i="106" s="1"/>
  <c r="B3278" i="106"/>
  <c r="D3278" i="106" s="1"/>
  <c r="E81" i="4"/>
  <c r="E39" i="3" s="1"/>
  <c r="B140" i="106" s="1"/>
  <c r="D140" i="106"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913" i="106" l="1"/>
  <c r="D2913" i="106" s="1"/>
  <c r="D50" i="36"/>
  <c r="D52" i="36"/>
  <c r="B3568" i="106"/>
  <c r="D3568" i="106" s="1"/>
  <c r="B189" i="106"/>
  <c r="D189" i="106" s="1"/>
  <c r="G41" i="3"/>
  <c r="B170" i="106"/>
  <c r="D170" i="106" s="1"/>
  <c r="F41" i="3"/>
  <c r="B139" i="106"/>
  <c r="D139" i="106" s="1"/>
  <c r="E41" i="3"/>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141" i="106"/>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6183" i="106"/>
  <c r="D6183" i="106" s="1"/>
  <c r="D34" i="3"/>
  <c r="B122" i="106" s="1"/>
  <c r="D122" i="106" s="1"/>
  <c r="D41" i="3" l="1"/>
  <c r="D45" i="36" s="1"/>
  <c r="B124" i="106" l="1"/>
  <c r="D124" i="106" s="1"/>
  <c r="D47" i="171"/>
  <c r="D49" i="1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<sst xmlns="http://schemas.openxmlformats.org/spreadsheetml/2006/main" count="5477" uniqueCount="2181">
  <si>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</si>
  <si>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</si>
  <si>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</si>
  <si>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</si>
  <si>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</si>
  <si>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</si>
  <si>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</si>
  <si>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</si>
  <si>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</si>
  <si>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</si>
  <si>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</si>
  <si>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</si>
  <si>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</si>
  <si>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</si>
  <si>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</si>
  <si>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</si>
  <si>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</si>
  <si>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</si>
  <si>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</si>
  <si>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</si>
  <si>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</si>
  <si>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</si>
  <si>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</si>
  <si>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</si>
  <si>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</si>
  <si>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</si>
  <si>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</si>
  <si>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</si>
  <si>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</si>
  <si>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</si>
  <si>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</si>
  <si>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</si>
  <si>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</si>
  <si>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</si>
  <si>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</si>
  <si>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</si>
  <si>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</si>
  <si>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</si>
  <si>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</si>
  <si>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</si>
  <si>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</si>
  <si>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</si>
  <si>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</si>
  <si>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</si>
  <si>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</si>
  <si>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</si>
  <si>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</si>
  <si>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</si>
  <si>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</si>
  <si>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</si>
  <si>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</si>
  <si>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</si>
  <si>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</si>
  <si>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</si>
  <si>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</si>
  <si>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</si>
  <si>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</si>
  <si>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</si>
  <si>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</si>
  <si>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</si>
  <si>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</si>
  <si>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</si>
  <si>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</si>
  <si>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</si>
  <si>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</si>
  <si>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</si>
  <si>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</si>
  <si>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</si>
  <si>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</si>
  <si>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</si>
  <si>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</si>
  <si>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</si>
  <si>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</si>
  <si>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</si>
  <si>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</si>
  <si>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</si>
  <si>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</si>
  <si>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</si>
  <si>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</si>
  <si>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</si>
  <si>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</si>
  <si>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</si>
  <si>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</si>
  <si>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</si>
  <si>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</si>
  <si>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</si>
  <si>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</si>
  <si>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</si>
  <si>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</si>
  <si>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</si>
  <si>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</si>
  <si>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</si>
  <si>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</si>
  <si>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</si>
  <si>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</si>
  <si>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</si>
  <si>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</si>
  <si>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</si>
  <si>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</si>
  <si>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</si>
  <si>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</si>
  <si>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</si>
  <si>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</si>
  <si>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</si>
  <si>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</si>
  <si>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</si>
  <si>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</si>
  <si>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</si>
  <si>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</si>
  <si>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</si>
  <si>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</si>
  <si>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</si>
  <si>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</si>
  <si>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</si>
  <si>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</si>
  <si>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</si>
  <si>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</si>
  <si>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</si>
  <si>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</si>
  <si>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</si>
  <si>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</si>
  <si>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</si>
  <si>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</si>
  <si>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</si>
  <si>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</si>
  <si>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</si>
  <si>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</si>
  <si>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</si>
  <si>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</si>
  <si>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</si>
  <si>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</si>
  <si>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</si>
  <si>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</si>
  <si>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</si>
  <si>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</si>
  <si>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</si>
  <si>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</si>
  <si>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</si>
  <si>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</si>
  <si>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</si>
  <si>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</si>
  <si>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</si>
  <si>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</si>
  <si>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</si>
  <si>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</si>
  <si>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</si>
  <si>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</si>
  <si>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</si>
  <si>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</si>
  <si>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</si>
  <si>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</si>
  <si>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</si>
  <si>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</si>
  <si>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</si>
  <si>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</si>
  <si>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</si>
  <si>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</si>
  <si>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</si>
  <si>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</si>
  <si>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</si>
  <si>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</si>
  <si>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</si>
  <si>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</si>
  <si>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</si>
  <si>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</si>
  <si>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</si>
  <si>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</si>
  <si>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</si>
  <si>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</si>
  <si>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</si>
  <si>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</si>
  <si>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</si>
  <si>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</si>
  <si>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</si>
  <si>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</si>
  <si>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</si>
  <si>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</si>
  <si>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</si>
  <si>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</si>
  <si>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</si>
  <si>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</si>
  <si>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</si>
  <si>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</si>
  <si>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</si>
  <si>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</si>
  <si>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</si>
  <si>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</si>
  <si>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</si>
  <si>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</si>
  <si>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</si>
  <si>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</si>
  <si>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</si>
  <si>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</si>
  <si>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</si>
  <si>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</si>
  <si>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</si>
  <si>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</si>
  <si>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</si>
  <si>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</si>
  <si>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</si>
  <si>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</si>
  <si>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</si>
  <si>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</si>
  <si>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</si>
  <si>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</si>
  <si>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</si>
  <si>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</si>
  <si>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</si>
  <si>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</si>
  <si>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</si>
  <si>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</si>
  <si>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</si>
  <si>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</si>
  <si>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</si>
  <si>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</si>
  <si>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</si>
  <si>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</si>
  <si>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</si>
  <si>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</si>
  <si>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</si>
  <si>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</si>
  <si>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</si>
  <si>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</si>
  <si>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</si>
  <si>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</si>
  <si>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</si>
  <si>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</si>
  <si>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</si>
  <si>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</si>
  <si>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</si>
  <si>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</si>
  <si>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</si>
  <si>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</si>
  <si>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</si>
  <si>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</si>
  <si>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</si>
  <si>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</si>
  <si>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</si>
  <si>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</si>
  <si>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</si>
  <si>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</si>
  <si>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</si>
  <si>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</si>
  <si>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</si>
  <si>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</si>
  <si>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</si>
  <si>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</si>
  <si>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</si>
  <si>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</si>
  <si>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</si>
  <si>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</si>
  <si>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</si>
  <si>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</si>
  <si>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</si>
  <si>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</si>
  <si>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</si>
  <si>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</si>
  <si>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</si>
  <si>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</si>
  <si>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</si>
  <si>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</si>
  <si>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</si>
  <si>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</si>
  <si>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</si>
  <si>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</si>
  <si>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</si>
  <si>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</si>
  <si>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</si>
  <si>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</si>
  <si>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</si>
  <si>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</si>
  <si>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</si>
  <si>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</si>
  <si>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</si>
  <si>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</si>
  <si>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</si>
  <si>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</si>
  <si>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</si>
  <si>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</si>
  <si>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</si>
  <si>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</si>
  <si>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</si>
  <si>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</si>
  <si>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</si>
  <si>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</si>
  <si>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</si>
  <si>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</si>
  <si>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</si>
  <si>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</si>
  <si>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</si>
  <si>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</si>
  <si>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</si>
  <si>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</si>
  <si>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</si>
  <si>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</si>
  <si>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</si>
  <si>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</si>
  <si>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</si>
  <si>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</si>
  <si>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</si>
  <si>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</si>
  <si>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</si>
  <si>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</si>
  <si>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</si>
  <si>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</si>
  <si>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</si>
  <si>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</si>
  <si>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</si>
  <si>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</si>
  <si>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</si>
  <si>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</si>
  <si>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</si>
  <si>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</si>
  <si>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</si>
  <si>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</si>
  <si>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</si>
  <si>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</si>
  <si>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</si>
  <si>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</si>
  <si>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</si>
  <si>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</si>
  <si>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</si>
  <si>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</si>
  <si>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</si>
  <si>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</si>
  <si>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</si>
  <si>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</si>
  <si>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</si>
  <si>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</si>
  <si>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</si>
  <si>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</si>
  <si>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</si>
  <si>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</si>
  <si>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</si>
  <si>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</si>
  <si>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</si>
  <si>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</si>
  <si>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</si>
  <si>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</si>
  <si>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</si>
  <si>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</si>
  <si>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</si>
  <si>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</si>
  <si>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</si>
  <si>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</si>
  <si>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</si>
  <si>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</si>
  <si>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</si>
  <si>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</si>
  <si>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</si>
  <si>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</si>
  <si>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</si>
  <si>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</si>
  <si>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</si>
  <si>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</si>
  <si>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</si>
  <si>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</si>
  <si>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</si>
  <si>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</si>
  <si>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</si>
  <si>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</si>
  <si>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</si>
  <si>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</si>
  <si>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</si>
  <si>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</si>
  <si>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</si>
  <si>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</si>
  <si>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</si>
  <si>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</si>
  <si>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</si>
  <si>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</si>
  <si>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</si>
  <si>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</si>
  <si>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</si>
  <si>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</si>
  <si>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</si>
  <si>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</si>
  <si>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</si>
  <si>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</si>
  <si>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</si>
  <si>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</si>
  <si>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</si>
  <si>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</si>
  <si>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</si>
  <si>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</si>
  <si>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</si>
  <si>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</si>
  <si>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</si>
  <si>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</si>
  <si>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</si>
  <si>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</si>
  <si>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</si>
  <si>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</si>
  <si>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</si>
  <si>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</si>
  <si>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</si>
  <si>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</si>
  <si>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</si>
  <si>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</si>
  <si>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</si>
  <si>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</si>
  <si>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</si>
  <si>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</si>
  <si>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</si>
  <si>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</si>
  <si>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</si>
  <si>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</si>
  <si>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</si>
  <si>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</si>
  <si>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</si>
  <si>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</si>
  <si>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</si>
  <si>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</si>
  <si>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</si>
  <si>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</si>
  <si>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</si>
  <si>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</si>
  <si>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</si>
  <si>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</si>
  <si>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</si>
  <si>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</si>
  <si>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</si>
  <si>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</si>
  <si>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</si>
  <si>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</si>
  <si>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</si>
  <si>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</si>
  <si>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</si>
  <si>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</si>
  <si>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</si>
  <si>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</si>
  <si>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</si>
  <si>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</si>
  <si>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</si>
  <si>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</si>
  <si>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</si>
  <si>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</si>
  <si>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</si>
  <si>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</si>
  <si>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</si>
  <si>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</si>
  <si>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</si>
  <si>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</si>
  <si>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</si>
  <si>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</si>
  <si>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</si>
  <si>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</si>
  <si>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</si>
  <si>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</si>
  <si>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</si>
  <si>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</si>
  <si>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</si>
  <si>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</si>
  <si>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</si>
  <si>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</si>
  <si>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</si>
  <si>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</si>
  <si>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</si>
  <si>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</si>
  <si>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</si>
  <si>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</si>
  <si>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</si>
  <si>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</si>
  <si>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</si>
  <si>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</si>
  <si>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</si>
  <si>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</si>
  <si>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</si>
  <si>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</si>
  <si>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</si>
  <si>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</si>
  <si>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</si>
  <si>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</si>
  <si>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</si>
  <si>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</si>
  <si>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</si>
  <si>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</si>
  <si>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</si>
  <si>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</si>
  <si>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</si>
  <si>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</si>
  <si>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</si>
  <si>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</si>
  <si>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</si>
  <si>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</si>
  <si>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</si>
  <si>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</si>
  <si>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</si>
  <si>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</si>
  <si>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</si>
  <si>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</si>
  <si>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</si>
  <si>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</si>
  <si>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</si>
  <si>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</si>
  <si>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</si>
  <si>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</si>
  <si>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</si>
  <si>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</si>
  <si>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</si>
  <si>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</si>
  <si>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</si>
  <si>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</si>
  <si>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</si>
  <si>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</si>
  <si>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</si>
  <si>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</si>
  <si>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</si>
  <si>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</si>
  <si>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</si>
  <si>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</si>
  <si>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</si>
  <si>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</si>
  <si>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</si>
  <si>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</si>
  <si>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</si>
  <si>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</si>
  <si>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</si>
  <si>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</si>
  <si>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</si>
  <si>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</si>
  <si>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</si>
  <si>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</si>
  <si>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</si>
  <si>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</si>
  <si>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</si>
  <si>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</si>
  <si>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</si>
  <si>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</si>
  <si>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</si>
  <si>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</si>
  <si>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</si>
  <si>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</si>
  <si>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</si>
  <si>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</si>
  <si>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</si>
  <si>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</si>
  <si>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</si>
  <si>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</si>
  <si>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</si>
  <si>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</si>
  <si>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</si>
  <si>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</si>
  <si>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</si>
  <si>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</si>
  <si>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</si>
  <si>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</si>
  <si>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</si>
  <si>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</si>
  <si>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</si>
  <si>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</si>
  <si>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</si>
  <si>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</si>
  <si>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</si>
  <si>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</si>
  <si>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</si>
  <si>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</si>
  <si>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</si>
  <si>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</si>
  <si>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</si>
  <si>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</si>
  <si>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</si>
  <si>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</si>
  <si>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</si>
  <si>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</si>
  <si>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</si>
  <si>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</si>
  <si>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</si>
  <si>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</si>
  <si>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</si>
  <si>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</si>
  <si>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</si>
  <si>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</si>
  <si>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</si>
  <si>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</si>
  <si>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</si>
  <si>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</si>
  <si>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</si>
  <si>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</si>
  <si>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</si>
  <si>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</si>
  <si>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</si>
  <si>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</si>
  <si>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</si>
  <si>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</si>
  <si>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</si>
  <si>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</si>
  <si>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</si>
  <si>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</si>
  <si>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</si>
  <si>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</si>
  <si>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</si>
  <si>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</si>
  <si>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</si>
  <si>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</si>
  <si>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</si>
  <si>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</si>
  <si>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</si>
  <si>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</si>
  <si>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</si>
  <si>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</si>
  <si>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</si>
  <si>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</si>
  <si>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</si>
  <si>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</si>
  <si>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</si>
  <si>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</si>
  <si>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</si>
  <si>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</si>
  <si>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</si>
  <si>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</si>
  <si>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</si>
  <si>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</si>
  <si>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</si>
  <si>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</si>
  <si>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</si>
  <si>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</si>
  <si>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</si>
  <si>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</si>
  <si>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</si>
  <si>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</si>
  <si>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</si>
  <si>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</si>
  <si>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</si>
  <si>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</si>
  <si>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</si>
  <si>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</si>
  <si>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</si>
  <si>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</si>
  <si>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</si>
  <si>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</si>
  <si>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</si>
  <si>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</si>
  <si>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</si>
  <si>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</si>
  <si>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</si>
  <si>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</si>
  <si>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</si>
  <si>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</si>
  <si>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</si>
  <si>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</si>
  <si>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</si>
  <si>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</si>
  <si>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</si>
  <si>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</si>
  <si>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</si>
  <si>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</si>
  <si>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</si>
  <si>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</si>
  <si>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</si>
  <si>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</si>
  <si>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</si>
  <si>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</si>
  <si>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</si>
  <si>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</si>
  <si>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</si>
  <si>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</si>
  <si>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</si>
  <si>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</si>
  <si>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</si>
  <si>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</si>
  <si>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</si>
  <si>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</si>
  <si>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</si>
  <si>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</si>
  <si>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</si>
  <si>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</si>
  <si>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</si>
  <si>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</si>
  <si>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</si>
  <si>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</si>
  <si>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</si>
  <si>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</si>
  <si>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</si>
  <si>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</si>
  <si>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</si>
  <si>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</si>
  <si>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</si>
  <si>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</si>
  <si>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</si>
  <si>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</si>
  <si>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</si>
  <si>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</si>
  <si>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</si>
  <si>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</si>
  <si>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</si>
  <si>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</si>
  <si>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</si>
  <si>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</si>
  <si>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</si>
  <si>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</si>
  <si>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</si>
  <si>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</si>
  <si>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</si>
  <si>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</si>
  <si>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</si>
  <si>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</si>
  <si>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</si>
  <si>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</si>
  <si>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</si>
  <si>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</si>
  <si>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</si>
  <si>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</si>
  <si>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</si>
  <si>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</si>
  <si>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</si>
  <si>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</si>
  <si>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</si>
  <si>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</si>
  <si>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</si>
  <si>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</si>
  <si>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</si>
  <si>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</si>
  <si>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</si>
  <si>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</si>
  <si>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</si>
  <si>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</si>
  <si>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</si>
  <si>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</si>
  <si>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</si>
  <si>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</si>
  <si>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</si>
  <si>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</si>
  <si>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</si>
  <si>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</si>
  <si>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</si>
  <si>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</si>
  <si>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</si>
  <si>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</si>
  <si>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</si>
  <si>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</si>
  <si>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</si>
  <si>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</si>
  <si>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</si>
  <si>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</si>
  <si>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</si>
  <si>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</si>
  <si>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</si>
  <si>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</si>
  <si>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</si>
  <si>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</si>
  <si>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</si>
  <si>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</si>
  <si>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</si>
  <si>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</si>
  <si>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</si>
  <si>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</si>
  <si>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</si>
  <si>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</si>
  <si>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</si>
  <si>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</si>
  <si>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</si>
  <si>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</si>
  <si>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</si>
  <si>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</si>
  <si>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</si>
  <si>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</si>
  <si>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</si>
  <si>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</si>
  <si>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</si>
  <si>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</si>
  <si>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</si>
  <si>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</si>
  <si>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</si>
  <si>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</si>
  <si>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</si>
  <si>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</si>
  <si>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</si>
  <si>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</si>
  <si>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</si>
  <si>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</si>
  <si>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</si>
  <si>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</si>
  <si>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</si>
  <si>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</si>
  <si>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</si>
  <si>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</si>
  <si>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</si>
  <si>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</si>
  <si>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</si>
  <si>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</si>
  <si>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</si>
  <si>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</si>
  <si>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</si>
  <si>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</si>
  <si>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</si>
  <si>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</si>
  <si>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</si>
  <si>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</si>
  <si>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</si>
  <si>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</si>
  <si>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</si>
  <si>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</si>
  <si>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</si>
  <si>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</si>
  <si>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</si>
  <si>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</si>
  <si>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</si>
  <si>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</si>
  <si>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</si>
  <si>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</si>
  <si>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</si>
  <si>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</si>
  <si>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</si>
  <si>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</si>
  <si>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</si>
  <si>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</si>
  <si>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</si>
  <si>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</si>
  <si>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</si>
  <si>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</si>
  <si>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</si>
  <si>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</si>
  <si>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</si>
  <si>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</si>
  <si>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</si>
  <si>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</si>
  <si>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</si>
  <si>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</si>
  <si>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</si>
  <si>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</si>
  <si>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</si>
  <si>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</si>
  <si>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</si>
  <si>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</si>
  <si>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</si>
  <si>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</si>
  <si>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</si>
  <si>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</si>
  <si>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</si>
  <si>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</si>
  <si>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</si>
  <si>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</si>
  <si>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</si>
  <si>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</si>
  <si>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</si>
  <si>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</si>
  <si>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</si>
  <si>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</si>
  <si>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</si>
  <si>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</si>
  <si>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</si>
  <si>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</si>
  <si>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</si>
  <si>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</si>
  <si>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</si>
  <si>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</si>
  <si>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</si>
  <si>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</si>
  <si>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</si>
  <si>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</si>
  <si>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</si>
  <si>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</si>
  <si>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</si>
  <si>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</si>
  <si>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</si>
  <si>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</si>
  <si>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</si>
  <si>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</si>
  <si>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</si>
  <si>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</si>
  <si>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</si>
  <si>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</si>
  <si>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</si>
  <si>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</si>
  <si>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</si>
  <si>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</si>
  <si>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</si>
  <si>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</si>
  <si>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</si>
  <si>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</si>
  <si>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</si>
  <si>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</si>
  <si>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</si>
  <si>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</si>
  <si>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</si>
  <si>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</si>
  <si>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</si>
  <si>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</si>
  <si>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</si>
  <si>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</si>
  <si>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</si>
  <si>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</si>
  <si>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</si>
  <si>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</si>
  <si>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</si>
  <si>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</si>
  <si>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</si>
  <si>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</si>
  <si>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</si>
  <si>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</si>
  <si>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</si>
  <si>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</si>
  <si>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</si>
  <si>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</si>
  <si>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</si>
  <si>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</si>
  <si>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</si>
  <si>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</si>
  <si>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</si>
  <si>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</si>
  <si>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</si>
  <si>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</si>
  <si>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</si>
  <si>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</si>
  <si>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</si>
  <si>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</si>
  <si>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</si>
  <si>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</si>
  <si>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</si>
  <si>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</si>
  <si>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</si>
  <si>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</si>
  <si>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</si>
  <si>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</si>
  <si>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</si>
  <si>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</si>
  <si>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</si>
  <si>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</si>
  <si>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</si>
  <si>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</si>
  <si>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</si>
  <si>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</si>
  <si>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</si>
  <si>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</si>
  <si>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</si>
  <si>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</si>
  <si>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</si>
  <si>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</si>
  <si>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</si>
  <si>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</si>
  <si>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</si>
  <si>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</si>
  <si>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</si>
  <si>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</si>
  <si>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</si>
  <si>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</si>
  <si>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</si>
  <si>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</si>
  <si>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</si>
  <si>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</si>
  <si>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</si>
  <si>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</si>
  <si>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</si>
  <si>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</si>
  <si>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</si>
  <si>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</si>
  <si>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</si>
  <si>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</si>
  <si>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</si>
  <si>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</si>
  <si>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</si>
  <si>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</si>
  <si>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</si>
  <si>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</si>
  <si>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</si>
  <si>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</si>
  <si>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</si>
  <si>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</si>
  <si>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</si>
  <si>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</si>
  <si>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</si>
  <si>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</si>
  <si>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</si>
  <si>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</si>
  <si>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</si>
  <si>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</si>
  <si>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</si>
  <si>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</si>
  <si>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</si>
  <si>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</si>
  <si>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</si>
  <si>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</si>
  <si>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</si>
  <si>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</si>
  <si>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</si>
  <si>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</si>
  <si>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</si>
  <si>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</si>
  <si>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</si>
  <si>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</si>
  <si>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</si>
  <si>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</si>
  <si>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</si>
  <si>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</si>
  <si>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</si>
  <si>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</si>
  <si>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</si>
  <si>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</si>
  <si>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</si>
  <si>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</si>
  <si>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</si>
  <si>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</si>
  <si>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</si>
  <si>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</si>
  <si>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</si>
  <si>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</si>
  <si>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</si>
  <si>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</si>
  <si>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</si>
  <si>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</si>
  <si>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</si>
  <si>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</si>
  <si>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</si>
  <si>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</si>
  <si>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</si>
  <si>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</si>
  <si>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</si>
  <si>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</si>
  <si>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</si>
  <si>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</si>
  <si>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</si>
  <si>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</si>
  <si>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</si>
  <si>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</si>
  <si>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</si>
  <si>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</si>
  <si>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</si>
  <si>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</si>
  <si>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</si>
  <si>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</si>
  <si>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</si>
  <si>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</si>
  <si>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</si>
  <si>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</si>
  <si>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</si>
  <si>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</si>
  <si>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</si>
  <si>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</si>
  <si>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</si>
  <si>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</si>
  <si>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</si>
  <si>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</si>
  <si>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</si>
  <si>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</si>
  <si>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</si>
  <si>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</si>
  <si>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</si>
  <si>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</si>
  <si>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</si>
  <si>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</si>
  <si>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</si>
  <si>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</si>
  <si>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</si>
  <si>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</si>
  <si>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</si>
  <si>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</si>
  <si>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</si>
  <si>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</si>
  <si>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</si>
  <si>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</si>
  <si>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</si>
  <si>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</si>
  <si>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</si>
  <si>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</si>
  <si>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</si>
  <si>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</si>
  <si>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</si>
  <si>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</si>
  <si>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</si>
  <si>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</si>
  <si>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</si>
  <si>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</si>
  <si>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</si>
  <si>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</si>
  <si>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</si>
  <si>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</si>
  <si>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</si>
  <si>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</si>
  <si>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</si>
  <si>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</si>
  <si>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</si>
  <si>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</si>
  <si>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</si>
  <si>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</si>
  <si>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</si>
  <si>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</si>
  <si>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</si>
  <si>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</si>
  <si>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</si>
  <si>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</si>
  <si>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</si>
  <si>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</si>
  <si>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</si>
  <si>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</si>
  <si>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</si>
  <si>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</si>
  <si>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</si>
  <si>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</si>
  <si>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</si>
  <si>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</si>
  <si>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</si>
  <si>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</si>
  <si>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</si>
  <si>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</si>
  <si>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</si>
  <si>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</si>
  <si>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</si>
  <si>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</si>
  <si>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</si>
  <si>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</si>
  <si>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</si>
  <si>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</si>
  <si>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</si>
  <si>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</si>
  <si>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</si>
  <si>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</si>
  <si>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</si>
  <si>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</si>
  <si>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</si>
  <si>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</si>
  <si>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</si>
  <si>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</si>
  <si>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</si>
  <si>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</si>
  <si>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</si>
  <si>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</si>
  <si>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</si>
  <si>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</si>
  <si>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</si>
  <si>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</si>
  <si>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</si>
  <si>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</si>
  <si>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</si>
  <si>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</si>
  <si>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</si>
  <si>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</si>
  <si>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</si>
  <si>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</si>
  <si>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</si>
  <si>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</si>
  <si>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</si>
  <si>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</si>
  <si>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</si>
  <si>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</si>
  <si>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</si>
  <si>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</si>
  <si>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</si>
  <si>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</si>
  <si>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</si>
  <si>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</si>
  <si>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</si>
  <si>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</si>
  <si>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</si>
  <si>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</si>
  <si>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</si>
  <si>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</si>
  <si>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</si>
  <si>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</si>
  <si>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</si>
  <si>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</si>
  <si>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</si>
  <si>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</si>
  <si>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</si>
  <si>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</si>
  <si>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</si>
  <si>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</si>
  <si>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</si>
  <si>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</si>
  <si>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</si>
  <si>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</si>
  <si>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</si>
  <si>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</si>
  <si>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</si>
  <si>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</si>
  <si>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</si>
  <si>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</si>
  <si>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</si>
  <si>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</si>
  <si>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</si>
  <si>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</si>
  <si>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</si>
  <si>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</si>
  <si>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</si>
  <si>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</si>
  <si>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</si>
  <si>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</si>
  <si>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</si>
  <si>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</si>
  <si>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</si>
  <si>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</si>
  <si>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</si>
  <si>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</si>
  <si>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</si>
  <si>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</si>
  <si>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</si>
  <si>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</si>
  <si>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</si>
  <si>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</si>
  <si>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</si>
  <si>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</si>
  <si>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</si>
  <si>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</si>
  <si>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</si>
  <si>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</si>
  <si>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</si>
  <si>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</si>
  <si>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</si>
  <si>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</si>
  <si>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</si>
  <si>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</si>
  <si>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</si>
  <si>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</si>
  <si>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</si>
  <si>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</si>
  <si>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</si>
  <si>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</si>
  <si>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</si>
  <si>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</si>
  <si>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</si>
  <si>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</si>
  <si>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</si>
  <si>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</si>
  <si>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</si>
  <si>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</si>
  <si>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</si>
  <si>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</si>
  <si>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</si>
  <si>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</si>
  <si>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</si>
  <si>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</si>
  <si>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</si>
  <si>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</si>
  <si>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</si>
  <si>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</si>
  <si>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</si>
  <si>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</si>
  <si>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</si>
  <si>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</si>
  <si>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</si>
  <si>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</si>
  <si>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</si>
  <si>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</si>
  <si>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</si>
  <si>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</si>
  <si>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</si>
  <si>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</si>
  <si>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</si>
  <si>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</si>
  <si>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</si>
  <si>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</si>
  <si>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</si>
  <si>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</si>
  <si>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</si>
  <si>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</si>
  <si>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</si>
  <si>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</si>
  <si>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</si>
  <si>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</si>
  <si>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</si>
  <si>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</si>
  <si>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</si>
  <si>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</si>
  <si>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</si>
  <si>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</si>
  <si>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</si>
  <si>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</si>
  <si>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</si>
  <si>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</si>
  <si>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</si>
  <si>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</si>
  <si>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</si>
  <si>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</si>
  <si>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</si>
  <si>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</si>
  <si>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</si>
  <si>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</si>
  <si>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</si>
  <si>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</si>
  <si>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</si>
  <si>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</si>
  <si>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</si>
  <si>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</si>
  <si>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</si>
  <si>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</si>
  <si>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</si>
  <si>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</si>
  <si>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</si>
  <si>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</si>
  <si>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</si>
  <si>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</si>
  <si>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</si>
  <si>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</si>
  <si>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</si>
  <si>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</si>
  <si>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</si>
  <si>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</si>
  <si>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</si>
  <si>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</si>
  <si>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</si>
  <si>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</si>
  <si>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</si>
  <si>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</si>
  <si>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</si>
  <si>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</si>
  <si>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</si>
  <si>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</si>
  <si>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</si>
  <si>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</si>
  <si>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</si>
  <si>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</si>
  <si>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</si>
  <si>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</si>
  <si>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</si>
  <si>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</si>
  <si>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</si>
  <si>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</si>
  <si>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</si>
  <si>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</si>
  <si>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</si>
  <si>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</si>
  <si>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</si>
  <si>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</si>
  <si>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</si>
  <si>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</si>
  <si>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</si>
  <si>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</si>
  <si>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</si>
  <si>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</si>
  <si>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</si>
  <si>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</si>
  <si>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</si>
  <si>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</si>
  <si>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</si>
  <si>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</si>
  <si>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</si>
  <si>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</si>
  <si>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</si>
  <si>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</si>
  <si>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</si>
  <si>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</si>
  <si>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</si>
  <si>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</si>
  <si>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</si>
  <si>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</si>
  <si>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</si>
  <si>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</si>
  <si>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</si>
  <si>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</si>
  <si>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</si>
  <si>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</si>
  <si>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</si>
  <si>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</si>
  <si>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</si>
  <si>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</si>
  <si>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</si>
  <si>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</si>
  <si>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</si>
  <si>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</si>
  <si>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</si>
  <si>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</si>
  <si>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</si>
  <si>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</si>
  <si>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</si>
  <si>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</si>
  <si>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</si>
  <si>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</si>
  <si>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</si>
  <si>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</si>
  <si>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</si>
  <si>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</si>
  <si>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</si>
  <si>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</si>
  <si>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</si>
  <si>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</si>
  <si>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</si>
  <si>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</si>
  <si>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</si>
  <si>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</si>
  <si>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</si>
  <si>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</si>
  <si>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</si>
  <si>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</si>
  <si>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</si>
  <si>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</si>
  <si>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</si>
  <si>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</si>
  <si>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</si>
  <si>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</si>
  <si>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</si>
  <si>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</si>
  <si>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</si>
  <si>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</si>
  <si>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</si>
  <si>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</si>
  <si>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</si>
  <si>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</si>
  <si>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</si>
  <si>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</si>
  <si>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</si>
  <si>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</si>
  <si>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</si>
  <si>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</si>
  <si>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</si>
  <si>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</si>
  <si>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</si>
  <si>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</si>
  <si>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</si>
  <si>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</si>
  <si>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</si>
  <si>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</si>
  <si>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</si>
  <si>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</si>
  <si>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</si>
  <si>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</si>
  <si>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</si>
  <si>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</si>
  <si>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</si>
  <si>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</si>
  <si>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</si>
  <si>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</si>
  <si>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</si>
  <si>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</si>
  <si>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</si>
  <si>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</si>
  <si>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</si>
  <si>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</si>
  <si>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</si>
  <si>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</si>
  <si>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</si>
  <si>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</si>
  <si>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</si>
  <si>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</si>
  <si>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</si>
  <si>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</si>
  <si>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</si>
  <si>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</si>
  <si>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</si>
  <si>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</si>
  <si>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</si>
  <si>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</si>
  <si>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</si>
  <si>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</si>
  <si>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</si>
  <si>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</si>
  <si>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</si>
  <si>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</si>
  <si>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</si>
  <si>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</si>
  <si>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</si>
  <si>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</si>
  <si>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</si>
  <si>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</si>
  <si>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</si>
  <si>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</si>
  <si>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</si>
  <si>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</si>
  <si>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</si>
  <si>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</si>
  <si>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</si>
  <si>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</si>
  <si>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</si>
  <si>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</si>
  <si>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</si>
  <si>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</si>
  <si>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</si>
  <si>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</si>
  <si>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</si>
  <si>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</si>
  <si>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</si>
  <si>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</si>
  <si>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</si>
  <si>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</si>
  <si>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</si>
  <si>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</si>
  <si>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</si>
  <si>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</si>
  <si>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</si>
  <si>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</si>
  <si>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</si>
  <si>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</si>
  <si>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</si>
  <si>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</si>
  <si>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</si>
  <si>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</si>
  <si>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</si>
  <si>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</si>
  <si>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</si>
  <si>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</si>
  <si>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</si>
  <si>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</si>
  <si>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</si>
  <si>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</si>
  <si>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</si>
  <si>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</si>
  <si>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</si>
  <si>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</si>
  <si>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</si>
  <si>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</si>
  <si>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</si>
  <si>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</si>
  <si>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</si>
  <si>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</si>
  <si>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</si>
  <si>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</si>
  <si>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</si>
  <si>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</si>
  <si>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</si>
  <si>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</si>
  <si>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</si>
  <si>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</si>
  <si>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</si>
  <si>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</si>
  <si>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</si>
  <si>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</si>
  <si>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</si>
  <si>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</si>
  <si>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</si>
  <si>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</si>
  <si>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</si>
  <si>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</si>
  <si>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</si>
  <si>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</si>
  <si>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</si>
  <si>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</si>
  <si>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</si>
  <si>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</si>
  <si>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</si>
  <si>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</si>
  <si>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</si>
  <si>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</si>
  <si>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</si>
  <si>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</si>
  <si>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</si>
  <si>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</si>
  <si>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</si>
  <si>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</si>
  <si>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</si>
  <si>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</si>
  <si>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</si>
  <si>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</si>
  <si>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</si>
  <si>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</si>
  <si>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</si>
  <si>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</si>
  <si>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</si>
  <si>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</si>
  <si>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</si>
  <si>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</si>
  <si>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</si>
  <si>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</si>
  <si>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</si>
  <si>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</si>
  <si>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</si>
  <si>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</si>
  <si>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</si>
  <si>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</si>
  <si>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</si>
  <si>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</si>
  <si>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</si>
  <si>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</si>
  <si>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</si>
  <si>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</si>
  <si>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</si>
  <si>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</si>
  <si>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</si>
  <si>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</si>
  <si>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</si>
  <si>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</si>
  <si>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</si>
  <si>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</si>
  <si>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</si>
  <si>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</si>
  <si>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</si>
  <si>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</si>
  <si>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</si>
  <si>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</si>
  <si>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</si>
  <si>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</si>
  <si>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</si>
  <si>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</si>
  <si>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</si>
  <si>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</si>
  <si>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</si>
  <si>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</si>
  <si>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</si>
  <si>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</si>
  <si>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</si>
  <si>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</si>
  <si>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</si>
  <si>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</si>
  <si>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</si>
  <si>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</si>
  <si>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</si>
  <si>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</si>
  <si>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</si>
  <si>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</si>
  <si>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</si>
  <si>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</si>
  <si>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</si>
  <si>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</si>
  <si>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</si>
  <si>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</si>
  <si>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</si>
  <si>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</si>
  <si>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</si>
  <si>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</si>
  <si>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</si>
  <si>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</si>
  <si>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</si>
  <si>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</si>
  <si>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</si>
  <si>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</si>
  <si>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</si>
  <si>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</si>
  <si>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</si>
  <si>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</si>
  <si>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</si>
  <si>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</si>
  <si>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</si>
  <si>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</si>
  <si>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</si>
  <si>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</si>
  <si>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</si>
  <si>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</si>
  <si>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</si>
  <si>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</si>
  <si>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</si>
  <si>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</si>
  <si>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</si>
  <si>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</si>
  <si>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</si>
  <si>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</si>
  <si>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</si>
  <si>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</si>
  <si>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</si>
  <si>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</si>
  <si>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</si>
  <si>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</si>
  <si>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</si>
  <si>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</si>
  <si>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</si>
  <si>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</si>
  <si>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</si>
  <si>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</si>
  <si>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</si>
  <si>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</si>
  <si>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</si>
  <si>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</si>
  <si>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</si>
  <si>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</si>
  <si>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</si>
  <si>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</si>
  <si>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</si>
  <si>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</si>
  <si>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</si>
  <si>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</si>
  <si>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</si>
  <si>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</si>
  <si>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</si>
  <si>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</si>
  <si>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</si>
  <si>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</si>
  <si>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</si>
  <si>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</si>
  <si>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</si>
  <si>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</si>
  <si>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</si>
  <si>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</si>
  <si>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</si>
  <si>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</si>
  <si>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</si>
  <si>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</si>
  <si>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</si>
  <si>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</si>
  <si>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</si>
  <si>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</si>
  <si>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</si>
  <si>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</si>
  <si>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</si>
  <si>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</si>
  <si>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</si>
  <si>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</si>
  <si>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</si>
  <si>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</si>
  <si>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</si>
  <si>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</si>
  <si>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</si>
  <si>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</si>
  <si>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</si>
  <si>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</si>
  <si>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</si>
  <si>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</si>
  <si>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</si>
  <si>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</si>
  <si>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</si>
  <si>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</si>
  <si>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</si>
  <si>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</si>
  <si>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</si>
  <si>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</si>
  <si>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</si>
  <si>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</si>
  <si>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</si>
  <si>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</si>
  <si>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</si>
  <si>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</si>
  <si>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</si>
  <si>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</si>
  <si>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</si>
  <si>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</si>
  <si>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</si>
  <si>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</si>
  <si>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</si>
  <si>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</si>
  <si>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</si>
  <si>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</si>
  <si>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</si>
  <si>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</si>
  <si>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</si>
  <si>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</si>
  <si>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</si>
  <si>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</si>
  <si>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</si>
  <si>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</si>
  <si>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</si>
  <si>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</si>
  <si>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</si>
  <si>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</si>
  <si>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</si>
  <si>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</si>
  <si>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</si>
  <si>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</si>
  <si>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</si>
  <si>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</si>
  <si>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</si>
  <si>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</si>
  <si>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</si>
  <si>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</si>
  <si>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</si>
  <si>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</si>
  <si>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</si>
  <si>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</si>
  <si>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</si>
  <si>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</si>
  <si>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</si>
  <si>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</si>
  <si>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</si>
  <si>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</si>
  <si>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</si>
  <si>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</si>
  <si>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</si>
  <si>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</si>
  <si>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</si>
  <si>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</si>
  <si>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</si>
  <si>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</si>
  <si>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</si>
  <si>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</si>
  <si>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</si>
  <si>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</si>
  <si>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</si>
  <si>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</si>
  <si>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</si>
  <si>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</si>
  <si>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</si>
  <si>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</si>
  <si>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</si>
  <si>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</si>
  <si>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</si>
  <si>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</si>
  <si>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</si>
  <si>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</si>
  <si>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</si>
  <si>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</si>
  <si>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</si>
  <si>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</si>
  <si>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</si>
  <si>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</si>
  <si>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</si>
  <si>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</si>
  <si>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</si>
  <si>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</si>
  <si>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</si>
  <si>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</si>
  <si>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</si>
  <si>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</si>
  <si>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</si>
  <si>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</si>
  <si>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</si>
  <si>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</si>
  <si>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</si>
  <si>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</si>
  <si>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</si>
  <si>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</si>
  <si>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</si>
  <si>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</si>
  <si>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</si>
  <si>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</si>
  <si>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</si>
  <si>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</si>
  <si>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</si>
  <si>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</si>
  <si>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</si>
  <si>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</si>
  <si>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</si>
  <si>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</si>
  <si>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</si>
  <si>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</si>
  <si>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</si>
  <si>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</si>
  <si>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</si>
  <si>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</si>
  <si>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</si>
  <si>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</si>
  <si>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</si>
  <si>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</si>
  <si>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</si>
  <si>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</si>
  <si>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</si>
  <si>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</si>
  <si>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</si>
  <si>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</si>
  <si>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</si>
  <si>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</si>
  <si>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</si>
  <si>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</si>
  <si>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</si>
  <si>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</si>
  <si>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</si>
  <si>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</si>
  <si>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</si>
  <si>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</si>
  <si>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</si>
  <si>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</si>
  <si>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</si>
  <si>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</si>
  <si>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</si>
  <si>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</si>
  <si>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</si>
  <si>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</si>
  <si>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</si>
  <si>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</si>
  <si>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</si>
  <si>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</si>
  <si>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</si>
  <si>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</si>
  <si>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</si>
  <si>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</si>
  <si>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</si>
  <si>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</si>
  <si>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</si>
  <si>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</si>
  <si>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</si>
  <si>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</si>
  <si>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</si>
  <si>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</si>
  <si>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</si>
  <si>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</si>
  <si>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</si>
  <si>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</si>
  <si>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</si>
  <si>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</si>
  <si>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</si>
  <si>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</si>
  <si>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</si>
  <si>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</si>
  <si>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</si>
  <si>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</si>
  <si>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</si>
  <si>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</si>
  <si>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</si>
  <si>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</si>
  <si>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</si>
  <si>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</si>
  <si>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</si>
  <si>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</si>
  <si>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</si>
  <si>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</si>
  <si>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</si>
  <si>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</si>
  <si>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</si>
  <si>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</si>
  <si>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</si>
  <si>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</si>
  <si>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</si>
  <si>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</si>
  <si>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</si>
  <si>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</si>
  <si>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</si>
  <si>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</si>
  <si>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</si>
  <si>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</si>
  <si>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</si>
  <si>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</si>
  <si>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</si>
  <si>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</si>
  <si>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</si>
  <si>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</si>
  <si>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</si>
  <si>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</si>
  <si>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</si>
  <si>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</si>
  <si>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</si>
  <si>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</si>
  <si>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</si>
  <si>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</si>
  <si>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</si>
  <si>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</si>
  <si>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</si>
  <si>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</si>
  <si>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</si>
  <si>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</si>
  <si>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</si>
  <si>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</si>
  <si>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</si>
  <si>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</si>
  <si>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</si>
  <si>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</si>
  <si>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</si>
  <si>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</si>
  <si>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</si>
  <si>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</si>
  <si>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</si>
  <si>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</si>
  <si>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</si>
  <si>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</si>
  <si>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</si>
  <si>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</si>
  <si>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</si>
  <si>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</si>
  <si>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</si>
  <si>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</si>
  <si>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</si>
  <si>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</si>
  <si>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</si>
  <si>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</si>
  <si>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</si>
  <si>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</si>
  <si>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</si>
  <si>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</si>
  <si>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</si>
  <si>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</si>
  <si>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</si>
  <si>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</si>
  <si>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</si>
  <si>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</si>
  <si>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</si>
  <si>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</si>
  <si>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</si>
  <si>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</si>
  <si>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</si>
  <si>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</si>
  <si>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</si>
  <si>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</si>
  <si>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</si>
  <si>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</si>
  <si>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</si>
  <si>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</si>
  <si>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</si>
  <si>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</si>
  <si>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</si>
  <si>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</si>
  <si>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</si>
  <si>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</si>
  <si>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</si>
  <si>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</si>
  <si>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</si>
  <si>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</si>
  <si>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</si>
  <si>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</si>
  <si>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</si>
  <si>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</si>
  <si>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</si>
  <si>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</si>
  <si>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</si>
  <si>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</si>
  <si>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</si>
  <si>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</si>
  <si>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</si>
  <si>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</si>
  <si>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</si>
  <si>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</si>
  <si>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</si>
  <si>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</si>
  <si>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</si>
  <si>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</si>
  <si>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</si>
  <si>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</si>
  <si>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</si>
  <si>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</si>
  <si>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</si>
  <si>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</si>
  <si>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</si>
  <si>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</si>
  <si>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</si>
  <si>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</si>
  <si>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</si>
  <si>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</si>
  <si>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</si>
  <si>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</si>
  <si>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</si>
  <si>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</si>
  <si>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</si>
  <si>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</si>
  <si>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</si>
  <si>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</si>
  <si>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</si>
  <si>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</si>
  <si>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</si>
  <si>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</si>
  <si>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</si>
  <si>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</si>
  <si>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</si>
  <si>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</si>
  <si>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</si>
  <si>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</si>
  <si>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</si>
  <si>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</si>
  <si>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</si>
  <si>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</si>
  <si>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</si>
  <si>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</si>
  <si>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</si>
  <si>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</si>
  <si>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</si>
  <si>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</si>
  <si>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</si>
  <si>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</si>
  <si>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</si>
  <si>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</si>
  <si>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</si>
  <si>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</si>
  <si>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</si>
  <si>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</si>
  <si>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</si>
  <si>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</si>
  <si>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</si>
  <si>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</si>
  <si>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</si>
  <si>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</si>
  <si>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</si>
  <si>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</si>
  <si>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</si>
  <si>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</si>
  <si>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</si>
  <si>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</si>
  <si>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</si>
  <si>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</si>
  <si>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</si>
  <si>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</si>
  <si>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</si>
  <si>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</si>
  <si>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</si>
  <si>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</si>
  <si>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</si>
  <si>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</si>
  <si>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</si>
  <si>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17-064-0050-26</t>
  </si>
  <si>
    <t>McLean</t>
  </si>
  <si>
    <t>McLean County Unit School District No. 5</t>
  </si>
  <si>
    <t>1809 West Hovey</t>
  </si>
  <si>
    <t>Normal</t>
  </si>
  <si>
    <t>61761-4339</t>
  </si>
  <si>
    <t>CliftonLarsonAllen LLP</t>
  </si>
  <si>
    <t>Hope Wheeler</t>
  </si>
  <si>
    <t>301 North Neil Street, Suite 205</t>
  </si>
  <si>
    <t>Champaign</t>
  </si>
  <si>
    <t>IL</t>
  </si>
  <si>
    <t>217-373-3139</t>
  </si>
  <si>
    <t>217-355-9549</t>
  </si>
  <si>
    <t>066-004450</t>
  </si>
  <si>
    <t>hope.wheeler@claconnect.com</t>
  </si>
  <si>
    <t>weiklek@unit5.org</t>
  </si>
  <si>
    <t>309-557-4000</t>
  </si>
  <si>
    <t>U.S. Department of Agriculture</t>
  </si>
  <si>
    <t>19-4210-00</t>
  </si>
  <si>
    <t>20-4210-00</t>
  </si>
  <si>
    <t>N/A</t>
  </si>
  <si>
    <t>19-4220-00</t>
  </si>
  <si>
    <t>20-4220-00</t>
  </si>
  <si>
    <t>Dept of Defense Fresh Fruits and Vegetables</t>
  </si>
  <si>
    <t>Food Commodities</t>
  </si>
  <si>
    <t>Total U.S. Department of Agriculture</t>
  </si>
  <si>
    <t>U.S. Department of Education</t>
  </si>
  <si>
    <t>19-4300-00</t>
  </si>
  <si>
    <t>20-4300-00</t>
  </si>
  <si>
    <t>19-4306-00</t>
  </si>
  <si>
    <t>20-4306-00</t>
  </si>
  <si>
    <t>Title I - School Improvement &amp; Accountability</t>
  </si>
  <si>
    <t>19-4331-00</t>
  </si>
  <si>
    <t>20-4331-00</t>
  </si>
  <si>
    <t>Federal Special Educ - IDEA-Room and Board (M)</t>
  </si>
  <si>
    <t>19-4625-00</t>
  </si>
  <si>
    <t>20-4625-00</t>
  </si>
  <si>
    <t>19-4620-00</t>
  </si>
  <si>
    <t>IDEA Part B Pre-School Flow Through (M)</t>
  </si>
  <si>
    <t>19-4600-00</t>
  </si>
  <si>
    <t>20-4600-00</t>
  </si>
  <si>
    <t>Title III - Lang Inst Prog-Limited Eng LIPLEP</t>
  </si>
  <si>
    <t>19-4909-00</t>
  </si>
  <si>
    <t>20-4909-00</t>
  </si>
  <si>
    <t>19-4932-00</t>
  </si>
  <si>
    <t>20-4932-00</t>
  </si>
  <si>
    <t>Preschool Expansion Grant</t>
  </si>
  <si>
    <t>19-4902-PE</t>
  </si>
  <si>
    <t>Total US Department of Education</t>
  </si>
  <si>
    <t>Education Innovation and Research</t>
  </si>
  <si>
    <t>Supporting Effective Educator Development</t>
  </si>
  <si>
    <t>84.423A</t>
  </si>
  <si>
    <t>Secondary Transition Experience Program</t>
  </si>
  <si>
    <t>46CXF00040</t>
  </si>
  <si>
    <t>Title I - Low Income - Delinquent Private</t>
  </si>
  <si>
    <t>U.S. Department of Health and Human Services</t>
  </si>
  <si>
    <t>Medicaid Administrative Outreach</t>
  </si>
  <si>
    <t>Total Expenditure of Federal Awards</t>
  </si>
  <si>
    <t>Refunding Bonds 2011</t>
  </si>
  <si>
    <t>Refunding Bonds 2012</t>
  </si>
  <si>
    <t>Refunding Bonds 2014</t>
  </si>
  <si>
    <t>General Obligation School Bonds, Series 2016</t>
  </si>
  <si>
    <t>General Obligation School Bonds, Series 2017</t>
  </si>
  <si>
    <t>Refunding Bonds 2017A</t>
  </si>
  <si>
    <t>General Obligation School Bonds, Series 2017B</t>
  </si>
  <si>
    <t>General Obligation School Bonds, Series 2020</t>
  </si>
  <si>
    <t>General Obligation School Bonds, Series 2018</t>
  </si>
  <si>
    <t>General Obligation School Bonds, Series 2018A</t>
  </si>
  <si>
    <t>General Obligation School Bonds, Series 2018B</t>
  </si>
  <si>
    <t>2009 Lease Certificates</t>
  </si>
  <si>
    <t>2012 Lease Certificates</t>
  </si>
  <si>
    <t>Capital Leases</t>
  </si>
  <si>
    <t>Various</t>
  </si>
  <si>
    <t>3&amp;6</t>
  </si>
  <si>
    <t>Lease Certificates</t>
  </si>
  <si>
    <t>None</t>
  </si>
  <si>
    <t>X</t>
  </si>
  <si>
    <t>McLean-DeWitt Regional Vocational System (see below)</t>
  </si>
  <si>
    <t>Bloomington High School, Blue Ridge High School, Clinton High School, Heyworth High School, LeRoy High School, Lexington High School, Normal Community High School, Normal Community West High School,</t>
  </si>
  <si>
    <t>Olympia High School, Ridgeview High School, Tri-Valley High School, University High School</t>
  </si>
  <si>
    <t>20-4620-00</t>
  </si>
  <si>
    <t>Total IDEA Cluster</t>
  </si>
  <si>
    <t>Total 84.010</t>
  </si>
  <si>
    <t>Passed through DuPage Regional Office of Education</t>
  </si>
  <si>
    <t>Passed through Illinois State University</t>
  </si>
  <si>
    <t>Of the federal expenditures presented in the schedule, the District provided federal awards to subrecipients as follows:</t>
  </si>
  <si>
    <t>Unmodified</t>
  </si>
  <si>
    <t>84.027/84.173</t>
  </si>
  <si>
    <t>IDEA Cluster</t>
  </si>
  <si>
    <t>2019-001</t>
  </si>
  <si>
    <t>During our testing of payroll expenditures, we noted an instance in which costs claimed for reimbursement exceeded the costs actually incurred by the District.</t>
  </si>
  <si>
    <t>Page 11 - Line 106 - Other Local Fees</t>
  </si>
  <si>
    <t>Page 11 - Line 107 - Other Local Revenues</t>
  </si>
  <si>
    <t>Page 12 - Line 168 - Other Restricted Revenue from State Sources</t>
  </si>
  <si>
    <t>Page 24 - Schedule of Long-Term Debt</t>
  </si>
  <si>
    <t>Page 29 - Contracts Paid in Current Year</t>
  </si>
  <si>
    <t>Tab is not completed due to District not utilizing the indirect cost rate</t>
  </si>
  <si>
    <t>Long term debt issues:</t>
  </si>
  <si>
    <t>Page 10 - Educational Fund, Line 74 - Other Food Service - Food Sales to Outside Groups $68,085</t>
  </si>
  <si>
    <t>Page 8 - Working Cash Fund, Line 75 - Bond Service Costs $163,900</t>
  </si>
  <si>
    <t>Educational Fund - $116,504 Orphanage Tuition and $15,903 for Other State Programs</t>
  </si>
  <si>
    <t xml:space="preserve"> and $44,925 SIR Grant.</t>
  </si>
  <si>
    <t>Page 14 - Educational Fund - Line 265 - Other Restricted Revenue from Federal Sources: $57,833 STEP Grant, $30,024 SEED Grant,</t>
  </si>
  <si>
    <t>Page 15 - Line 41 - Other Support Services - Pupils - Positive Behavioral Intervention Strategy $4,207</t>
  </si>
  <si>
    <t>Page 16 - Line 83 - Other Payments to In-State Government Units - Title I Juvenile Delinquency $128,875</t>
  </si>
  <si>
    <t>Page 18 - Line 171 - Fees $4,879</t>
  </si>
  <si>
    <t>Audit check error line 69 is due to capital lease payments of $427,775 made out of Transportation Fund (40)</t>
  </si>
  <si>
    <t>Page 10 - Educational Fund, Line 91 - Sales - Other $394</t>
  </si>
  <si>
    <t>Page 13 - Educational Fund - Line 203 - Title I - Other $297,040</t>
  </si>
  <si>
    <t>84.411C</t>
  </si>
  <si>
    <t>Genetic Mechanisms</t>
  </si>
  <si>
    <t>The accompanying Schedule of Expenditures of Federal Awards includes the federal grant activity of McLean County Unit District No. 5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</si>
  <si>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</si>
  <si>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46CYF00040</t>
  </si>
  <si>
    <t>Dr. Kristen Weikle</t>
  </si>
  <si>
    <t>Passed through  Illinois State Board of Education (ISBE)</t>
  </si>
  <si>
    <t>Total Nutriton Cluster</t>
  </si>
  <si>
    <t>Passed through Illinois State Board of Education (ISBE)</t>
  </si>
  <si>
    <t>IDEA Part B Flow Through (M)</t>
  </si>
  <si>
    <t>Total passed through Illinois State Board of Education</t>
  </si>
  <si>
    <t>Passed through Illinois Department of Human Services</t>
  </si>
  <si>
    <t>U.S. National Science Foundation</t>
  </si>
  <si>
    <t>Passed through Illinois Department of Healthcare and Family Services</t>
  </si>
  <si>
    <t>Total Medicaid Cluster</t>
  </si>
  <si>
    <t>Corrective action was taken</t>
  </si>
  <si>
    <t>Educational Fund - Music Fees $33,830</t>
  </si>
  <si>
    <t>Operations and Maintenance Fund - Engergy Rebates $460,239</t>
  </si>
  <si>
    <t>Educational Fund - USAC - E-Rate $114,357</t>
  </si>
  <si>
    <t>Transportation Fund - Miscellaneous Transportation Fees $4,418</t>
  </si>
  <si>
    <t>Tort Fund - Background Checks $11,903</t>
  </si>
  <si>
    <t>Operations and Maintenance Fund - Custodial Fees $195,730</t>
  </si>
  <si>
    <t>Page 17 - Line 120 - Other Support Services - Pupils - Parking Stickers $895</t>
  </si>
  <si>
    <t>Page 19 - Line 237 - Other Support Services - Pupils - FICA/Medicare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</si>
</sst>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119" fillId="0" borderId="8" xfId="3" applyNumberFormat="1" applyFont="1" applyBorder="1" applyAlignment="1" applyProtection="1">
      <alignment horizontal="center" shrinkToFit="1"/>
      <protection locked="0"/>
    </xf>
    <xf numFmtId="3" fontId="119"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indent="1"/>
      <protection locked="0"/>
    </xf>
    <xf numFmtId="0" fontId="58" fillId="0" borderId="0" xfId="3"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3" fontId="63" fillId="0" borderId="22" xfId="3" applyNumberFormat="1" applyFont="1" applyFill="1" applyBorder="1" applyAlignment="1" applyProtection="1">
      <alignment horizontal="center" shrinkToFit="1"/>
      <protection locked="0"/>
    </xf>
    <xf numFmtId="3" fontId="63" fillId="0" borderId="22" xfId="3" applyNumberFormat="1" applyFont="1" applyBorder="1" applyAlignment="1" applyProtection="1">
      <alignment horizontal="left" vertical="center" wrapText="1" indent="2"/>
      <protection locked="0"/>
    </xf>
    <xf numFmtId="179" fontId="58" fillId="0" borderId="0" xfId="3" applyNumberFormat="1" applyFont="1" applyBorder="1" applyAlignment="1" applyProtection="1">
      <alignment horizontal="center" vertical="center"/>
      <protection locked="0"/>
    </xf>
    <xf numFmtId="38" fontId="2" fillId="0" borderId="155" xfId="19" applyNumberFormat="1" applyFont="1" applyBorder="1" applyAlignment="1" applyProtection="1">
      <alignment horizontal="righ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401</v>
      </c>
      <c r="J1" s="2124"/>
      <c r="K1" s="2124"/>
      <c r="L1" s="2124"/>
      <c r="M1" s="2124"/>
      <c r="N1" s="2124"/>
      <c r="O1" s="2124"/>
      <c r="P1" s="2124"/>
      <c r="Q1" s="2124"/>
      <c r="R1" s="2124"/>
      <c r="S1" s="2124"/>
    </row>
    <row r="2" spans="1:32" ht="12" customHeight="1" x14ac:dyDescent="0.2">
      <c r="A2" s="1830" t="str">
        <f>"Due to ISBE on "</f>
        <v xml:space="preserve">Due to ISBE on </v>
      </c>
      <c r="B2" s="2046">
        <f>+'AFR20'!F4</f>
        <v>44151</v>
      </c>
      <c r="C2" s="2046"/>
      <c r="D2" s="2047"/>
      <c r="I2" s="2125" t="s">
        <v>1999</v>
      </c>
      <c r="J2" s="2124"/>
      <c r="K2" s="2124"/>
      <c r="L2" s="2124"/>
      <c r="M2" s="2124"/>
      <c r="N2" s="2124"/>
      <c r="O2" s="2124"/>
      <c r="P2" s="2124"/>
      <c r="Q2" s="2124"/>
      <c r="R2" s="2124"/>
      <c r="S2" s="2124"/>
    </row>
    <row r="3" spans="1:32" ht="12" customHeight="1" x14ac:dyDescent="0.2">
      <c r="A3" s="1833" t="str">
        <f>"SD/JA"&amp;MID('AFR20'!E2,3,2)</f>
        <v>SD/JA20</v>
      </c>
      <c r="B3" s="151"/>
      <c r="C3" s="151"/>
      <c r="D3" s="152"/>
      <c r="I3" s="2125" t="s">
        <v>52</v>
      </c>
      <c r="J3" s="2124"/>
      <c r="K3" s="2124"/>
      <c r="L3" s="2124"/>
      <c r="M3" s="2124"/>
      <c r="N3" s="2124"/>
      <c r="O3" s="2124"/>
      <c r="P3" s="2124"/>
      <c r="Q3" s="2124"/>
      <c r="R3" s="2124"/>
      <c r="S3" s="2124"/>
    </row>
    <row r="4" spans="1:32" ht="12" customHeight="1" x14ac:dyDescent="0.2">
      <c r="A4" s="37"/>
      <c r="I4" s="2125" t="s">
        <v>520</v>
      </c>
      <c r="J4" s="2124"/>
      <c r="K4" s="2124"/>
      <c r="L4" s="2124"/>
      <c r="M4" s="2124"/>
      <c r="N4" s="2124"/>
      <c r="O4" s="2124"/>
      <c r="P4" s="2124"/>
      <c r="Q4" s="2124"/>
      <c r="R4" s="2124"/>
      <c r="S4" s="2124"/>
    </row>
    <row r="5" spans="1:32" ht="14.1" customHeight="1" x14ac:dyDescent="0.2">
      <c r="B5" s="101" t="s">
        <v>2047</v>
      </c>
      <c r="C5" s="26" t="s">
        <v>903</v>
      </c>
      <c r="D5" s="81"/>
      <c r="E5" s="81"/>
      <c r="H5" s="38"/>
      <c r="I5" s="2132" t="s">
        <v>674</v>
      </c>
      <c r="J5" s="2077"/>
      <c r="K5" s="2077"/>
      <c r="L5" s="2077"/>
      <c r="M5" s="2077"/>
      <c r="N5" s="2077"/>
      <c r="O5" s="2077"/>
      <c r="P5" s="2077"/>
      <c r="Q5" s="2077"/>
      <c r="R5" s="2077"/>
      <c r="S5" s="2077"/>
      <c r="AF5" s="1826"/>
    </row>
    <row r="6" spans="1:32" ht="14.1" customHeight="1" x14ac:dyDescent="0.2">
      <c r="B6" s="101"/>
      <c r="C6" s="26" t="s">
        <v>904</v>
      </c>
      <c r="D6" s="81"/>
      <c r="E6" s="81"/>
      <c r="I6" s="2131" t="s">
        <v>876</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668</v>
      </c>
      <c r="J9" s="2129"/>
      <c r="K9" s="2129"/>
      <c r="L9" s="2129"/>
      <c r="M9" s="2129"/>
      <c r="N9" s="2129"/>
      <c r="O9" s="2129"/>
      <c r="P9" s="2129"/>
      <c r="Q9" s="2129"/>
      <c r="R9" s="2129"/>
      <c r="S9" s="2130"/>
      <c r="T9" s="2073" t="s">
        <v>529</v>
      </c>
      <c r="U9" s="2074"/>
      <c r="V9" s="2074"/>
      <c r="W9" s="2074"/>
      <c r="X9" s="2074"/>
      <c r="Y9" s="2074"/>
      <c r="Z9" s="2074"/>
      <c r="AA9" s="2075"/>
    </row>
    <row r="10" spans="1:32" ht="13.5" customHeight="1" x14ac:dyDescent="0.2">
      <c r="A10" s="2082" t="s">
        <v>669</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948</v>
      </c>
      <c r="B11" s="2086"/>
      <c r="C11" s="2086"/>
      <c r="D11" s="2086"/>
      <c r="E11" s="2086"/>
      <c r="F11" s="2086"/>
      <c r="G11" s="2086"/>
      <c r="H11" s="2087"/>
      <c r="I11" s="27"/>
      <c r="J11" s="71"/>
      <c r="K11" s="27"/>
      <c r="O11" s="144" t="s">
        <v>2047</v>
      </c>
      <c r="P11" s="97" t="s">
        <v>199</v>
      </c>
      <c r="Q11" s="30"/>
      <c r="R11" s="28"/>
      <c r="S11" s="27"/>
      <c r="T11" s="2079"/>
      <c r="U11" s="2080"/>
      <c r="V11" s="2080"/>
      <c r="W11" s="2080"/>
      <c r="X11" s="2080"/>
      <c r="Y11" s="2080"/>
      <c r="Z11" s="2080"/>
      <c r="AA11" s="2081"/>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3" t="s">
        <v>2048</v>
      </c>
      <c r="B13" s="2094"/>
      <c r="C13" s="2094"/>
      <c r="D13" s="2094"/>
      <c r="E13" s="2094"/>
      <c r="F13" s="2094"/>
      <c r="G13" s="2094"/>
      <c r="H13" s="2095"/>
      <c r="I13" s="31"/>
      <c r="J13" s="30"/>
      <c r="K13" s="28"/>
      <c r="L13" s="30"/>
      <c r="M13" s="30"/>
      <c r="N13" s="30"/>
      <c r="O13" s="30"/>
      <c r="P13" s="30"/>
      <c r="Q13" s="30"/>
      <c r="R13" s="30"/>
      <c r="S13" s="30"/>
      <c r="T13" s="2098" t="s">
        <v>2054</v>
      </c>
      <c r="U13" s="2099"/>
      <c r="V13" s="2099"/>
      <c r="W13" s="2099"/>
      <c r="X13" s="2099"/>
      <c r="Y13" s="2100"/>
      <c r="Z13" s="2100"/>
      <c r="AA13" s="210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1" t="s">
        <v>2049</v>
      </c>
      <c r="B15" s="2096"/>
      <c r="C15" s="2096"/>
      <c r="D15" s="2096"/>
      <c r="E15" s="2096"/>
      <c r="F15" s="2096"/>
      <c r="G15" s="2096"/>
      <c r="H15" s="2097"/>
      <c r="T15" s="2059" t="s">
        <v>2055</v>
      </c>
      <c r="U15" s="2060"/>
      <c r="V15" s="2060"/>
      <c r="W15" s="2060"/>
      <c r="X15" s="2060"/>
      <c r="Y15" s="2102"/>
      <c r="Z15" s="2102"/>
      <c r="AA15" s="210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1" t="s">
        <v>2050</v>
      </c>
      <c r="B17" s="2121"/>
      <c r="C17" s="2121"/>
      <c r="D17" s="2121"/>
      <c r="E17" s="2121"/>
      <c r="F17" s="2121"/>
      <c r="G17" s="2121"/>
      <c r="H17" s="2122"/>
      <c r="T17" s="2108" t="s">
        <v>2056</v>
      </c>
      <c r="U17" s="2109"/>
      <c r="V17" s="2109"/>
      <c r="W17" s="2109"/>
      <c r="X17" s="2109"/>
      <c r="Y17" s="2109"/>
      <c r="Z17" s="2109"/>
      <c r="AA17" s="2110"/>
    </row>
    <row r="18" spans="1:27" ht="13.5" customHeight="1" x14ac:dyDescent="0.2">
      <c r="A18" s="82" t="s">
        <v>526</v>
      </c>
      <c r="B18" s="73"/>
      <c r="C18" s="69"/>
      <c r="D18" s="73"/>
      <c r="E18" s="73"/>
      <c r="F18" s="73"/>
      <c r="G18" s="73"/>
      <c r="H18" s="53"/>
      <c r="I18" s="2118" t="s">
        <v>670</v>
      </c>
      <c r="J18" s="2119"/>
      <c r="K18" s="2119"/>
      <c r="L18" s="2119"/>
      <c r="M18" s="2119"/>
      <c r="N18" s="2119"/>
      <c r="O18" s="2119"/>
      <c r="P18" s="2119"/>
      <c r="Q18" s="2119"/>
      <c r="R18" s="2119"/>
      <c r="S18" s="2120"/>
      <c r="T18" s="82" t="s">
        <v>705</v>
      </c>
      <c r="U18" s="48"/>
      <c r="V18" s="69"/>
      <c r="W18" s="47"/>
      <c r="X18" s="82" t="s">
        <v>263</v>
      </c>
      <c r="Y18" s="78"/>
      <c r="Z18" s="154" t="s">
        <v>671</v>
      </c>
      <c r="AA18" s="44"/>
    </row>
    <row r="19" spans="1:27" ht="13.5" customHeight="1" x14ac:dyDescent="0.2">
      <c r="A19" s="2091" t="s">
        <v>2051</v>
      </c>
      <c r="B19" s="2092"/>
      <c r="C19" s="2092"/>
      <c r="D19" s="2092"/>
      <c r="E19" s="2092"/>
      <c r="F19" s="2092"/>
      <c r="G19" s="2092"/>
      <c r="H19" s="2090"/>
      <c r="I19" s="30"/>
      <c r="J19" s="96"/>
      <c r="K19" s="40"/>
      <c r="L19" s="38"/>
      <c r="M19" s="109" t="s">
        <v>311</v>
      </c>
      <c r="P19" s="27"/>
      <c r="Q19" s="27"/>
      <c r="R19" s="27"/>
      <c r="S19" s="31"/>
      <c r="T19" s="2091" t="s">
        <v>2057</v>
      </c>
      <c r="U19" s="2089"/>
      <c r="V19" s="2089"/>
      <c r="W19" s="2090"/>
      <c r="X19" s="2106" t="s">
        <v>2058</v>
      </c>
      <c r="Y19" s="2107"/>
      <c r="Z19" s="2104">
        <v>61820</v>
      </c>
      <c r="AA19" s="210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8" t="s">
        <v>2052</v>
      </c>
      <c r="B21" s="2089"/>
      <c r="C21" s="2089"/>
      <c r="D21" s="2089"/>
      <c r="E21" s="2089"/>
      <c r="F21" s="2089"/>
      <c r="G21" s="2089"/>
      <c r="H21" s="2090"/>
      <c r="I21" s="2114" t="s">
        <v>672</v>
      </c>
      <c r="J21" s="2077"/>
      <c r="K21" s="2077"/>
      <c r="L21" s="2077"/>
      <c r="M21" s="2077"/>
      <c r="N21" s="2077"/>
      <c r="O21" s="2077"/>
      <c r="P21" s="2077"/>
      <c r="Q21" s="2077"/>
      <c r="R21" s="2077"/>
      <c r="S21" s="2078"/>
      <c r="T21" s="2056" t="s">
        <v>2059</v>
      </c>
      <c r="U21" s="2057"/>
      <c r="V21" s="2057"/>
      <c r="W21" s="2057"/>
      <c r="X21" s="2070" t="s">
        <v>2060</v>
      </c>
      <c r="Y21" s="2071"/>
      <c r="Z21" s="2071"/>
      <c r="AA21" s="2072"/>
    </row>
    <row r="22" spans="1:27" ht="13.5" customHeight="1" x14ac:dyDescent="0.2">
      <c r="A22" s="84" t="s">
        <v>527</v>
      </c>
      <c r="B22" s="56"/>
      <c r="C22" s="56"/>
      <c r="D22" s="56"/>
      <c r="E22" s="56"/>
      <c r="F22" s="56"/>
      <c r="G22" s="56"/>
      <c r="H22" s="57"/>
      <c r="I22" s="2115" t="s">
        <v>1411</v>
      </c>
      <c r="J22" s="2116"/>
      <c r="K22" s="2116"/>
      <c r="L22" s="2116"/>
      <c r="M22" s="2116"/>
      <c r="N22" s="2116"/>
      <c r="O22" s="2116"/>
      <c r="P22" s="2116"/>
      <c r="Q22" s="2116"/>
      <c r="R22" s="2116"/>
      <c r="S22" s="2117"/>
      <c r="T22" s="82" t="s">
        <v>1498</v>
      </c>
      <c r="U22" s="48"/>
      <c r="V22" s="69"/>
      <c r="W22" s="48"/>
      <c r="X22" s="155" t="s">
        <v>1306</v>
      </c>
      <c r="Z22" s="43"/>
      <c r="AA22" s="44"/>
    </row>
    <row r="23" spans="1:27" ht="13.5" customHeight="1" x14ac:dyDescent="0.2">
      <c r="A23" s="2111" t="s">
        <v>2063</v>
      </c>
      <c r="B23" s="2112"/>
      <c r="C23" s="2112"/>
      <c r="D23" s="2112"/>
      <c r="E23" s="2112"/>
      <c r="F23" s="2112"/>
      <c r="G23" s="2112"/>
      <c r="H23" s="2113"/>
      <c r="T23" s="2051" t="s">
        <v>2061</v>
      </c>
      <c r="U23" s="2052"/>
      <c r="V23" s="2052"/>
      <c r="W23" s="2052"/>
      <c r="X23" s="2067">
        <v>44530</v>
      </c>
      <c r="Y23" s="2068"/>
      <c r="Z23" s="2068"/>
      <c r="AA23" s="2069"/>
    </row>
    <row r="24" spans="1:27" ht="14.1" customHeight="1" x14ac:dyDescent="0.2">
      <c r="A24" s="85" t="s">
        <v>671</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527</v>
      </c>
      <c r="U24" s="103"/>
      <c r="V24" s="103"/>
      <c r="W24" s="103"/>
      <c r="X24" s="104"/>
      <c r="Y24" s="104"/>
      <c r="Z24" s="104"/>
      <c r="AA24" s="105"/>
    </row>
    <row r="25" spans="1:27" ht="14.1" customHeight="1" x14ac:dyDescent="0.2">
      <c r="A25" s="2088" t="s">
        <v>2053</v>
      </c>
      <c r="B25" s="2089"/>
      <c r="C25" s="2089"/>
      <c r="D25" s="2089"/>
      <c r="E25" s="2089"/>
      <c r="F25" s="2089"/>
      <c r="G25" s="2089"/>
      <c r="H25" s="2090"/>
      <c r="I25" s="110"/>
      <c r="J25" s="2155"/>
      <c r="K25" s="2155"/>
      <c r="L25" s="2155"/>
      <c r="M25" s="2155"/>
      <c r="N25" s="2155"/>
      <c r="O25" s="2155"/>
      <c r="P25" s="2155"/>
      <c r="Q25" s="2155"/>
      <c r="R25" s="2155"/>
      <c r="S25" s="2156"/>
      <c r="T25" s="2048" t="s">
        <v>2062</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6" t="s">
        <v>1493</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1" t="s">
        <v>2162</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527</v>
      </c>
      <c r="B39" s="2145"/>
      <c r="C39" s="69"/>
      <c r="D39" s="66"/>
      <c r="E39" s="66"/>
      <c r="F39" s="76"/>
      <c r="G39" s="66"/>
      <c r="H39" s="53"/>
      <c r="I39" s="2144" t="s">
        <v>527</v>
      </c>
      <c r="J39" s="2145"/>
      <c r="K39" s="2145"/>
      <c r="L39" s="2145"/>
      <c r="M39" s="2145"/>
      <c r="N39" s="64"/>
      <c r="O39" s="69"/>
      <c r="P39" s="69"/>
      <c r="Q39" s="75"/>
      <c r="R39" s="69"/>
      <c r="S39" s="53"/>
      <c r="T39" s="69" t="s">
        <v>527</v>
      </c>
      <c r="U39" s="48"/>
      <c r="V39" s="69"/>
      <c r="W39" s="47"/>
      <c r="X39" s="75"/>
      <c r="Y39" s="43"/>
      <c r="Z39" s="43"/>
      <c r="AA39" s="44"/>
    </row>
    <row r="40" spans="1:27" ht="13.5" customHeight="1" x14ac:dyDescent="0.2">
      <c r="A40" s="2147" t="s">
        <v>2063</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7" t="s">
        <v>2064</v>
      </c>
      <c r="B42" s="2138"/>
      <c r="C42" s="2139"/>
      <c r="D42" s="2152"/>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5"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6"/>
      <c r="B3" s="1293"/>
      <c r="C3" s="1294"/>
      <c r="D3" s="1295" t="s">
        <v>254</v>
      </c>
      <c r="E3" s="1294"/>
      <c r="F3" s="1295" t="s">
        <v>255</v>
      </c>
    </row>
    <row r="4" spans="1:8" ht="13.7" customHeight="1" x14ac:dyDescent="0.2">
      <c r="A4" s="579" t="s">
        <v>1144</v>
      </c>
      <c r="B4" s="1720">
        <f>'Revenues 9-14'!C5</f>
        <v>54813514</v>
      </c>
      <c r="C4" s="1721">
        <v>25916132</v>
      </c>
      <c r="D4" s="1722">
        <f>B4-C4</f>
        <v>28897382</v>
      </c>
      <c r="E4" s="1721">
        <v>61370928</v>
      </c>
      <c r="F4" s="1722">
        <f>E4-C4</f>
        <v>35454796</v>
      </c>
    </row>
    <row r="5" spans="1:8" ht="13.7" customHeight="1" x14ac:dyDescent="0.2">
      <c r="A5" s="579" t="s">
        <v>864</v>
      </c>
      <c r="B5" s="1723">
        <f>'Revenues 9-14'!D5</f>
        <v>10075984</v>
      </c>
      <c r="C5" s="1663">
        <v>4763995</v>
      </c>
      <c r="D5" s="1724">
        <f t="shared" ref="D5:D18" si="0">B5-C5</f>
        <v>5311989</v>
      </c>
      <c r="E5" s="1663">
        <v>11281421</v>
      </c>
      <c r="F5" s="1724">
        <f>E5-C5</f>
        <v>6517426</v>
      </c>
    </row>
    <row r="6" spans="1:8" ht="13.7" customHeight="1" x14ac:dyDescent="0.2">
      <c r="A6" s="579" t="s">
        <v>407</v>
      </c>
      <c r="B6" s="1723">
        <f>'Revenues 9-14'!E5</f>
        <v>26687987</v>
      </c>
      <c r="C6" s="1663">
        <v>12368760</v>
      </c>
      <c r="D6" s="1724">
        <f t="shared" si="0"/>
        <v>14319227</v>
      </c>
      <c r="E6" s="1663">
        <v>29289952</v>
      </c>
      <c r="F6" s="1724">
        <f t="shared" ref="F6:F18" si="1">E6-C6</f>
        <v>16921192</v>
      </c>
    </row>
    <row r="7" spans="1:8" ht="13.7" customHeight="1" x14ac:dyDescent="0.2">
      <c r="A7" s="579" t="s">
        <v>154</v>
      </c>
      <c r="B7" s="1723">
        <f>'Revenues 9-14'!F5</f>
        <v>4030363</v>
      </c>
      <c r="C7" s="1663">
        <v>1905598</v>
      </c>
      <c r="D7" s="1724">
        <f t="shared" si="0"/>
        <v>2124765</v>
      </c>
      <c r="E7" s="1663">
        <v>4512568</v>
      </c>
      <c r="F7" s="1724">
        <f t="shared" si="1"/>
        <v>2606970</v>
      </c>
    </row>
    <row r="8" spans="1:8" ht="13.7" customHeight="1" x14ac:dyDescent="0.2">
      <c r="A8" s="579" t="s">
        <v>1168</v>
      </c>
      <c r="B8" s="1723">
        <f>'Revenues 9-14'!G5</f>
        <v>1662963</v>
      </c>
      <c r="C8" s="1663">
        <v>759476</v>
      </c>
      <c r="D8" s="1724">
        <f t="shared" si="0"/>
        <v>903487</v>
      </c>
      <c r="E8" s="1663">
        <v>1798484</v>
      </c>
      <c r="F8" s="1724">
        <f t="shared" si="1"/>
        <v>1039008</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1007578</v>
      </c>
      <c r="C10" s="1663">
        <v>476399</v>
      </c>
      <c r="D10" s="1724">
        <f t="shared" si="0"/>
        <v>531179</v>
      </c>
      <c r="E10" s="1663">
        <v>1128142</v>
      </c>
      <c r="F10" s="1724">
        <f t="shared" si="1"/>
        <v>651743</v>
      </c>
    </row>
    <row r="11" spans="1:8" x14ac:dyDescent="0.2">
      <c r="A11" s="579" t="s">
        <v>405</v>
      </c>
      <c r="B11" s="1723">
        <f>'Revenues 9-14'!J5</f>
        <v>4999209</v>
      </c>
      <c r="C11" s="1663">
        <v>2383903</v>
      </c>
      <c r="D11" s="1724">
        <f t="shared" si="0"/>
        <v>2615306</v>
      </c>
      <c r="E11" s="1663">
        <v>5645223</v>
      </c>
      <c r="F11" s="1724">
        <f t="shared" si="1"/>
        <v>3261320</v>
      </c>
    </row>
    <row r="12" spans="1:8" ht="13.7" customHeight="1" x14ac:dyDescent="0.2">
      <c r="A12" s="579" t="s">
        <v>156</v>
      </c>
      <c r="B12" s="1723">
        <f>'Revenues 9-14'!K5</f>
        <v>1007578</v>
      </c>
      <c r="C12" s="1663">
        <f>C10</f>
        <v>476399</v>
      </c>
      <c r="D12" s="1724">
        <f t="shared" si="0"/>
        <v>531179</v>
      </c>
      <c r="E12" s="1663">
        <f>E10</f>
        <v>1128142</v>
      </c>
      <c r="F12" s="1724">
        <f t="shared" si="1"/>
        <v>651743</v>
      </c>
    </row>
    <row r="13" spans="1:8" ht="13.7" customHeight="1" x14ac:dyDescent="0.2">
      <c r="A13" s="579" t="s">
        <v>929</v>
      </c>
      <c r="B13" s="1723">
        <f>SUM('Revenues 9-14'!C6:D6)</f>
        <v>1007578</v>
      </c>
      <c r="C13" s="1663">
        <f>C12</f>
        <v>476399</v>
      </c>
      <c r="D13" s="1724">
        <f t="shared" si="0"/>
        <v>531179</v>
      </c>
      <c r="E13" s="1663">
        <f>E12</f>
        <v>1128142</v>
      </c>
      <c r="F13" s="1724">
        <f t="shared" si="1"/>
        <v>651743</v>
      </c>
    </row>
    <row r="14" spans="1:8" ht="13.7" customHeight="1" x14ac:dyDescent="0.2">
      <c r="A14" s="579" t="s">
        <v>406</v>
      </c>
      <c r="B14" s="1723">
        <f>SUM('Revenues 9-14'!C7:D7,'Revenues 9-14'!F7:H7)</f>
        <v>806049</v>
      </c>
      <c r="C14" s="1663">
        <v>381120</v>
      </c>
      <c r="D14" s="1724">
        <f t="shared" si="0"/>
        <v>424929</v>
      </c>
      <c r="E14" s="1663">
        <v>902514</v>
      </c>
      <c r="F14" s="1724">
        <f t="shared" si="1"/>
        <v>521394</v>
      </c>
    </row>
    <row r="15" spans="1:8" ht="13.7" customHeight="1" x14ac:dyDescent="0.2">
      <c r="A15" s="579" t="s">
        <v>1147</v>
      </c>
      <c r="B15" s="1723">
        <f>SUM('Revenues 9-14'!D9:E9,'Revenues 9-14'!H9)</f>
        <v>0</v>
      </c>
      <c r="C15" s="1663"/>
      <c r="D15" s="1724">
        <f t="shared" si="0"/>
        <v>0</v>
      </c>
      <c r="E15" s="1663"/>
      <c r="F15" s="1724">
        <f t="shared" si="1"/>
        <v>0</v>
      </c>
    </row>
    <row r="16" spans="1:8" ht="13.7" customHeight="1" x14ac:dyDescent="0.2">
      <c r="A16" s="579" t="s">
        <v>1148</v>
      </c>
      <c r="B16" s="1723">
        <f>'Revenues 9-14'!G8</f>
        <v>2211702</v>
      </c>
      <c r="C16" s="1663">
        <v>1118110</v>
      </c>
      <c r="D16" s="1724">
        <f t="shared" si="0"/>
        <v>1093592</v>
      </c>
      <c r="E16" s="1663">
        <v>2647750</v>
      </c>
      <c r="F16" s="1724">
        <f t="shared" si="1"/>
        <v>1529640</v>
      </c>
    </row>
    <row r="17" spans="1:6" ht="13.7" customHeight="1" x14ac:dyDescent="0.2">
      <c r="A17" s="579" t="s">
        <v>1149</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1150</v>
      </c>
      <c r="B19" s="1725">
        <f>SUM(B4:B18)</f>
        <v>108310505</v>
      </c>
      <c r="C19" s="1725">
        <f>SUM(C4:C18)</f>
        <v>51026291</v>
      </c>
      <c r="D19" s="1725">
        <f>SUM(D4:D18)</f>
        <v>57284214</v>
      </c>
      <c r="E19" s="1725">
        <f>SUM(E4:E18)</f>
        <v>120833266</v>
      </c>
      <c r="F19" s="1725">
        <f>SUM(F4:F18)</f>
        <v>69806975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624</v>
      </c>
      <c r="B1" s="2302"/>
      <c r="C1" s="585"/>
    </row>
    <row r="2" spans="1:7" ht="33.75" x14ac:dyDescent="0.2">
      <c r="A2" s="2310" t="s">
        <v>1775</v>
      </c>
      <c r="B2" s="231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4" t="s">
        <v>1103</v>
      </c>
      <c r="B3" s="2315"/>
      <c r="C3" s="2303"/>
      <c r="D3" s="2304"/>
      <c r="E3" s="2304"/>
      <c r="F3" s="2305"/>
    </row>
    <row r="4" spans="1:7" ht="12.75" customHeight="1" thickBot="1" x14ac:dyDescent="0.25">
      <c r="A4" s="2312" t="s">
        <v>625</v>
      </c>
      <c r="B4" s="2313"/>
      <c r="C4" s="1655"/>
      <c r="D4" s="1655"/>
      <c r="E4" s="1655"/>
      <c r="F4" s="1731">
        <f>SUM(C4+D4)-E4</f>
        <v>0</v>
      </c>
    </row>
    <row r="5" spans="1:7" ht="15.75" customHeight="1" thickTop="1" x14ac:dyDescent="0.2">
      <c r="A5" s="2297" t="s">
        <v>1100</v>
      </c>
      <c r="B5" s="2298"/>
      <c r="C5" s="2306"/>
      <c r="D5" s="2307"/>
      <c r="E5" s="2307"/>
      <c r="F5" s="2308"/>
    </row>
    <row r="6" spans="1:7" ht="12.75" customHeight="1" thickBot="1" x14ac:dyDescent="0.25">
      <c r="A6" s="587" t="s">
        <v>64</v>
      </c>
      <c r="B6" s="588"/>
      <c r="C6" s="1732"/>
      <c r="D6" s="1663">
        <v>8000000</v>
      </c>
      <c r="E6" s="1732">
        <f>D6</f>
        <v>8000000</v>
      </c>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1146</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299" t="s">
        <v>626</v>
      </c>
      <c r="B15" s="2300"/>
      <c r="C15" s="1731">
        <f>SUM(C6:C14)</f>
        <v>0</v>
      </c>
      <c r="D15" s="1731">
        <f>SUM(D6:D14)</f>
        <v>8000000</v>
      </c>
      <c r="E15" s="1731">
        <f>SUM(E6:E14)</f>
        <v>8000000</v>
      </c>
      <c r="F15" s="1731">
        <f>SUM(F6:F14)</f>
        <v>0</v>
      </c>
      <c r="G15" s="473"/>
    </row>
    <row r="16" spans="1:7" s="197" customFormat="1" ht="15.75" customHeight="1" thickTop="1" x14ac:dyDescent="0.2">
      <c r="A16" s="2309" t="s">
        <v>1101</v>
      </c>
      <c r="B16" s="2298"/>
      <c r="C16" s="2306"/>
      <c r="D16" s="2307"/>
      <c r="E16" s="2307"/>
      <c r="F16" s="2308"/>
    </row>
    <row r="17" spans="1:11" ht="12.75" customHeight="1" thickBot="1" x14ac:dyDescent="0.25">
      <c r="A17" s="2322" t="s">
        <v>64</v>
      </c>
      <c r="B17" s="2323"/>
      <c r="C17" s="1732"/>
      <c r="D17" s="1663"/>
      <c r="E17" s="1732"/>
      <c r="F17" s="1731">
        <f>SUM(C17+D17)-E17</f>
        <v>0</v>
      </c>
    </row>
    <row r="18" spans="1:11" ht="12.75" customHeight="1" thickTop="1" thickBot="1" x14ac:dyDescent="0.25">
      <c r="A18" s="2322" t="s">
        <v>6</v>
      </c>
      <c r="B18" s="2323"/>
      <c r="C18" s="1732"/>
      <c r="D18" s="1663"/>
      <c r="E18" s="1732"/>
      <c r="F18" s="1731">
        <f>SUM(C18+D18)-E18</f>
        <v>0</v>
      </c>
    </row>
    <row r="19" spans="1:11" ht="12.75" customHeight="1" thickTop="1" thickBot="1" x14ac:dyDescent="0.25">
      <c r="A19" s="2322" t="s">
        <v>384</v>
      </c>
      <c r="B19" s="2323"/>
      <c r="C19" s="1732"/>
      <c r="D19" s="1663"/>
      <c r="E19" s="1732"/>
      <c r="F19" s="1731">
        <f>SUM(C19+D19)-E19</f>
        <v>0</v>
      </c>
    </row>
    <row r="20" spans="1:11" ht="12.75" customHeight="1" thickTop="1" thickBot="1" x14ac:dyDescent="0.25">
      <c r="A20" s="2322" t="s">
        <v>444</v>
      </c>
      <c r="B20" s="2323"/>
      <c r="C20" s="1732"/>
      <c r="D20" s="1663"/>
      <c r="E20" s="1732"/>
      <c r="F20" s="1731">
        <f>SUM(C20+D20)-E20</f>
        <v>0</v>
      </c>
    </row>
    <row r="21" spans="1:11" ht="14.25" thickTop="1" thickBot="1" x14ac:dyDescent="0.25">
      <c r="A21" s="2299" t="s">
        <v>627</v>
      </c>
      <c r="B21" s="2300"/>
      <c r="C21" s="1731">
        <f>SUM(C17:C20)</f>
        <v>0</v>
      </c>
      <c r="D21" s="1731">
        <f>SUM(D17:D20)</f>
        <v>0</v>
      </c>
      <c r="E21" s="1731">
        <f>SUM(E17:E20)</f>
        <v>0</v>
      </c>
      <c r="F21" s="1731">
        <f>SUM(F17:F20)</f>
        <v>0</v>
      </c>
      <c r="G21" s="473"/>
    </row>
    <row r="22" spans="1:11" ht="15.75" customHeight="1" thickTop="1" x14ac:dyDescent="0.2">
      <c r="A22" s="2324" t="s">
        <v>1102</v>
      </c>
      <c r="B22" s="2298"/>
      <c r="C22" s="2306"/>
      <c r="D22" s="2307"/>
      <c r="E22" s="2307"/>
      <c r="F22" s="2308"/>
    </row>
    <row r="23" spans="1:11" ht="13.5" thickBot="1" x14ac:dyDescent="0.25">
      <c r="A23" s="2312" t="s">
        <v>628</v>
      </c>
      <c r="B23" s="2313"/>
      <c r="C23" s="1655"/>
      <c r="D23" s="1655"/>
      <c r="E23" s="1655"/>
      <c r="F23" s="1731">
        <f>SUM(C23+D23)-E23</f>
        <v>0</v>
      </c>
      <c r="G23" s="473"/>
    </row>
    <row r="24" spans="1:11" ht="15.75" customHeight="1" thickTop="1" x14ac:dyDescent="0.2">
      <c r="A24" s="2324" t="s">
        <v>2002</v>
      </c>
      <c r="B24" s="2298"/>
      <c r="C24" s="2306"/>
      <c r="D24" s="2307"/>
      <c r="E24" s="2307"/>
      <c r="F24" s="2308"/>
    </row>
    <row r="25" spans="1:11" ht="13.5" thickBot="1" x14ac:dyDescent="0.25">
      <c r="A25" s="2312" t="s">
        <v>2003</v>
      </c>
      <c r="B25" s="2313"/>
      <c r="C25" s="1655"/>
      <c r="D25" s="1655"/>
      <c r="E25" s="1655"/>
      <c r="F25" s="1731">
        <f>SUM(C25+D25)-E25</f>
        <v>0</v>
      </c>
      <c r="G25" s="473"/>
    </row>
    <row r="26" spans="1:11" ht="15.75" customHeight="1" thickTop="1" x14ac:dyDescent="0.2">
      <c r="A26" s="2297" t="s">
        <v>651</v>
      </c>
      <c r="B26" s="2298"/>
      <c r="C26" s="589"/>
      <c r="D26" s="589"/>
      <c r="E26" s="589"/>
      <c r="F26" s="590"/>
    </row>
    <row r="27" spans="1:11" ht="13.5" thickBot="1" x14ac:dyDescent="0.25">
      <c r="A27" s="2299" t="s">
        <v>1060</v>
      </c>
      <c r="B27" s="2300"/>
      <c r="C27" s="1663"/>
      <c r="D27" s="1663"/>
      <c r="E27" s="1663"/>
      <c r="F27" s="1731">
        <f>SUM(C27+D27)-E27</f>
        <v>0</v>
      </c>
      <c r="G27" s="473"/>
    </row>
    <row r="28" spans="1:11" ht="7.5" customHeight="1" thickTop="1" x14ac:dyDescent="0.2">
      <c r="A28" s="489"/>
    </row>
    <row r="29" spans="1:11" ht="23.25" customHeight="1" x14ac:dyDescent="0.2">
      <c r="A29" s="2325" t="s">
        <v>577</v>
      </c>
      <c r="B29" s="2302"/>
      <c r="C29" s="591"/>
      <c r="D29" s="591"/>
      <c r="E29" s="591"/>
      <c r="F29" s="591"/>
      <c r="G29" s="591"/>
      <c r="H29" s="591"/>
      <c r="I29" s="591"/>
      <c r="J29" s="591"/>
    </row>
    <row r="30" spans="1:11" ht="33.75" x14ac:dyDescent="0.2">
      <c r="A30" s="1296" t="s">
        <v>1061</v>
      </c>
      <c r="B30" s="592" t="s">
        <v>1113</v>
      </c>
      <c r="C30" s="592" t="s">
        <v>578</v>
      </c>
      <c r="D30" s="592" t="s">
        <v>1653</v>
      </c>
      <c r="E30" s="1844" t="str">
        <f>"Outstanding        Beginning July 1, "&amp;'AFR20'!$E$2-1</f>
        <v>Outstanding        Beginning July 1, 2019</v>
      </c>
      <c r="F30" s="1844" t="str">
        <f>"Issued                                        July 1, "&amp;'AFR20'!$E$2-1&amp;" thru           June 30, "&amp;'AFR20'!$E$2</f>
        <v>Issued                                        July 1, 2019 thru           June 30, 2020</v>
      </c>
      <c r="G30" s="592" t="s">
        <v>1873</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2106</v>
      </c>
      <c r="B31" s="595">
        <v>40788</v>
      </c>
      <c r="C31" s="1733">
        <v>16450000</v>
      </c>
      <c r="D31" s="1734">
        <v>3</v>
      </c>
      <c r="E31" s="1733">
        <v>2155000</v>
      </c>
      <c r="F31" s="1733"/>
      <c r="G31" s="1733"/>
      <c r="H31" s="1733">
        <v>2155000</v>
      </c>
      <c r="I31" s="1735">
        <f>((E31+F31)-H31)+G31</f>
        <v>0</v>
      </c>
      <c r="J31" s="1733"/>
      <c r="K31" s="596"/>
    </row>
    <row r="32" spans="1:11" ht="12" customHeight="1" x14ac:dyDescent="0.2">
      <c r="A32" s="594" t="s">
        <v>2107</v>
      </c>
      <c r="B32" s="595">
        <v>41214</v>
      </c>
      <c r="C32" s="1733">
        <v>50645000</v>
      </c>
      <c r="D32" s="1734">
        <v>3</v>
      </c>
      <c r="E32" s="1733">
        <v>1200000</v>
      </c>
      <c r="F32" s="1733"/>
      <c r="G32" s="1733"/>
      <c r="H32" s="1733">
        <v>595000</v>
      </c>
      <c r="I32" s="1735">
        <f>((E32+F32)-H32)+G32</f>
        <v>605000</v>
      </c>
      <c r="J32" s="1733">
        <v>0</v>
      </c>
      <c r="K32" s="596"/>
    </row>
    <row r="33" spans="1:11" ht="12" customHeight="1" x14ac:dyDescent="0.2">
      <c r="A33" s="594" t="s">
        <v>2108</v>
      </c>
      <c r="B33" s="595">
        <v>42003</v>
      </c>
      <c r="C33" s="1733">
        <v>2010000</v>
      </c>
      <c r="D33" s="1734">
        <v>3</v>
      </c>
      <c r="E33" s="1733">
        <v>2010000</v>
      </c>
      <c r="F33" s="1733"/>
      <c r="G33" s="1733"/>
      <c r="H33" s="1733"/>
      <c r="I33" s="1735">
        <f t="shared" ref="I33:I48" si="1">((E33+F33)-H33)+G33</f>
        <v>2010000</v>
      </c>
      <c r="J33" s="1733">
        <v>0</v>
      </c>
      <c r="K33" s="596"/>
    </row>
    <row r="34" spans="1:11" ht="12" customHeight="1" x14ac:dyDescent="0.2">
      <c r="A34" s="594" t="s">
        <v>2109</v>
      </c>
      <c r="B34" s="595">
        <v>42450</v>
      </c>
      <c r="C34" s="1733">
        <v>9585000</v>
      </c>
      <c r="D34" s="1734" t="s">
        <v>2121</v>
      </c>
      <c r="E34" s="1733">
        <v>9585000</v>
      </c>
      <c r="F34" s="1733"/>
      <c r="G34" s="1733"/>
      <c r="H34" s="1733"/>
      <c r="I34" s="1735">
        <f t="shared" si="1"/>
        <v>9585000</v>
      </c>
      <c r="J34" s="1733">
        <v>0</v>
      </c>
      <c r="K34" s="597"/>
    </row>
    <row r="35" spans="1:11" ht="12" customHeight="1" x14ac:dyDescent="0.2">
      <c r="A35" s="594" t="s">
        <v>2110</v>
      </c>
      <c r="B35" s="595">
        <v>42767</v>
      </c>
      <c r="C35" s="1736">
        <v>3500000</v>
      </c>
      <c r="D35" s="1734">
        <v>6</v>
      </c>
      <c r="E35" s="1736">
        <v>2150000</v>
      </c>
      <c r="F35" s="1736"/>
      <c r="G35" s="1736"/>
      <c r="H35" s="1736">
        <v>705000</v>
      </c>
      <c r="I35" s="1735">
        <f t="shared" si="1"/>
        <v>1445000</v>
      </c>
      <c r="J35" s="1736">
        <f>I35-276694</f>
        <v>1168306</v>
      </c>
      <c r="K35" s="597"/>
    </row>
    <row r="36" spans="1:11" ht="12" customHeight="1" x14ac:dyDescent="0.2">
      <c r="A36" s="594" t="s">
        <v>2111</v>
      </c>
      <c r="B36" s="595">
        <v>42815</v>
      </c>
      <c r="C36" s="1733">
        <v>65330000</v>
      </c>
      <c r="D36" s="1734">
        <v>3</v>
      </c>
      <c r="E36" s="1733">
        <v>62800000</v>
      </c>
      <c r="F36" s="1733"/>
      <c r="G36" s="1733"/>
      <c r="H36" s="1733"/>
      <c r="I36" s="1735">
        <f t="shared" si="1"/>
        <v>62800000</v>
      </c>
      <c r="J36" s="1733">
        <f t="shared" ref="J36:J41" si="2">I36</f>
        <v>62800000</v>
      </c>
      <c r="K36" s="598"/>
    </row>
    <row r="37" spans="1:11" ht="12" customHeight="1" x14ac:dyDescent="0.2">
      <c r="A37" s="594" t="s">
        <v>2112</v>
      </c>
      <c r="B37" s="595">
        <v>42936</v>
      </c>
      <c r="C37" s="1573">
        <v>3500000</v>
      </c>
      <c r="D37" s="1737">
        <v>1</v>
      </c>
      <c r="E37" s="1573">
        <v>2810000</v>
      </c>
      <c r="F37" s="1573"/>
      <c r="G37" s="1573"/>
      <c r="H37" s="1573">
        <v>300000</v>
      </c>
      <c r="I37" s="1735">
        <f t="shared" si="1"/>
        <v>2510000</v>
      </c>
      <c r="J37" s="1573">
        <f t="shared" si="2"/>
        <v>2510000</v>
      </c>
      <c r="K37" s="597"/>
    </row>
    <row r="38" spans="1:11" ht="12" customHeight="1" x14ac:dyDescent="0.2">
      <c r="A38" s="594" t="s">
        <v>2114</v>
      </c>
      <c r="B38" s="595">
        <v>43160</v>
      </c>
      <c r="C38" s="1733">
        <v>8930000</v>
      </c>
      <c r="D38" s="1738">
        <v>4</v>
      </c>
      <c r="E38" s="1739">
        <v>8865000</v>
      </c>
      <c r="F38" s="1739"/>
      <c r="G38" s="1739"/>
      <c r="H38" s="1739">
        <v>25000</v>
      </c>
      <c r="I38" s="1735">
        <f t="shared" si="1"/>
        <v>8840000</v>
      </c>
      <c r="J38" s="1740">
        <f t="shared" si="2"/>
        <v>8840000</v>
      </c>
      <c r="K38" s="599"/>
    </row>
    <row r="39" spans="1:11" ht="12" customHeight="1" x14ac:dyDescent="0.2">
      <c r="A39" s="594" t="s">
        <v>2115</v>
      </c>
      <c r="B39" s="595">
        <v>43405</v>
      </c>
      <c r="C39" s="1733">
        <v>20545000</v>
      </c>
      <c r="D39" s="1738">
        <v>3</v>
      </c>
      <c r="E39" s="1739">
        <v>20545000</v>
      </c>
      <c r="F39" s="1739"/>
      <c r="G39" s="1739"/>
      <c r="H39" s="1739">
        <v>14270000</v>
      </c>
      <c r="I39" s="1735">
        <f t="shared" si="1"/>
        <v>6275000</v>
      </c>
      <c r="J39" s="1740">
        <f t="shared" si="2"/>
        <v>6275000</v>
      </c>
      <c r="K39" s="599"/>
    </row>
    <row r="40" spans="1:11" ht="12" customHeight="1" x14ac:dyDescent="0.2">
      <c r="A40" s="594" t="s">
        <v>2116</v>
      </c>
      <c r="B40" s="595">
        <v>43405</v>
      </c>
      <c r="C40" s="1733">
        <v>16085000</v>
      </c>
      <c r="D40" s="1738">
        <v>1</v>
      </c>
      <c r="E40" s="1739">
        <v>16085000</v>
      </c>
      <c r="F40" s="1739"/>
      <c r="G40" s="1739"/>
      <c r="H40" s="1739">
        <v>7795000</v>
      </c>
      <c r="I40" s="1735">
        <f t="shared" si="1"/>
        <v>8290000</v>
      </c>
      <c r="J40" s="1740">
        <f t="shared" si="2"/>
        <v>8290000</v>
      </c>
      <c r="K40" s="599"/>
    </row>
    <row r="41" spans="1:11" ht="12" customHeight="1" x14ac:dyDescent="0.2">
      <c r="A41" s="594" t="s">
        <v>2113</v>
      </c>
      <c r="B41" s="595">
        <v>43993</v>
      </c>
      <c r="C41" s="1733">
        <v>29000000</v>
      </c>
      <c r="D41" s="1738">
        <v>1</v>
      </c>
      <c r="E41" s="1739"/>
      <c r="F41" s="1739">
        <f>C41</f>
        <v>29000000</v>
      </c>
      <c r="G41" s="1739"/>
      <c r="H41" s="1739"/>
      <c r="I41" s="1735">
        <f t="shared" si="1"/>
        <v>29000000</v>
      </c>
      <c r="J41" s="1740">
        <f t="shared" si="2"/>
        <v>29000000</v>
      </c>
      <c r="K41" s="599"/>
    </row>
    <row r="42" spans="1:11" ht="12" customHeight="1" x14ac:dyDescent="0.2">
      <c r="A42" s="594" t="s">
        <v>2117</v>
      </c>
      <c r="B42" s="595">
        <v>39882</v>
      </c>
      <c r="C42" s="1733">
        <v>3195000</v>
      </c>
      <c r="D42" s="1738">
        <v>7</v>
      </c>
      <c r="E42" s="1739">
        <v>380000</v>
      </c>
      <c r="F42" s="1739"/>
      <c r="G42" s="1739"/>
      <c r="H42" s="1739">
        <v>380000</v>
      </c>
      <c r="I42" s="1735">
        <f t="shared" si="1"/>
        <v>0</v>
      </c>
      <c r="J42" s="1740"/>
      <c r="K42" s="599"/>
    </row>
    <row r="43" spans="1:11" ht="12" customHeight="1" x14ac:dyDescent="0.2">
      <c r="A43" s="594" t="s">
        <v>2118</v>
      </c>
      <c r="B43" s="595">
        <v>41165</v>
      </c>
      <c r="C43" s="1733">
        <v>2300000</v>
      </c>
      <c r="D43" s="1738">
        <v>7</v>
      </c>
      <c r="E43" s="1739">
        <v>835000</v>
      </c>
      <c r="F43" s="1739"/>
      <c r="G43" s="1739"/>
      <c r="H43" s="1739">
        <v>265000</v>
      </c>
      <c r="I43" s="1735">
        <f t="shared" si="1"/>
        <v>570000</v>
      </c>
      <c r="J43" s="1740">
        <f>I43</f>
        <v>570000</v>
      </c>
      <c r="K43" s="599"/>
    </row>
    <row r="44" spans="1:11" ht="12" customHeight="1" x14ac:dyDescent="0.2">
      <c r="A44" s="594" t="s">
        <v>2119</v>
      </c>
      <c r="B44" s="595" t="s">
        <v>2120</v>
      </c>
      <c r="C44" s="1733"/>
      <c r="D44" s="1734">
        <v>8</v>
      </c>
      <c r="E44" s="1733">
        <v>3306144</v>
      </c>
      <c r="F44" s="1733"/>
      <c r="G44" s="1733"/>
      <c r="H44" s="1733">
        <v>941228</v>
      </c>
      <c r="I44" s="1735">
        <f t="shared" si="1"/>
        <v>2364916</v>
      </c>
      <c r="J44" s="1733">
        <f>I44</f>
        <v>2364916</v>
      </c>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231075000</v>
      </c>
      <c r="D49" s="1741"/>
      <c r="E49" s="1735">
        <f t="shared" ref="E49:J49" si="3">SUM(E31:E48)</f>
        <v>132726144</v>
      </c>
      <c r="F49" s="1735">
        <f t="shared" si="3"/>
        <v>29000000</v>
      </c>
      <c r="G49" s="1735">
        <f t="shared" si="3"/>
        <v>0</v>
      </c>
      <c r="H49" s="1735">
        <f t="shared" si="3"/>
        <v>27431228</v>
      </c>
      <c r="I49" s="1735">
        <f t="shared" si="3"/>
        <v>134294916</v>
      </c>
      <c r="J49" s="1735">
        <f t="shared" si="3"/>
        <v>121818222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6" t="s">
        <v>579</v>
      </c>
      <c r="C52" s="2317"/>
      <c r="D52" s="2317"/>
      <c r="E52" s="603" t="s">
        <v>839</v>
      </c>
      <c r="F52" s="2318" t="s">
        <v>2122</v>
      </c>
      <c r="G52" s="2319"/>
      <c r="H52" s="596"/>
      <c r="I52" s="596"/>
      <c r="J52" s="600"/>
    </row>
    <row r="53" spans="1:11" ht="11.25" customHeight="1" x14ac:dyDescent="0.2">
      <c r="A53" s="604" t="s">
        <v>906</v>
      </c>
      <c r="B53" s="605" t="s">
        <v>944</v>
      </c>
      <c r="C53" s="600"/>
      <c r="D53" s="597"/>
      <c r="E53" s="603" t="s">
        <v>493</v>
      </c>
      <c r="F53" s="2320" t="s">
        <v>2119</v>
      </c>
      <c r="G53" s="2321"/>
      <c r="H53" s="596"/>
      <c r="I53" s="596"/>
      <c r="J53" s="600"/>
    </row>
    <row r="54" spans="1:11" ht="11.25" customHeight="1" x14ac:dyDescent="0.2">
      <c r="A54" s="606" t="s">
        <v>907</v>
      </c>
      <c r="B54" s="601" t="s">
        <v>945</v>
      </c>
      <c r="C54" s="600"/>
      <c r="D54" s="597"/>
      <c r="E54" s="603" t="s">
        <v>494</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850</v>
      </c>
      <c r="B1" s="2353"/>
      <c r="C1" s="2353"/>
      <c r="D1" s="2353"/>
      <c r="E1" s="2353"/>
      <c r="F1" s="2353"/>
      <c r="G1" s="2354"/>
      <c r="H1" s="1297"/>
      <c r="I1" s="614"/>
      <c r="J1" s="400"/>
    </row>
    <row r="2" spans="1:11" ht="26.25" x14ac:dyDescent="0.2">
      <c r="A2" s="2329" t="s">
        <v>1657</v>
      </c>
      <c r="B2" s="2330"/>
      <c r="C2" s="2330"/>
      <c r="D2" s="2330"/>
      <c r="E2" s="2331"/>
      <c r="F2" s="615" t="s">
        <v>897</v>
      </c>
      <c r="G2" s="616" t="s">
        <v>1654</v>
      </c>
      <c r="H2" s="616" t="s">
        <v>406</v>
      </c>
      <c r="I2" s="616" t="s">
        <v>1147</v>
      </c>
      <c r="J2" s="616" t="s">
        <v>1785</v>
      </c>
      <c r="K2" s="616" t="s">
        <v>137</v>
      </c>
    </row>
    <row r="3" spans="1:11" x14ac:dyDescent="0.2">
      <c r="A3" s="2332" t="str">
        <f>"Cash Basis Fund Balance as of July 1, "&amp;'AFR20'!E2-1</f>
        <v>Cash Basis Fund Balance as of July 1, 2019</v>
      </c>
      <c r="B3" s="2333"/>
      <c r="C3" s="2333"/>
      <c r="D3" s="2333"/>
      <c r="E3" s="2334"/>
      <c r="F3" s="617"/>
      <c r="G3" s="1743"/>
      <c r="H3" s="1743"/>
      <c r="I3" s="1743"/>
      <c r="J3" s="1744"/>
      <c r="K3" s="1744"/>
    </row>
    <row r="4" spans="1:11" x14ac:dyDescent="0.2">
      <c r="A4" s="2335" t="s">
        <v>365</v>
      </c>
      <c r="B4" s="2336"/>
      <c r="C4" s="2336"/>
      <c r="D4" s="2336"/>
      <c r="E4" s="2317"/>
      <c r="F4" s="620"/>
      <c r="G4" s="1745"/>
      <c r="H4" s="1746"/>
      <c r="I4" s="1745"/>
      <c r="J4" s="1747"/>
      <c r="K4" s="1747"/>
    </row>
    <row r="5" spans="1:11" x14ac:dyDescent="0.2">
      <c r="A5" s="2355" t="s">
        <v>1059</v>
      </c>
      <c r="B5" s="2326"/>
      <c r="C5" s="2326"/>
      <c r="D5" s="2326"/>
      <c r="E5" s="2356"/>
      <c r="F5" s="622" t="s">
        <v>842</v>
      </c>
      <c r="G5" s="1748"/>
      <c r="H5" s="1743">
        <f>'Revenues 9-14'!C7</f>
        <v>806049</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f>'Revenues 9-14'!C101</f>
        <v>65376</v>
      </c>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38169</v>
      </c>
    </row>
    <row r="10" spans="1:11" x14ac:dyDescent="0.2">
      <c r="A10" s="2355" t="s">
        <v>1786</v>
      </c>
      <c r="B10" s="2326"/>
      <c r="C10" s="2326"/>
      <c r="D10" s="2326"/>
      <c r="E10" s="2357"/>
      <c r="F10" s="633" t="s">
        <v>856</v>
      </c>
      <c r="G10" s="1752"/>
      <c r="H10" s="1753"/>
      <c r="I10" s="1743"/>
      <c r="J10" s="1744"/>
      <c r="K10" s="1744"/>
    </row>
    <row r="11" spans="1:11" x14ac:dyDescent="0.2">
      <c r="A11" s="2355" t="s">
        <v>159</v>
      </c>
      <c r="B11" s="2326"/>
      <c r="C11" s="2326"/>
      <c r="D11" s="2326"/>
      <c r="E11" s="2356"/>
      <c r="F11" s="622" t="s">
        <v>846</v>
      </c>
      <c r="G11" s="1748"/>
      <c r="H11" s="1743"/>
      <c r="I11" s="1743"/>
      <c r="J11" s="1744"/>
      <c r="K11" s="1750"/>
    </row>
    <row r="12" spans="1:11" ht="13.5" thickBot="1" x14ac:dyDescent="0.25">
      <c r="A12" s="2343" t="s">
        <v>898</v>
      </c>
      <c r="B12" s="2344"/>
      <c r="C12" s="2344"/>
      <c r="D12" s="2344"/>
      <c r="E12" s="2345"/>
      <c r="F12" s="1432"/>
      <c r="G12" s="1754">
        <f>SUM(G5:G11)</f>
        <v>0</v>
      </c>
      <c r="H12" s="1754">
        <f>SUM(H5:H11)</f>
        <v>806049</v>
      </c>
      <c r="I12" s="1754">
        <f>SUM(I5:I11)</f>
        <v>0</v>
      </c>
      <c r="J12" s="1754">
        <f>SUM(J5:J11)</f>
        <v>0</v>
      </c>
      <c r="K12" s="1754">
        <f>SUM(K5:K11)</f>
        <v>103545</v>
      </c>
    </row>
    <row r="13" spans="1:11" ht="13.5" thickTop="1" x14ac:dyDescent="0.2">
      <c r="A13" s="2337" t="s">
        <v>366</v>
      </c>
      <c r="B13" s="2338"/>
      <c r="C13" s="2338"/>
      <c r="D13" s="2338"/>
      <c r="E13" s="2339"/>
      <c r="F13" s="634"/>
      <c r="G13" s="1755"/>
      <c r="H13" s="1756"/>
      <c r="I13" s="1757"/>
      <c r="J13" s="1757"/>
      <c r="K13" s="1757"/>
    </row>
    <row r="14" spans="1:11" x14ac:dyDescent="0.2">
      <c r="A14" s="2361" t="s">
        <v>452</v>
      </c>
      <c r="B14" s="2361"/>
      <c r="C14" s="2361"/>
      <c r="D14" s="2361"/>
      <c r="E14" s="2362"/>
      <c r="F14" s="635" t="s">
        <v>848</v>
      </c>
      <c r="G14" s="1752"/>
      <c r="H14" s="1743">
        <f>H12</f>
        <v>806049</v>
      </c>
      <c r="I14" s="1748"/>
      <c r="J14" s="1750"/>
      <c r="K14" s="1744">
        <f>K12</f>
        <v>103545</v>
      </c>
    </row>
    <row r="15" spans="1:11" x14ac:dyDescent="0.2">
      <c r="A15" s="2326" t="s">
        <v>4</v>
      </c>
      <c r="B15" s="2326"/>
      <c r="C15" s="2326"/>
      <c r="D15" s="2326"/>
      <c r="E15" s="2356"/>
      <c r="F15" s="635" t="s">
        <v>849</v>
      </c>
      <c r="G15" s="1748"/>
      <c r="H15" s="1743"/>
      <c r="I15" s="1743"/>
      <c r="J15" s="1744"/>
      <c r="K15" s="1744"/>
    </row>
    <row r="16" spans="1:11" x14ac:dyDescent="0.2">
      <c r="A16" s="2326" t="s">
        <v>294</v>
      </c>
      <c r="B16" s="2326"/>
      <c r="C16" s="2326"/>
      <c r="D16" s="2326"/>
      <c r="E16" s="2356"/>
      <c r="F16" s="635" t="s">
        <v>916</v>
      </c>
      <c r="G16" s="1749"/>
      <c r="H16" s="1745"/>
      <c r="I16" s="1745"/>
      <c r="J16" s="1747"/>
      <c r="K16" s="1747"/>
    </row>
    <row r="17" spans="1:15" x14ac:dyDescent="0.2">
      <c r="A17" s="2350" t="s">
        <v>928</v>
      </c>
      <c r="B17" s="2350"/>
      <c r="C17" s="2350"/>
      <c r="D17" s="2350"/>
      <c r="E17" s="2351"/>
      <c r="F17" s="636"/>
      <c r="G17" s="1758"/>
      <c r="H17" s="1759"/>
      <c r="I17" s="1759"/>
      <c r="J17" s="1760"/>
      <c r="K17" s="1761"/>
    </row>
    <row r="18" spans="1:15" x14ac:dyDescent="0.2">
      <c r="A18" s="2340" t="s">
        <v>364</v>
      </c>
      <c r="B18" s="2341"/>
      <c r="C18" s="2341"/>
      <c r="D18" s="2341"/>
      <c r="E18" s="2342"/>
      <c r="F18" s="635" t="s">
        <v>925</v>
      </c>
      <c r="G18" s="1752"/>
      <c r="H18" s="1752"/>
      <c r="I18" s="1752"/>
      <c r="J18" s="1744"/>
      <c r="K18" s="1762"/>
    </row>
    <row r="19" spans="1:15" ht="21.75" customHeight="1" x14ac:dyDescent="0.2">
      <c r="A19" s="2363" t="s">
        <v>1782</v>
      </c>
      <c r="B19" s="2363"/>
      <c r="C19" s="2363"/>
      <c r="D19" s="2363"/>
      <c r="E19" s="2364"/>
      <c r="F19" s="635" t="s">
        <v>926</v>
      </c>
      <c r="G19" s="1752"/>
      <c r="H19" s="1752"/>
      <c r="I19" s="1752"/>
      <c r="J19" s="1744"/>
      <c r="K19" s="1762"/>
    </row>
    <row r="20" spans="1:15" x14ac:dyDescent="0.2">
      <c r="A20" s="2340" t="s">
        <v>1787</v>
      </c>
      <c r="B20" s="2341"/>
      <c r="C20" s="2341"/>
      <c r="D20" s="2341"/>
      <c r="E20" s="2342"/>
      <c r="F20" s="635" t="s">
        <v>927</v>
      </c>
      <c r="G20" s="1752"/>
      <c r="H20" s="1752"/>
      <c r="I20" s="1752"/>
      <c r="J20" s="1744"/>
      <c r="K20" s="1762"/>
    </row>
    <row r="21" spans="1:15" ht="13.5" thickBot="1" x14ac:dyDescent="0.25">
      <c r="A21" s="2346" t="s">
        <v>632</v>
      </c>
      <c r="B21" s="2346"/>
      <c r="C21" s="2346"/>
      <c r="D21" s="2346"/>
      <c r="E21" s="2346"/>
      <c r="F21" s="1433"/>
      <c r="G21" s="1759"/>
      <c r="H21" s="1763"/>
      <c r="I21" s="1763"/>
      <c r="J21" s="1764">
        <f>SUM(J18:J20)</f>
        <v>0</v>
      </c>
      <c r="K21" s="1760"/>
    </row>
    <row r="22" spans="1:15" ht="13.5" thickTop="1" x14ac:dyDescent="0.2">
      <c r="A22" s="2326" t="s">
        <v>1788</v>
      </c>
      <c r="B22" s="2326"/>
      <c r="C22" s="2326"/>
      <c r="D22" s="2326"/>
      <c r="E22" s="2356"/>
      <c r="F22" s="635" t="s">
        <v>856</v>
      </c>
      <c r="G22" s="1752"/>
      <c r="H22" s="1743"/>
      <c r="I22" s="1743"/>
      <c r="J22" s="1765"/>
      <c r="K22" s="1744"/>
    </row>
    <row r="23" spans="1:15" ht="13.5" thickBot="1" x14ac:dyDescent="0.25">
      <c r="A23" s="2347" t="s">
        <v>899</v>
      </c>
      <c r="B23" s="2346"/>
      <c r="C23" s="2346"/>
      <c r="D23" s="2346"/>
      <c r="E23" s="2346"/>
      <c r="F23" s="1435"/>
      <c r="G23" s="1754">
        <f>SUM(G14:G16,G21,G22)</f>
        <v>0</v>
      </c>
      <c r="H23" s="1754">
        <f>SUM(H14:H16,H21,H22)</f>
        <v>806049</v>
      </c>
      <c r="I23" s="1754">
        <f>SUM(I14:I16,I21,I22)</f>
        <v>0</v>
      </c>
      <c r="J23" s="1754">
        <f>SUM(J14:J16,J21,J22)</f>
        <v>0</v>
      </c>
      <c r="K23" s="1754">
        <f>SUM(K14:K16,K21,K22)</f>
        <v>103545</v>
      </c>
      <c r="M23" s="1845"/>
      <c r="N23" s="1845"/>
      <c r="O23" s="1845"/>
    </row>
    <row r="24" spans="1:15" ht="14.25" thickTop="1" thickBot="1" x14ac:dyDescent="0.25">
      <c r="A24" s="2348" t="str">
        <f>"Ending Cash Basis Fund Balance as of June 30, "&amp;'AFR20'!E2</f>
        <v>Ending Cash Basis Fund Balance as of June 30, 2020</v>
      </c>
      <c r="B24" s="2349"/>
      <c r="C24" s="2349"/>
      <c r="D24" s="2349"/>
      <c r="E24" s="2349"/>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8"/>
      <c r="I31" s="2359"/>
      <c r="J31" s="2359"/>
      <c r="K31" s="2359"/>
    </row>
    <row r="32" spans="1:15" x14ac:dyDescent="0.2">
      <c r="A32" s="649"/>
      <c r="B32" s="232"/>
      <c r="C32" s="232"/>
      <c r="D32" s="232"/>
      <c r="E32" s="645"/>
      <c r="F32" s="651" t="s">
        <v>536</v>
      </c>
      <c r="G32" s="618"/>
      <c r="H32" s="2360"/>
      <c r="I32" s="2359"/>
      <c r="J32" s="2359"/>
      <c r="K32" s="2359"/>
    </row>
    <row r="33" spans="1:11" ht="1.5" customHeight="1" x14ac:dyDescent="0.2">
      <c r="A33" s="652" t="s">
        <v>1158</v>
      </c>
      <c r="B33" s="341"/>
      <c r="C33" s="341"/>
      <c r="D33" s="341"/>
      <c r="E33" s="341"/>
      <c r="F33" s="341"/>
      <c r="G33" s="653"/>
      <c r="H33" s="2360"/>
      <c r="I33" s="2359"/>
      <c r="J33" s="2359"/>
      <c r="K33" s="2359"/>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6" t="s">
        <v>537</v>
      </c>
      <c r="B41" s="2327"/>
      <c r="C41" s="2327"/>
      <c r="D41" s="2327"/>
      <c r="E41" s="2327"/>
      <c r="F41" s="232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4" colorId="8" zoomScale="110" zoomScaleNormal="110" workbookViewId="0">
      <selection activeCell="I21" sqref="I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1871</v>
      </c>
      <c r="B1" s="2368"/>
      <c r="C1" s="2369"/>
      <c r="D1" s="666"/>
      <c r="E1" s="667"/>
      <c r="F1" s="667"/>
      <c r="G1" s="668"/>
      <c r="H1" s="669"/>
      <c r="I1" s="670"/>
      <c r="J1" s="2365"/>
      <c r="K1" s="2366"/>
      <c r="L1" s="2366"/>
    </row>
    <row r="2" spans="1:14" ht="69.75" customHeight="1" x14ac:dyDescent="0.2">
      <c r="A2" s="671" t="s">
        <v>1658</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2960561</v>
      </c>
      <c r="D5" s="1769"/>
      <c r="E5" s="1769"/>
      <c r="F5" s="1764">
        <f>(C5+D5)-E5</f>
        <v>2960561</v>
      </c>
      <c r="G5" s="676"/>
      <c r="H5" s="680"/>
      <c r="I5" s="680"/>
      <c r="J5" s="680"/>
      <c r="K5" s="637"/>
      <c r="L5" s="1441">
        <f>F5-K5</f>
        <v>2960561</v>
      </c>
    </row>
    <row r="6" spans="1:14" ht="14.25" thickTop="1" thickBot="1" x14ac:dyDescent="0.25">
      <c r="A6" s="629" t="s">
        <v>1106</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1107</v>
      </c>
      <c r="B8" s="679">
        <v>231</v>
      </c>
      <c r="C8" s="1770">
        <v>220589038</v>
      </c>
      <c r="D8" s="1770">
        <v>64000</v>
      </c>
      <c r="E8" s="1770"/>
      <c r="F8" s="1764">
        <f>(C8+D8)-E8</f>
        <v>220653038</v>
      </c>
      <c r="G8" s="681">
        <v>50</v>
      </c>
      <c r="H8" s="619">
        <v>85787589</v>
      </c>
      <c r="I8" s="619">
        <f>4282767-12</f>
        <v>4282755</v>
      </c>
      <c r="J8" s="619"/>
      <c r="K8" s="1441">
        <f>(H8+I8)-J8</f>
        <v>90070344</v>
      </c>
      <c r="L8" s="1441">
        <f>F8-K8</f>
        <v>130582694</v>
      </c>
    </row>
    <row r="9" spans="1:14" ht="14.25" thickTop="1" thickBot="1" x14ac:dyDescent="0.25">
      <c r="A9" s="629" t="s">
        <v>1108</v>
      </c>
      <c r="B9" s="679">
        <v>232</v>
      </c>
      <c r="C9" s="1744"/>
      <c r="D9" s="1744">
        <v>102688</v>
      </c>
      <c r="E9" s="1744"/>
      <c r="F9" s="1764">
        <f>(C9+D9)-E9</f>
        <v>102688</v>
      </c>
      <c r="G9" s="681">
        <v>20</v>
      </c>
      <c r="H9" s="619"/>
      <c r="I9" s="619">
        <v>3364</v>
      </c>
      <c r="J9" s="619"/>
      <c r="K9" s="1441">
        <f>(H9+I9)-J9</f>
        <v>3364</v>
      </c>
      <c r="L9" s="1441">
        <f>F9-K9</f>
        <v>99324</v>
      </c>
    </row>
    <row r="10" spans="1:14" ht="24" thickTop="1" thickBot="1" x14ac:dyDescent="0.25">
      <c r="A10" s="682" t="s">
        <v>1109</v>
      </c>
      <c r="B10" s="679">
        <v>240</v>
      </c>
      <c r="C10" s="1771">
        <v>75650440</v>
      </c>
      <c r="D10" s="1771">
        <v>5132124</v>
      </c>
      <c r="E10" s="1771"/>
      <c r="F10" s="1772">
        <f>(C10+D10)-E10</f>
        <v>80782564</v>
      </c>
      <c r="G10" s="681">
        <v>20</v>
      </c>
      <c r="H10" s="683">
        <v>34123572</v>
      </c>
      <c r="I10" s="683">
        <f>2335188+232+305</f>
        <v>2335725</v>
      </c>
      <c r="J10" s="683"/>
      <c r="K10" s="1441">
        <f>(H10+I10)-J10</f>
        <v>36459297</v>
      </c>
      <c r="L10" s="1441">
        <f>F10-K10</f>
        <v>44323267</v>
      </c>
    </row>
    <row r="11" spans="1:14" ht="13.5" thickTop="1" x14ac:dyDescent="0.2">
      <c r="A11" s="1366" t="s">
        <v>1125</v>
      </c>
      <c r="B11" s="1364">
        <v>250</v>
      </c>
      <c r="C11" s="1751"/>
      <c r="D11" s="1751"/>
      <c r="E11" s="1751"/>
      <c r="F11" s="1750"/>
      <c r="G11" s="681"/>
      <c r="H11" s="632"/>
      <c r="I11" s="632"/>
      <c r="J11" s="632"/>
      <c r="K11" s="624"/>
      <c r="L11" s="624"/>
    </row>
    <row r="12" spans="1:14" ht="13.5" thickBot="1" x14ac:dyDescent="0.25">
      <c r="A12" s="684" t="s">
        <v>1110</v>
      </c>
      <c r="B12" s="679">
        <v>251</v>
      </c>
      <c r="C12" s="1770">
        <v>27854670</v>
      </c>
      <c r="D12" s="1770">
        <v>496823</v>
      </c>
      <c r="E12" s="1770"/>
      <c r="F12" s="1764">
        <f>(C12+D12)-E12</f>
        <v>28351493</v>
      </c>
      <c r="G12" s="681">
        <v>10</v>
      </c>
      <c r="H12" s="619">
        <v>18055279</v>
      </c>
      <c r="I12" s="619">
        <f>1116373+175</f>
        <v>1116548</v>
      </c>
      <c r="J12" s="619"/>
      <c r="K12" s="1441">
        <f>(H12+I12)-J12</f>
        <v>19171827</v>
      </c>
      <c r="L12" s="1441">
        <f>F12-K12</f>
        <v>9179666</v>
      </c>
    </row>
    <row r="13" spans="1:14" ht="14.25" thickTop="1" thickBot="1" x14ac:dyDescent="0.25">
      <c r="A13" s="684" t="s">
        <v>1111</v>
      </c>
      <c r="B13" s="679">
        <v>252</v>
      </c>
      <c r="C13" s="1770">
        <v>17357430</v>
      </c>
      <c r="D13" s="1770">
        <v>52864</v>
      </c>
      <c r="E13" s="1770">
        <v>52000</v>
      </c>
      <c r="F13" s="1764">
        <f>(C13+D13)-E13</f>
        <v>17358294</v>
      </c>
      <c r="G13" s="681">
        <v>5</v>
      </c>
      <c r="H13" s="619">
        <v>13680934</v>
      </c>
      <c r="I13" s="619">
        <v>1050021</v>
      </c>
      <c r="J13" s="619">
        <v>46800</v>
      </c>
      <c r="K13" s="1441">
        <f>(H13+I13)-J13</f>
        <v>14684155</v>
      </c>
      <c r="L13" s="1441">
        <f>F13-K13</f>
        <v>2674139</v>
      </c>
    </row>
    <row r="14" spans="1:14" ht="14.25" thickTop="1" thickBot="1" x14ac:dyDescent="0.25">
      <c r="A14" s="684" t="s">
        <v>1112</v>
      </c>
      <c r="B14" s="679">
        <v>253</v>
      </c>
      <c r="C14" s="1744">
        <v>126493</v>
      </c>
      <c r="D14" s="1744"/>
      <c r="E14" s="1744"/>
      <c r="F14" s="1764">
        <f>(C14+D14)-E14</f>
        <v>126493</v>
      </c>
      <c r="G14" s="681">
        <v>3</v>
      </c>
      <c r="H14" s="619">
        <v>126493</v>
      </c>
      <c r="I14" s="619"/>
      <c r="J14" s="619"/>
      <c r="K14" s="1441">
        <f>(H14+I14)-J14</f>
        <v>126493</v>
      </c>
      <c r="L14" s="1441">
        <f>F14-K14</f>
        <v>0</v>
      </c>
    </row>
    <row r="15" spans="1:14" ht="15" customHeight="1" thickTop="1" thickBot="1" x14ac:dyDescent="0.25">
      <c r="A15" s="1365" t="s">
        <v>524</v>
      </c>
      <c r="B15" s="1364">
        <v>260</v>
      </c>
      <c r="C15" s="1770">
        <v>38341</v>
      </c>
      <c r="D15" s="1770">
        <v>1680134</v>
      </c>
      <c r="E15" s="1770">
        <v>1309803</v>
      </c>
      <c r="F15" s="1764">
        <f>(C15+D15)-E15</f>
        <v>408672</v>
      </c>
      <c r="G15" s="685" t="s">
        <v>856</v>
      </c>
      <c r="H15" s="632"/>
      <c r="I15" s="632"/>
      <c r="J15" s="632"/>
      <c r="K15" s="632"/>
      <c r="L15" s="1441">
        <f>F15-K15</f>
        <v>408672</v>
      </c>
    </row>
    <row r="16" spans="1:14" ht="15" customHeight="1" thickTop="1" thickBot="1" x14ac:dyDescent="0.25">
      <c r="A16" s="1437" t="s">
        <v>637</v>
      </c>
      <c r="B16" s="1438">
        <v>200</v>
      </c>
      <c r="C16" s="1764">
        <f>SUM(C3,C5:C6,C8:C10,C12:C15)</f>
        <v>344576973</v>
      </c>
      <c r="D16" s="1764">
        <f>SUM(D3,D5:D6,D8:D10,D12:D15)</f>
        <v>7528633</v>
      </c>
      <c r="E16" s="1764">
        <f>SUM(E3,E5:E6,E8:E10,E12:E15)</f>
        <v>1361803</v>
      </c>
      <c r="F16" s="1764">
        <f>SUM(F3,F5:F6,F8:F10,F12:F15)</f>
        <v>350743803</v>
      </c>
      <c r="G16" s="681"/>
      <c r="H16" s="1434">
        <f>SUM(H3,H6,H8:H10,H12:H14,)</f>
        <v>151773867</v>
      </c>
      <c r="I16" s="1434">
        <f>SUM(I3,I6,I8:I10,I12:I14,)</f>
        <v>8788413</v>
      </c>
      <c r="J16" s="1434">
        <f>SUM(J3,J6,J8:J10,J12:J14,)</f>
        <v>46800</v>
      </c>
      <c r="K16" s="1434">
        <f>(H16+I16)-J16</f>
        <v>160515480</v>
      </c>
      <c r="L16" s="1434">
        <f>F16-K16</f>
        <v>190228323</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272542</v>
      </c>
      <c r="G17" s="676">
        <v>10</v>
      </c>
      <c r="H17" s="621"/>
      <c r="I17" s="1441">
        <f>F17/G17</f>
        <v>27254.2</v>
      </c>
      <c r="J17" s="621"/>
      <c r="K17" s="638"/>
      <c r="L17" s="638"/>
    </row>
    <row r="18" spans="1:12" ht="14.25" thickTop="1" thickBot="1" x14ac:dyDescent="0.25">
      <c r="A18" s="1439" t="s">
        <v>679</v>
      </c>
      <c r="B18" s="1440"/>
      <c r="C18" s="623"/>
      <c r="D18" s="623"/>
      <c r="E18" s="623"/>
      <c r="F18" s="686"/>
      <c r="G18" s="687"/>
      <c r="H18" s="624"/>
      <c r="I18" s="1434">
        <f>SUM(I16,I17)</f>
        <v>8815667.1999999993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473</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9"/>
      <c r="B5" s="2380"/>
      <c r="C5" s="2380"/>
      <c r="D5" s="2380"/>
      <c r="E5" s="2380"/>
      <c r="F5" s="2380"/>
    </row>
    <row r="6" spans="1:9" ht="13.5" customHeight="1" thickBot="1" x14ac:dyDescent="0.25">
      <c r="A6" s="2370" t="s">
        <v>1094</v>
      </c>
      <c r="B6" s="2371"/>
      <c r="C6" s="2371"/>
      <c r="D6" s="2371"/>
      <c r="E6" s="2371"/>
      <c r="F6" s="2372"/>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3">
        <f>'Expenditures 15-22'!K114</f>
        <v>111381835</v>
      </c>
      <c r="G8" s="701"/>
    </row>
    <row r="9" spans="1:9" x14ac:dyDescent="0.2">
      <c r="A9" s="705" t="s">
        <v>456</v>
      </c>
      <c r="B9" s="706" t="s">
        <v>1844</v>
      </c>
      <c r="C9" s="707"/>
      <c r="D9" s="705" t="s">
        <v>497</v>
      </c>
      <c r="E9" s="704"/>
      <c r="F9" s="1774">
        <f>'Expenditures 15-22'!K151</f>
        <v>11943221</v>
      </c>
      <c r="G9" s="708"/>
    </row>
    <row r="10" spans="1:9" x14ac:dyDescent="0.2">
      <c r="A10" s="705" t="s">
        <v>495</v>
      </c>
      <c r="B10" s="706" t="s">
        <v>1845</v>
      </c>
      <c r="C10" s="707"/>
      <c r="D10" s="705" t="s">
        <v>497</v>
      </c>
      <c r="E10" s="704"/>
      <c r="F10" s="1774">
        <f>'Expenditures 15-22'!K174</f>
        <v>31320257</v>
      </c>
      <c r="G10" s="708"/>
    </row>
    <row r="11" spans="1:9" x14ac:dyDescent="0.2">
      <c r="A11" s="705" t="s">
        <v>457</v>
      </c>
      <c r="B11" s="706" t="s">
        <v>1846</v>
      </c>
      <c r="C11" s="707"/>
      <c r="D11" s="705" t="s">
        <v>497</v>
      </c>
      <c r="E11" s="704"/>
      <c r="F11" s="1774">
        <f>'Expenditures 15-22'!K210</f>
        <v>10747915</v>
      </c>
      <c r="G11" s="708"/>
    </row>
    <row r="12" spans="1:9" x14ac:dyDescent="0.2">
      <c r="A12" s="705" t="s">
        <v>458</v>
      </c>
      <c r="B12" s="706" t="s">
        <v>1847</v>
      </c>
      <c r="C12" s="707"/>
      <c r="D12" s="705" t="s">
        <v>497</v>
      </c>
      <c r="E12" s="704"/>
      <c r="F12" s="1774">
        <f>'Expenditures 15-22'!K295</f>
        <v>4543864</v>
      </c>
      <c r="G12" s="708"/>
    </row>
    <row r="13" spans="1:9" x14ac:dyDescent="0.2">
      <c r="A13" s="705" t="s">
        <v>106</v>
      </c>
      <c r="B13" s="706" t="s">
        <v>1848</v>
      </c>
      <c r="C13" s="707"/>
      <c r="D13" s="705" t="s">
        <v>497</v>
      </c>
      <c r="E13" s="704"/>
      <c r="F13" s="1774">
        <f>'Expenditures 15-22'!K342</f>
        <v>5709571</v>
      </c>
      <c r="G13" s="709"/>
    </row>
    <row r="14" spans="1:9" ht="12" customHeight="1" thickBot="1" x14ac:dyDescent="0.25">
      <c r="A14" s="1442"/>
      <c r="B14" s="1443"/>
      <c r="C14" s="1444"/>
      <c r="D14" s="1445" t="s">
        <v>497</v>
      </c>
      <c r="E14" s="1446" t="s">
        <v>951</v>
      </c>
      <c r="F14" s="1775">
        <f>SUM(F8:F13)</f>
        <v>175646663</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1087</v>
      </c>
      <c r="B29" s="706" t="s">
        <v>804</v>
      </c>
      <c r="C29" s="716">
        <f>'Revenues 9-14'!B149</f>
        <v>3410</v>
      </c>
      <c r="D29" s="717" t="str">
        <f>'Revenues 9-14'!A149</f>
        <v>Adult Ed (from ICCB)</v>
      </c>
      <c r="E29" s="704"/>
      <c r="F29" s="1781">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2">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1">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1905</v>
      </c>
      <c r="C33" s="711">
        <f>'Revenues 9-14'!B222</f>
        <v>4810</v>
      </c>
      <c r="D33" s="718" t="str">
        <f>'Revenues 9-14'!A222</f>
        <v>Federal - Adult Education</v>
      </c>
      <c r="E33" s="704"/>
      <c r="F33" s="1781">
        <f>'Revenues 9-14'!D222</f>
        <v>0</v>
      </c>
      <c r="G33" s="701"/>
    </row>
    <row r="34" spans="1:7" x14ac:dyDescent="0.2">
      <c r="A34" s="705" t="s">
        <v>455</v>
      </c>
      <c r="B34" s="705" t="s">
        <v>1451</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1">
        <f>'Expenditures 15-22'!K9-SUM('Expenditures 15-22'!G9+'Expenditures 15-22'!I9)</f>
        <v>1234423</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1">
        <f>'Expenditures 15-22'!K15-SUM('Expenditures 15-22'!G15,'Expenditures 15-22'!I15)</f>
        <v>168446</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1456</v>
      </c>
      <c r="C52" s="724" t="str">
        <f>'Expenditures 15-22'!B75</f>
        <v>3000</v>
      </c>
      <c r="D52" s="723" t="s">
        <v>445</v>
      </c>
      <c r="E52" s="704"/>
      <c r="F52" s="1781">
        <f>'Expenditures 15-22'!K75-SUM('Expenditures 15-22'!G75,'Expenditures 15-22'!I75)</f>
        <v>623807</v>
      </c>
      <c r="G52" s="701"/>
    </row>
    <row r="53" spans="1:7" x14ac:dyDescent="0.2">
      <c r="A53" s="705" t="s">
        <v>455</v>
      </c>
      <c r="B53" s="705" t="s">
        <v>1457</v>
      </c>
      <c r="C53" s="724">
        <f>'Expenditures 15-22'!B102</f>
        <v>4000</v>
      </c>
      <c r="D53" s="723" t="str">
        <f>'Expenditures 15-22'!A102</f>
        <v>Total Payments to Other Govt Units</v>
      </c>
      <c r="E53" s="704"/>
      <c r="F53" s="1781">
        <f>'Expenditures 15-22'!K102</f>
        <v>589257</v>
      </c>
      <c r="G53" s="701"/>
    </row>
    <row r="54" spans="1:7" x14ac:dyDescent="0.2">
      <c r="A54" s="705" t="s">
        <v>455</v>
      </c>
      <c r="B54" s="705" t="s">
        <v>1458</v>
      </c>
      <c r="C54" s="724" t="s">
        <v>974</v>
      </c>
      <c r="D54" s="720" t="s">
        <v>1085</v>
      </c>
      <c r="E54" s="704"/>
      <c r="F54" s="1781">
        <f>'Expenditures 15-22'!G114</f>
        <v>45341</v>
      </c>
      <c r="G54" s="701"/>
    </row>
    <row r="55" spans="1:7" x14ac:dyDescent="0.2">
      <c r="A55" s="705" t="s">
        <v>455</v>
      </c>
      <c r="B55" s="705" t="s">
        <v>1459</v>
      </c>
      <c r="C55" s="724" t="s">
        <v>974</v>
      </c>
      <c r="D55" s="720" t="s">
        <v>287</v>
      </c>
      <c r="E55" s="704"/>
      <c r="F55" s="1781">
        <f>'Expenditures 15-22'!I114</f>
        <v>101041</v>
      </c>
      <c r="G55" s="701"/>
    </row>
    <row r="56" spans="1:7" x14ac:dyDescent="0.2">
      <c r="A56" s="705" t="s">
        <v>456</v>
      </c>
      <c r="B56" s="705" t="s">
        <v>1460</v>
      </c>
      <c r="C56" s="721" t="str">
        <f>'Expenditures 15-22'!B130</f>
        <v>3000</v>
      </c>
      <c r="D56" s="727" t="s">
        <v>445</v>
      </c>
      <c r="E56" s="704"/>
      <c r="F56" s="1781">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1">
        <f>'Expenditures 15-22'!K139</f>
        <v>0</v>
      </c>
      <c r="G57" s="701"/>
    </row>
    <row r="58" spans="1:7" x14ac:dyDescent="0.2">
      <c r="A58" s="705" t="s">
        <v>456</v>
      </c>
      <c r="B58" s="705" t="s">
        <v>1850</v>
      </c>
      <c r="C58" s="721" t="s">
        <v>974</v>
      </c>
      <c r="D58" s="720" t="s">
        <v>1085</v>
      </c>
      <c r="E58" s="704"/>
      <c r="F58" s="1783">
        <f>'Expenditures 15-22'!G151</f>
        <v>453289</v>
      </c>
      <c r="G58" s="701"/>
    </row>
    <row r="59" spans="1:7" x14ac:dyDescent="0.2">
      <c r="A59" s="728" t="s">
        <v>456</v>
      </c>
      <c r="B59" s="692" t="s">
        <v>1851</v>
      </c>
      <c r="C59" s="729" t="s">
        <v>974</v>
      </c>
      <c r="D59" s="692" t="s">
        <v>287</v>
      </c>
      <c r="F59" s="1784">
        <f>'Expenditures 15-22'!I151</f>
        <v>40908</v>
      </c>
      <c r="G59" s="701"/>
    </row>
    <row r="60" spans="1:7" x14ac:dyDescent="0.2">
      <c r="A60" s="728" t="s">
        <v>495</v>
      </c>
      <c r="B60" s="692" t="s">
        <v>1852</v>
      </c>
      <c r="C60" s="729">
        <v>4000</v>
      </c>
      <c r="D60" s="692" t="s">
        <v>308</v>
      </c>
      <c r="F60" s="1782">
        <f>'Expenditures 15-22'!K160</f>
        <v>0</v>
      </c>
      <c r="G60" s="701"/>
    </row>
    <row r="61" spans="1:7" x14ac:dyDescent="0.2">
      <c r="A61" s="730" t="s">
        <v>495</v>
      </c>
      <c r="B61" s="730" t="s">
        <v>1853</v>
      </c>
      <c r="C61" s="731" t="str">
        <f>'Expenditures 15-22'!B170</f>
        <v>5300</v>
      </c>
      <c r="D61" s="732" t="s">
        <v>307</v>
      </c>
      <c r="E61" s="715"/>
      <c r="F61" s="1781">
        <f>'Expenditures 15-22'!K170</f>
        <v>27003453</v>
      </c>
      <c r="G61" s="701"/>
    </row>
    <row r="62" spans="1:7" x14ac:dyDescent="0.2">
      <c r="A62" s="705" t="s">
        <v>457</v>
      </c>
      <c r="B62" s="705" t="s">
        <v>1854</v>
      </c>
      <c r="C62" s="721">
        <f>'Expenditures 15-22'!B185</f>
        <v>3000</v>
      </c>
      <c r="D62" s="712" t="s">
        <v>445</v>
      </c>
      <c r="E62" s="704"/>
      <c r="F62" s="1781">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1856</v>
      </c>
      <c r="C64" s="731" t="str">
        <f>'Expenditures 15-22'!B206</f>
        <v>5300</v>
      </c>
      <c r="D64" s="727" t="s">
        <v>307</v>
      </c>
      <c r="E64" s="704"/>
      <c r="F64" s="1781">
        <f>'Expenditures 15-22'!K206</f>
        <v>427775</v>
      </c>
      <c r="G64" s="701"/>
    </row>
    <row r="65" spans="1:9" x14ac:dyDescent="0.2">
      <c r="A65" s="705" t="s">
        <v>457</v>
      </c>
      <c r="B65" s="705" t="s">
        <v>1857</v>
      </c>
      <c r="C65" s="721" t="s">
        <v>974</v>
      </c>
      <c r="D65" s="720" t="s">
        <v>1085</v>
      </c>
      <c r="E65" s="704"/>
      <c r="F65" s="1781">
        <f>'Expenditures 15-22'!G210</f>
        <v>367237</v>
      </c>
      <c r="G65" s="701"/>
    </row>
    <row r="66" spans="1:9" x14ac:dyDescent="0.2">
      <c r="A66" s="705" t="s">
        <v>457</v>
      </c>
      <c r="B66" s="705" t="s">
        <v>1858</v>
      </c>
      <c r="C66" s="721" t="s">
        <v>974</v>
      </c>
      <c r="D66" s="720" t="s">
        <v>287</v>
      </c>
      <c r="E66" s="704"/>
      <c r="F66" s="1781">
        <f>'Expenditures 15-22'!I210</f>
        <v>85183</v>
      </c>
      <c r="G66" s="701"/>
    </row>
    <row r="67" spans="1:9" x14ac:dyDescent="0.2">
      <c r="A67" s="705" t="s">
        <v>458</v>
      </c>
      <c r="B67" s="705" t="s">
        <v>1859</v>
      </c>
      <c r="C67" s="721" t="str">
        <f>'Expenditures 15-22'!B216</f>
        <v>1125</v>
      </c>
      <c r="D67" s="727" t="str">
        <f>'Expenditures 15-22'!A216</f>
        <v>Pre-K Programs</v>
      </c>
      <c r="E67" s="704"/>
      <c r="F67" s="1781">
        <f>'Expenditures 15-22'!K216</f>
        <v>0</v>
      </c>
      <c r="G67" s="701"/>
    </row>
    <row r="68" spans="1:9" x14ac:dyDescent="0.2">
      <c r="A68" s="705" t="s">
        <v>458</v>
      </c>
      <c r="B68" s="705" t="s">
        <v>1461</v>
      </c>
      <c r="C68" s="721" t="str">
        <f>'Expenditures 15-22'!B218</f>
        <v>1225</v>
      </c>
      <c r="D68" s="727" t="str">
        <f>'Expenditures 15-22'!A218</f>
        <v>Special Education Programs - Pre-K</v>
      </c>
      <c r="E68" s="704"/>
      <c r="F68" s="1781">
        <f>'Expenditures 15-22'!K218</f>
        <v>57080</v>
      </c>
      <c r="G68" s="701"/>
    </row>
    <row r="69" spans="1:9" x14ac:dyDescent="0.2">
      <c r="A69" s="705" t="s">
        <v>458</v>
      </c>
      <c r="B69" s="705" t="s">
        <v>1860</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1861</v>
      </c>
      <c r="C70" s="721">
        <f>'Expenditures 15-22'!B221</f>
        <v>1300</v>
      </c>
      <c r="D70" s="722" t="str">
        <f>'Expenditures 15-22'!A221</f>
        <v>Adult/Continuing Education Programs</v>
      </c>
      <c r="E70" s="704"/>
      <c r="F70" s="1781">
        <f>'Expenditures 15-22'!K221</f>
        <v>0</v>
      </c>
      <c r="G70" s="701"/>
    </row>
    <row r="71" spans="1:9" x14ac:dyDescent="0.2">
      <c r="A71" s="705" t="s">
        <v>458</v>
      </c>
      <c r="B71" s="705" t="s">
        <v>1862</v>
      </c>
      <c r="C71" s="721">
        <f>'Expenditures 15-22'!B224</f>
        <v>1600</v>
      </c>
      <c r="D71" s="722" t="str">
        <f>'Expenditures 15-22'!A224</f>
        <v>Summer School Programs</v>
      </c>
      <c r="E71" s="704"/>
      <c r="F71" s="1781">
        <f>'Expenditures 15-22'!K224</f>
        <v>14115</v>
      </c>
      <c r="G71" s="701"/>
    </row>
    <row r="72" spans="1:9" x14ac:dyDescent="0.2">
      <c r="A72" s="705" t="s">
        <v>458</v>
      </c>
      <c r="B72" s="705" t="s">
        <v>1863</v>
      </c>
      <c r="C72" s="721">
        <f>'Expenditures 15-22'!B280</f>
        <v>3000</v>
      </c>
      <c r="D72" s="712" t="s">
        <v>445</v>
      </c>
      <c r="E72" s="704"/>
      <c r="F72" s="1781">
        <f>'Expenditures 15-22'!K280</f>
        <v>62361</v>
      </c>
      <c r="G72" s="701"/>
    </row>
    <row r="73" spans="1:9" x14ac:dyDescent="0.2">
      <c r="A73" s="705" t="s">
        <v>458</v>
      </c>
      <c r="B73" s="705" t="s">
        <v>1864</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1865</v>
      </c>
      <c r="C74" s="721" t="s">
        <v>854</v>
      </c>
      <c r="D74" s="722" t="s">
        <v>1469</v>
      </c>
      <c r="E74" s="704"/>
      <c r="F74" s="1785">
        <f>'Expenditures 15-22'!K334</f>
        <v>0</v>
      </c>
      <c r="G74" s="701"/>
    </row>
    <row r="75" spans="1:9" x14ac:dyDescent="0.2">
      <c r="A75" s="705" t="s">
        <v>2004</v>
      </c>
      <c r="B75" s="705" t="s">
        <v>2005</v>
      </c>
      <c r="C75" s="721" t="s">
        <v>974</v>
      </c>
      <c r="D75" s="722" t="s">
        <v>1085</v>
      </c>
      <c r="E75" s="704"/>
      <c r="F75" s="1785">
        <f>'Expenditures 15-22'!G342</f>
        <v>163872</v>
      </c>
      <c r="G75" s="701"/>
    </row>
    <row r="76" spans="1:9" ht="10.5" customHeight="1" x14ac:dyDescent="0.2">
      <c r="A76" s="701" t="s">
        <v>432</v>
      </c>
      <c r="B76" s="705" t="s">
        <v>2006</v>
      </c>
      <c r="C76" s="711" t="s">
        <v>974</v>
      </c>
      <c r="D76" s="701" t="s">
        <v>287</v>
      </c>
      <c r="E76" s="704"/>
      <c r="F76" s="1785">
        <f>'Expenditures 15-22'!I342</f>
        <v>45410</v>
      </c>
      <c r="G76" s="703"/>
    </row>
    <row r="77" spans="1:9" ht="12" thickBot="1" x14ac:dyDescent="0.25">
      <c r="A77" s="1442"/>
      <c r="B77" s="1447"/>
      <c r="C77" s="1444"/>
      <c r="D77" s="1448" t="s">
        <v>2007</v>
      </c>
      <c r="E77" s="1446" t="s">
        <v>951</v>
      </c>
      <c r="F77" s="1786">
        <f>SUM(F18:F76)</f>
        <v>31482998</v>
      </c>
      <c r="G77" s="701"/>
    </row>
    <row r="78" spans="1:9" s="728" customFormat="1" ht="12" customHeight="1" thickTop="1" thickBot="1" x14ac:dyDescent="0.25">
      <c r="A78" s="1449"/>
      <c r="B78" s="1447"/>
      <c r="C78" s="1444"/>
      <c r="D78" s="1448" t="s">
        <v>2008</v>
      </c>
      <c r="E78" s="1446"/>
      <c r="F78" s="1787">
        <f>(F14-F77)</f>
        <v>144163665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11695</v>
      </c>
      <c r="G79" s="733"/>
      <c r="H79" s="705"/>
      <c r="I79" s="705"/>
    </row>
    <row r="80" spans="1:9" s="728" customFormat="1" ht="12" customHeight="1" thickBot="1" x14ac:dyDescent="0.25">
      <c r="A80" s="1451"/>
      <c r="B80" s="1447"/>
      <c r="C80" s="1444"/>
      <c r="D80" s="1448" t="s">
        <v>2009</v>
      </c>
      <c r="E80" s="1446" t="s">
        <v>951</v>
      </c>
      <c r="F80" s="1789">
        <f>IF(F79&gt;0,F78/F79," Complete Line 79")</f>
        <v>12326.948696023941</v>
      </c>
      <c r="G80" s="705"/>
    </row>
    <row r="81" spans="1:7" s="728" customFormat="1" ht="8.25" customHeight="1" thickTop="1" x14ac:dyDescent="0.2">
      <c r="A81" s="734"/>
      <c r="B81" s="705"/>
      <c r="C81" s="707"/>
      <c r="D81" s="735"/>
      <c r="E81" s="704"/>
      <c r="F81" s="1790"/>
      <c r="G81" s="705"/>
    </row>
    <row r="82" spans="1:7" s="728" customFormat="1" ht="12" thickBot="1" x14ac:dyDescent="0.25">
      <c r="A82" s="2370" t="s">
        <v>1095</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2450078</v>
      </c>
      <c r="G95" s="745"/>
    </row>
    <row r="96" spans="1:7" x14ac:dyDescent="0.2">
      <c r="A96" s="741" t="s">
        <v>139</v>
      </c>
      <c r="B96" s="741" t="s">
        <v>174</v>
      </c>
      <c r="C96" s="743">
        <v>1700</v>
      </c>
      <c r="D96" s="751" t="str">
        <f>'Revenues 9-14'!A82</f>
        <v>Total District/School Activity Income</v>
      </c>
      <c r="E96" s="739"/>
      <c r="F96" s="1792">
        <f>SUM('Revenues 9-14'!C82,'Revenues 9-14'!D82)</f>
        <v>795324</v>
      </c>
      <c r="G96" s="745"/>
    </row>
    <row r="97" spans="1:7" x14ac:dyDescent="0.2">
      <c r="A97" s="741" t="s">
        <v>455</v>
      </c>
      <c r="B97" s="741" t="s">
        <v>175</v>
      </c>
      <c r="C97" s="743">
        <f>'Revenues 9-14'!B84</f>
        <v>1811</v>
      </c>
      <c r="D97" s="744" t="str">
        <f>'Revenues 9-14'!A84</f>
        <v>Rentals - Regular Textbooks</v>
      </c>
      <c r="E97" s="739"/>
      <c r="F97" s="1792">
        <f>'Revenues 9-14'!C84</f>
        <v>1057678</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131</v>
      </c>
      <c r="G99" s="745"/>
    </row>
    <row r="100" spans="1:7" x14ac:dyDescent="0.2">
      <c r="A100" s="741" t="s">
        <v>455</v>
      </c>
      <c r="B100" s="741" t="s">
        <v>178</v>
      </c>
      <c r="C100" s="743">
        <f>'Revenues 9-14'!B91</f>
        <v>1829</v>
      </c>
      <c r="D100" s="744" t="str">
        <f>'Revenues 9-14'!A91</f>
        <v>Sales - Other (Describe &amp; Itemize)</v>
      </c>
      <c r="E100" s="739"/>
      <c r="F100" s="1792">
        <f>'Revenues 9-14'!C91</f>
        <v>394</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73283</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33830</v>
      </c>
      <c r="G105" s="745"/>
    </row>
    <row r="106" spans="1:7" x14ac:dyDescent="0.2">
      <c r="A106" s="741" t="s">
        <v>499</v>
      </c>
      <c r="B106" s="741" t="s">
        <v>1906</v>
      </c>
      <c r="C106" s="746">
        <v>3100</v>
      </c>
      <c r="D106" s="752" t="str">
        <f>'Revenues 9-14'!A132</f>
        <v>Total Special Education</v>
      </c>
      <c r="E106" s="739"/>
      <c r="F106" s="1792">
        <f>SUM('Revenues 9-14'!C132:D132,'Revenues 9-14'!F132)</f>
        <v>1824726</v>
      </c>
      <c r="G106" s="745"/>
    </row>
    <row r="107" spans="1:7" x14ac:dyDescent="0.2">
      <c r="A107" s="741" t="s">
        <v>667</v>
      </c>
      <c r="B107" s="741" t="s">
        <v>1907</v>
      </c>
      <c r="C107" s="753">
        <v>3200</v>
      </c>
      <c r="D107" s="744" t="str">
        <f>'Revenues 9-14'!A141</f>
        <v>Total Career and Technical Education</v>
      </c>
      <c r="E107" s="739"/>
      <c r="F107" s="1792">
        <f>SUM('Revenues 9-14'!C141,'Revenues 9-14'!D141,'Revenues 9-14'!G141)</f>
        <v>25180</v>
      </c>
      <c r="G107" s="745"/>
    </row>
    <row r="108" spans="1:7" x14ac:dyDescent="0.2">
      <c r="A108" s="754" t="s">
        <v>658</v>
      </c>
      <c r="B108" s="741" t="s">
        <v>1908</v>
      </c>
      <c r="C108" s="753">
        <v>3300</v>
      </c>
      <c r="D108" s="744" t="str">
        <f>'Revenues 9-14'!A145</f>
        <v>Total Bilingual Ed</v>
      </c>
      <c r="E108" s="739"/>
      <c r="F108" s="1792">
        <f>SUM('Revenues 9-14'!C145,'Revenues 9-14'!G145)</f>
        <v>235939</v>
      </c>
      <c r="G108" s="745"/>
    </row>
    <row r="109" spans="1:7" x14ac:dyDescent="0.2">
      <c r="A109" s="741" t="s">
        <v>455</v>
      </c>
      <c r="B109" s="741" t="s">
        <v>1909</v>
      </c>
      <c r="C109" s="753">
        <f>'Revenues 9-14'!B146</f>
        <v>3360</v>
      </c>
      <c r="D109" s="744" t="str">
        <f>'Revenues 9-14'!A146</f>
        <v>State Free Lunch &amp; Breakfast</v>
      </c>
      <c r="E109" s="739"/>
      <c r="F109" s="1792">
        <f>'Revenues 9-14'!C146</f>
        <v>32943</v>
      </c>
      <c r="G109" s="745"/>
    </row>
    <row r="110" spans="1:7" x14ac:dyDescent="0.2">
      <c r="A110" s="741" t="s">
        <v>667</v>
      </c>
      <c r="B110" s="741" t="s">
        <v>1910</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2">
        <f>SUM('Revenues 9-14'!C148,'Revenues 9-14'!D148)</f>
        <v>38169</v>
      </c>
      <c r="G111" s="745"/>
    </row>
    <row r="112" spans="1:7" x14ac:dyDescent="0.2">
      <c r="A112" s="741" t="s">
        <v>662</v>
      </c>
      <c r="B112" s="741" t="s">
        <v>1912</v>
      </c>
      <c r="C112" s="755">
        <v>3500</v>
      </c>
      <c r="D112" s="744" t="str">
        <f>'Revenues 9-14'!A155</f>
        <v>Total Transportation</v>
      </c>
      <c r="E112" s="739"/>
      <c r="F112" s="1792">
        <f>SUM('Revenues 9-14'!C155,'Revenues 9-14'!D155,'Revenues 9-14'!F155,'Revenues 9-14'!G155)</f>
        <v>6504360</v>
      </c>
      <c r="G112" s="745"/>
    </row>
    <row r="113" spans="1:7" x14ac:dyDescent="0.2">
      <c r="A113" s="741" t="s">
        <v>455</v>
      </c>
      <c r="B113" s="741" t="s">
        <v>1913</v>
      </c>
      <c r="C113" s="753">
        <f>'Revenues 9-14'!B156</f>
        <v>3610</v>
      </c>
      <c r="D113" s="744" t="str">
        <f>'Revenues 9-14'!A156</f>
        <v>Learning Improvement - Change Grants</v>
      </c>
      <c r="E113" s="739"/>
      <c r="F113" s="1792">
        <f>'Revenues 9-14'!C156</f>
        <v>0</v>
      </c>
      <c r="G113" s="745"/>
    </row>
    <row r="114" spans="1:7" x14ac:dyDescent="0.2">
      <c r="A114" s="741" t="s">
        <v>662</v>
      </c>
      <c r="B114" s="741" t="s">
        <v>1914</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1">
        <f>SUM('Revenues 9-14'!C163:G163)</f>
        <v>0</v>
      </c>
      <c r="G119" s="745"/>
    </row>
    <row r="120" spans="1:7" x14ac:dyDescent="0.2">
      <c r="A120" s="756" t="s">
        <v>500</v>
      </c>
      <c r="B120" s="756" t="s">
        <v>1920</v>
      </c>
      <c r="C120" s="757">
        <f>'Revenues 9-14'!B164</f>
        <v>3815</v>
      </c>
      <c r="D120" s="758" t="str">
        <f>'Revenues 9-14'!A164</f>
        <v>State Charter Schools</v>
      </c>
      <c r="E120" s="739"/>
      <c r="F120" s="1791">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2">
        <f>'Revenues 9-14'!D167</f>
        <v>50000</v>
      </c>
      <c r="G121" s="763"/>
    </row>
    <row r="122" spans="1:7" x14ac:dyDescent="0.2">
      <c r="A122" s="760" t="s">
        <v>496</v>
      </c>
      <c r="B122" s="760" t="s">
        <v>1922</v>
      </c>
      <c r="C122" s="761">
        <f>'Revenues 9-14'!B168</f>
        <v>3999</v>
      </c>
      <c r="D122" s="762" t="s">
        <v>539</v>
      </c>
      <c r="E122" s="764"/>
      <c r="F122" s="1792">
        <f>SUM('Revenues 9-14'!C168:G168,'Revenues 9-14'!J168)</f>
        <v>132407</v>
      </c>
      <c r="G122" s="763"/>
    </row>
    <row r="123" spans="1:7" x14ac:dyDescent="0.2">
      <c r="A123" s="760" t="s">
        <v>455</v>
      </c>
      <c r="B123" s="760" t="s">
        <v>1923</v>
      </c>
      <c r="C123" s="765">
        <f>'Revenues 9-14'!B177</f>
        <v>4045</v>
      </c>
      <c r="D123" s="762" t="str">
        <f>'Revenues 9-14'!A177 &amp; " (Subtract)"</f>
        <v>Head Start (Subtract)</v>
      </c>
      <c r="E123" s="739"/>
      <c r="F123" s="1792">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1925</v>
      </c>
      <c r="C125" s="765">
        <v>4100</v>
      </c>
      <c r="D125" s="766" t="str">
        <f>'Revenues 9-14'!A188</f>
        <v>Total Title V</v>
      </c>
      <c r="E125" s="739"/>
      <c r="F125" s="1792">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2">
        <f>SUM('Revenues 9-14'!C198,'Revenues 9-14'!G198)</f>
        <v>2079729</v>
      </c>
      <c r="G126" s="763"/>
    </row>
    <row r="127" spans="1:7" x14ac:dyDescent="0.2">
      <c r="A127" s="760" t="s">
        <v>662</v>
      </c>
      <c r="B127" s="760" t="s">
        <v>1927</v>
      </c>
      <c r="C127" s="765">
        <v>4300</v>
      </c>
      <c r="D127" s="766" t="str">
        <f>'Revenues 9-14'!A204</f>
        <v>Total Title I</v>
      </c>
      <c r="E127" s="739"/>
      <c r="F127" s="1792">
        <f>SUM('Revenues 9-14'!C204,'Revenues 9-14'!D204,'Revenues 9-14'!F204,'Revenues 9-14'!G204)</f>
        <v>2177656</v>
      </c>
      <c r="G127" s="763"/>
    </row>
    <row r="128" spans="1:7" x14ac:dyDescent="0.2">
      <c r="A128" s="760" t="s">
        <v>662</v>
      </c>
      <c r="B128" s="760" t="s">
        <v>1928</v>
      </c>
      <c r="C128" s="765">
        <v>4400</v>
      </c>
      <c r="D128" s="766" t="str">
        <f>'Revenues 9-14'!A209</f>
        <v>Total Title IV</v>
      </c>
      <c r="E128" s="739"/>
      <c r="F128" s="1792">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92">
        <f>SUM('Revenues 9-14'!C213:D213,'Revenues 9-14'!F213:G213)</f>
        <v>2778760</v>
      </c>
      <c r="G129" s="763"/>
    </row>
    <row r="130" spans="1:7" x14ac:dyDescent="0.2">
      <c r="A130" s="760" t="s">
        <v>662</v>
      </c>
      <c r="B130" s="760" t="s">
        <v>1930</v>
      </c>
      <c r="C130" s="765">
        <f>'Revenues 9-14'!B214</f>
        <v>4625</v>
      </c>
      <c r="D130" s="766" t="str">
        <f>'Revenues 9-14'!A214</f>
        <v>Fed - Spec Education - IDEA - Room &amp; Board</v>
      </c>
      <c r="E130" s="739"/>
      <c r="F130" s="1792">
        <f>SUM('Revenues 9-14'!C214,'Revenues 9-14'!D214,'Revenues 9-14'!F214,'Revenues 9-14'!G214)</f>
        <v>762026</v>
      </c>
      <c r="G130" s="763"/>
    </row>
    <row r="131" spans="1:7" x14ac:dyDescent="0.2">
      <c r="A131" s="760" t="s">
        <v>662</v>
      </c>
      <c r="B131" s="760" t="s">
        <v>1931</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1932</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2">
        <v>0</v>
      </c>
      <c r="G139" s="738"/>
    </row>
    <row r="140" spans="1:7" s="703" customFormat="1" hidden="1" x14ac:dyDescent="0.2">
      <c r="A140" s="767" t="s">
        <v>204</v>
      </c>
      <c r="B140" s="767" t="s">
        <v>1939</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1399</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1947</v>
      </c>
      <c r="C158" s="773" t="s">
        <v>835</v>
      </c>
      <c r="D158" s="774" t="s">
        <v>771</v>
      </c>
      <c r="E158" s="775"/>
      <c r="F158" s="1792">
        <f>SUM(F134:F157)</f>
        <v>0</v>
      </c>
      <c r="G158" s="738"/>
    </row>
    <row r="159" spans="1:7" s="703" customFormat="1" x14ac:dyDescent="0.2">
      <c r="A159" s="771" t="s">
        <v>455</v>
      </c>
      <c r="B159" s="772" t="s">
        <v>1948</v>
      </c>
      <c r="C159" s="773" t="s">
        <v>1409</v>
      </c>
      <c r="D159" s="774" t="s">
        <v>1410</v>
      </c>
      <c r="E159" s="775"/>
      <c r="F159" s="1792">
        <f>SUM('Revenues 9-14'!C253)</f>
        <v>0</v>
      </c>
      <c r="G159" s="738"/>
    </row>
    <row r="160" spans="1:7" s="703" customFormat="1" x14ac:dyDescent="0.2">
      <c r="A160" s="771" t="s">
        <v>496</v>
      </c>
      <c r="B160" s="772" t="s">
        <v>1949</v>
      </c>
      <c r="C160" s="773" t="s">
        <v>1448</v>
      </c>
      <c r="D160" s="774" t="s">
        <v>1449</v>
      </c>
      <c r="E160" s="775"/>
      <c r="F160" s="1792">
        <f>SUM('Revenues 9-14'!C254:H254,'Revenues 9-14'!J254:K254)</f>
        <v>193466</v>
      </c>
      <c r="G160" s="738"/>
    </row>
    <row r="161" spans="1:7" x14ac:dyDescent="0.2">
      <c r="A161" s="760" t="s">
        <v>5</v>
      </c>
      <c r="B161" s="760" t="s">
        <v>1950</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2">
        <f>SUM('Revenues 9-14'!C256,'Revenues 9-14'!F256,'Revenues 9-14'!G256)</f>
        <v>60251</v>
      </c>
      <c r="G162" s="776"/>
    </row>
    <row r="163" spans="1:7" x14ac:dyDescent="0.2">
      <c r="A163" s="760" t="s">
        <v>662</v>
      </c>
      <c r="B163" s="760" t="s">
        <v>1952</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1">
        <f>SUM('Revenues 9-14'!C259,'Revenues 9-14'!D259,'Revenues 9-14'!F259,'Revenues 9-14'!G259)</f>
        <v>358418</v>
      </c>
      <c r="G165" s="763"/>
    </row>
    <row r="166" spans="1:7" x14ac:dyDescent="0.2">
      <c r="A166" s="760" t="s">
        <v>662</v>
      </c>
      <c r="B166" s="760" t="s">
        <v>1955</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2">
        <f>SUM('Revenues 9-14'!C263:D263,'Revenues 9-14'!F263:G263)</f>
        <v>183210</v>
      </c>
      <c r="G169" s="780">
        <v>6320</v>
      </c>
    </row>
    <row r="170" spans="1:7" x14ac:dyDescent="0.2">
      <c r="A170" s="760" t="s">
        <v>662</v>
      </c>
      <c r="B170" s="760" t="s">
        <v>1957</v>
      </c>
      <c r="C170" s="765">
        <f>'Revenues 9-14'!B264</f>
        <v>4992</v>
      </c>
      <c r="D170" s="766" t="str">
        <f>'Revenues 9-14'!A264</f>
        <v>Medicaid Matching Funds - Fee-for-Service Program</v>
      </c>
      <c r="E170" s="739"/>
      <c r="F170" s="1792">
        <f>SUM('Revenues 9-14'!C264:D264,'Revenues 9-14'!F264:G264)</f>
        <v>243433</v>
      </c>
      <c r="G170" s="780"/>
    </row>
    <row r="171" spans="1:7" x14ac:dyDescent="0.2">
      <c r="A171" s="781" t="s">
        <v>662</v>
      </c>
      <c r="B171" s="777" t="s">
        <v>1958</v>
      </c>
      <c r="C171" s="778">
        <f>'Revenues 9-14'!B265</f>
        <v>4998</v>
      </c>
      <c r="D171" s="779" t="str">
        <f>'Revenues 9-14'!A265</f>
        <v>Other Restricted Revenue from Federal Sources (Describe &amp; Itemize)</v>
      </c>
      <c r="E171" s="739"/>
      <c r="F171" s="1792">
        <f>SUM('Revenues 9-14'!C265:D265,'Revenues 9-14'!F265:G265)</f>
        <v>132782</v>
      </c>
      <c r="G171" s="760"/>
    </row>
    <row r="172" spans="1:7" x14ac:dyDescent="0.2">
      <c r="A172" s="1528" t="s">
        <v>5</v>
      </c>
      <c r="B172" s="1529" t="s">
        <v>1881</v>
      </c>
      <c r="C172" s="1530">
        <v>3100</v>
      </c>
      <c r="D172" s="1531" t="s">
        <v>1883</v>
      </c>
      <c r="E172" s="739"/>
      <c r="F172" s="1793">
        <v>4480051.88</v>
      </c>
      <c r="G172" s="760"/>
    </row>
    <row r="173" spans="1:7" x14ac:dyDescent="0.2">
      <c r="A173" s="1528" t="s">
        <v>658</v>
      </c>
      <c r="B173" s="1529" t="s">
        <v>1881</v>
      </c>
      <c r="C173" s="1530">
        <v>3300</v>
      </c>
      <c r="D173" s="1531" t="s">
        <v>1884</v>
      </c>
      <c r="E173" s="739"/>
      <c r="F173" s="1793">
        <v>235938.46</v>
      </c>
      <c r="G173" s="760"/>
    </row>
    <row r="174" spans="1:7" ht="6" customHeight="1" x14ac:dyDescent="0.2">
      <c r="A174" s="760"/>
      <c r="B174" s="760"/>
      <c r="C174" s="782"/>
      <c r="D174" s="760"/>
      <c r="E174" s="739"/>
      <c r="F174" s="1794"/>
      <c r="G174" s="780"/>
    </row>
    <row r="175" spans="1:7" x14ac:dyDescent="0.2">
      <c r="A175" s="1442"/>
      <c r="B175" s="1452"/>
      <c r="C175" s="1453"/>
      <c r="D175" s="1454" t="s">
        <v>2012</v>
      </c>
      <c r="E175" s="1455" t="s">
        <v>951</v>
      </c>
      <c r="F175" s="1795">
        <f>SUM(F85:F133,F158:F173)</f>
        <v>26940163.34</v>
      </c>
    </row>
    <row r="176" spans="1:7" ht="12" customHeight="1" x14ac:dyDescent="0.2">
      <c r="A176" s="1442"/>
      <c r="B176" s="1452"/>
      <c r="C176" s="1453"/>
      <c r="D176" s="1454" t="s">
        <v>2010</v>
      </c>
      <c r="E176" s="1455"/>
      <c r="F176" s="1792">
        <f>'PCTC-OEPP 27-28'!F78-F175</f>
        <v>117223501.66</v>
      </c>
    </row>
    <row r="177" spans="1:9" ht="12" customHeight="1" x14ac:dyDescent="0.2">
      <c r="A177" s="1442"/>
      <c r="B177" s="1452"/>
      <c r="C177" s="1453"/>
      <c r="D177" s="1454" t="s">
        <v>1790</v>
      </c>
      <c r="E177" s="1455"/>
      <c r="F177" s="1792">
        <f>'Cap Outlay Deprec 26'!I18</f>
        <v>8815667.1999999993</v>
      </c>
    </row>
    <row r="178" spans="1:9" ht="12" customHeight="1" x14ac:dyDescent="0.2">
      <c r="A178" s="1442"/>
      <c r="B178" s="1452"/>
      <c r="C178" s="1453"/>
      <c r="D178" s="1454" t="s">
        <v>2011</v>
      </c>
      <c r="E178" s="1455"/>
      <c r="F178" s="1792">
        <f>F176+F177</f>
        <v>126039168.86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11695</v>
      </c>
      <c r="G179" s="763"/>
      <c r="I179" s="701"/>
    </row>
    <row r="180" spans="1:9" ht="12" customHeight="1" thickBot="1" x14ac:dyDescent="0.25">
      <c r="A180" s="1442"/>
      <c r="B180" s="1456"/>
      <c r="C180" s="1453"/>
      <c r="D180" s="1454" t="s">
        <v>2013</v>
      </c>
      <c r="E180" s="1455" t="s">
        <v>1527</v>
      </c>
      <c r="F180" s="1797">
        <f>F178/F179</f>
        <v>10777.18416930312</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G142"/>
  <sheetViews>
    <sheetView showGridLines="0"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1803</v>
      </c>
      <c r="B1" s="1859"/>
      <c r="C1" s="1860"/>
      <c r="D1" s="1860"/>
      <c r="E1" s="1860"/>
      <c r="F1" s="1860"/>
    </row>
    <row r="2" spans="1:6" x14ac:dyDescent="0.25">
      <c r="A2" s="1862"/>
      <c r="B2" s="1863"/>
      <c r="C2" s="1912" t="s">
        <v>1999</v>
      </c>
      <c r="D2" s="1862"/>
      <c r="E2" s="1862"/>
      <c r="F2" s="1862"/>
    </row>
    <row r="3" spans="1:6" ht="5.25" customHeight="1" x14ac:dyDescent="0.25">
      <c r="A3" s="1864"/>
      <c r="B3" s="1865"/>
      <c r="C3" s="1864"/>
      <c r="D3" s="1864"/>
      <c r="E3" s="1864"/>
      <c r="F3" s="1864"/>
    </row>
    <row r="4" spans="1:6" ht="18.75" customHeight="1" x14ac:dyDescent="0.25">
      <c r="A4" s="2384" t="s">
        <v>1791</v>
      </c>
      <c r="B4" s="2385"/>
      <c r="C4" s="2385"/>
      <c r="D4" s="2385"/>
      <c r="E4" s="2385"/>
      <c r="F4" s="2386"/>
    </row>
    <row r="5" spans="1:6" x14ac:dyDescent="0.25">
      <c r="A5" s="2387"/>
      <c r="B5" s="2388"/>
      <c r="C5" s="2388"/>
      <c r="D5" s="2388"/>
      <c r="E5" s="2388"/>
      <c r="F5" s="2389"/>
    </row>
    <row r="6" spans="1:6" ht="18.75" x14ac:dyDescent="0.25">
      <c r="A6" s="1866" t="s">
        <v>1792</v>
      </c>
      <c r="B6" s="1867"/>
      <c r="C6" s="1868"/>
      <c r="D6" s="1868"/>
      <c r="E6" s="1868"/>
      <c r="F6" s="1869"/>
    </row>
    <row r="7" spans="1:6" ht="47.25" customHeight="1" x14ac:dyDescent="0.25">
      <c r="A7" s="2390" t="s">
        <v>1981</v>
      </c>
      <c r="B7" s="2391"/>
      <c r="C7" s="2391"/>
      <c r="D7" s="2391"/>
      <c r="E7" s="2391"/>
      <c r="F7" s="2392"/>
    </row>
    <row r="8" spans="1:6" ht="20.25" customHeight="1" x14ac:dyDescent="0.25">
      <c r="A8" s="1901" t="s">
        <v>1983</v>
      </c>
      <c r="B8" s="1902"/>
      <c r="C8" s="1902"/>
      <c r="D8" s="1902"/>
      <c r="E8" s="1870"/>
      <c r="F8" s="1871"/>
    </row>
    <row r="9" spans="1:6" ht="18" customHeight="1" x14ac:dyDescent="0.25">
      <c r="A9" s="1872" t="s">
        <v>1980</v>
      </c>
      <c r="B9" s="1874"/>
      <c r="C9" s="1874"/>
      <c r="D9" s="1874"/>
      <c r="E9" s="1870"/>
      <c r="F9" s="1871"/>
    </row>
    <row r="10" spans="1:6" ht="15.75" customHeight="1" x14ac:dyDescent="0.25">
      <c r="A10" s="2393" t="s">
        <v>1977</v>
      </c>
      <c r="B10" s="2394"/>
      <c r="C10" s="2394"/>
      <c r="D10" s="2394"/>
      <c r="E10" s="2394"/>
      <c r="F10" s="2395"/>
    </row>
    <row r="11" spans="1:6" ht="33" customHeight="1" x14ac:dyDescent="0.25">
      <c r="A11" s="2390" t="s">
        <v>1982</v>
      </c>
      <c r="B11" s="2391"/>
      <c r="C11" s="2391"/>
      <c r="D11" s="2391"/>
      <c r="E11" s="2391"/>
      <c r="F11" s="2392"/>
    </row>
    <row r="12" spans="1:6" ht="15" customHeight="1" x14ac:dyDescent="0.25">
      <c r="A12" s="1872" t="s">
        <v>1978</v>
      </c>
      <c r="B12" s="1873"/>
      <c r="C12" s="1874"/>
      <c r="D12" s="1874"/>
      <c r="E12" s="1874"/>
      <c r="F12" s="1875"/>
    </row>
    <row r="13" spans="1:6" ht="17.25" customHeight="1" x14ac:dyDescent="0.25">
      <c r="A13" s="2390" t="s">
        <v>1979</v>
      </c>
      <c r="B13" s="2391"/>
      <c r="C13" s="2391"/>
      <c r="D13" s="2391"/>
      <c r="E13" s="2391"/>
      <c r="F13" s="2392"/>
    </row>
    <row r="14" spans="1:6" ht="15" customHeight="1" x14ac:dyDescent="0.25">
      <c r="A14" s="1872" t="s">
        <v>1796</v>
      </c>
      <c r="B14" s="1873"/>
      <c r="C14" s="1874"/>
      <c r="D14" s="1874"/>
      <c r="E14" s="1874"/>
      <c r="F14" s="1875"/>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6" t="s">
        <v>1797</v>
      </c>
      <c r="B16" s="1877" t="s">
        <v>1798</v>
      </c>
      <c r="C16" s="1876" t="s">
        <v>1799</v>
      </c>
      <c r="D16" s="1878" t="s">
        <v>1800</v>
      </c>
      <c r="E16" s="1878" t="s">
        <v>1801</v>
      </c>
      <c r="F16" s="1878" t="s">
        <v>1802</v>
      </c>
    </row>
    <row r="17" spans="1:7" x14ac:dyDescent="0.25">
      <c r="A17" s="1879" t="s">
        <v>1804</v>
      </c>
      <c r="B17" s="1906" t="s">
        <v>1795</v>
      </c>
      <c r="C17" s="1880" t="s">
        <v>1793</v>
      </c>
      <c r="D17" s="1881">
        <v>500000</v>
      </c>
      <c r="E17" s="1881" t="str">
        <f>IF(D17&lt;25000,D17,"25,000")</f>
        <v>25,000</v>
      </c>
      <c r="F17" s="1882">
        <f>IF(D17&gt;=25000,(D17-E17),"0")</f>
        <v>475000</v>
      </c>
    </row>
    <row r="18" spans="1:7" x14ac:dyDescent="0.25">
      <c r="A18" s="2039" t="s">
        <v>2123</v>
      </c>
      <c r="B18" s="1907"/>
      <c r="C18" s="1913"/>
      <c r="D18" s="2043"/>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hidden="1" x14ac:dyDescent="0.25">
      <c r="A26" s="1887"/>
      <c r="B26" s="1907"/>
      <c r="C26" s="1884"/>
      <c r="D26" s="1885"/>
      <c r="E26" s="1905">
        <f t="shared" si="0"/>
        <v>0</v>
      </c>
      <c r="F26" s="1905" t="str">
        <f t="shared" si="1"/>
        <v>0</v>
      </c>
    </row>
    <row r="27" spans="1:7" hidden="1" x14ac:dyDescent="0.25">
      <c r="A27" s="1887"/>
      <c r="B27" s="1907"/>
      <c r="C27" s="1888"/>
      <c r="D27" s="1885"/>
      <c r="E27" s="1905">
        <f t="shared" si="0"/>
        <v>0</v>
      </c>
      <c r="F27" s="1905" t="str">
        <f t="shared" si="1"/>
        <v>0</v>
      </c>
    </row>
    <row r="28" spans="1:7" hidden="1" x14ac:dyDescent="0.25">
      <c r="A28" s="1887"/>
      <c r="B28" s="1907"/>
      <c r="C28" s="1888"/>
      <c r="D28" s="1885"/>
      <c r="E28" s="1905">
        <f t="shared" si="0"/>
        <v>0</v>
      </c>
      <c r="F28" s="1905" t="str">
        <f t="shared" si="1"/>
        <v>0</v>
      </c>
    </row>
    <row r="29" spans="1:7" hidden="1" x14ac:dyDescent="0.25">
      <c r="A29" s="1887"/>
      <c r="B29" s="1907"/>
      <c r="C29" s="1888"/>
      <c r="D29" s="1885"/>
      <c r="E29" s="1905">
        <f t="shared" si="0"/>
        <v>0</v>
      </c>
      <c r="F29" s="1905" t="str">
        <f t="shared" si="1"/>
        <v>0</v>
      </c>
    </row>
    <row r="30" spans="1:7" hidden="1" x14ac:dyDescent="0.25">
      <c r="A30" s="1887"/>
      <c r="B30" s="1907"/>
      <c r="C30" s="1888"/>
      <c r="D30" s="1885"/>
      <c r="E30" s="1905">
        <f t="shared" si="0"/>
        <v>0</v>
      </c>
      <c r="F30" s="1905" t="str">
        <f t="shared" si="1"/>
        <v>0</v>
      </c>
    </row>
    <row r="31" spans="1:7" hidden="1" x14ac:dyDescent="0.25">
      <c r="A31" s="1887"/>
      <c r="B31" s="1907"/>
      <c r="C31" s="1888"/>
      <c r="D31" s="1885"/>
      <c r="E31" s="1905">
        <f t="shared" si="0"/>
        <v>0</v>
      </c>
      <c r="F31" s="1905" t="str">
        <f t="shared" si="1"/>
        <v>0</v>
      </c>
    </row>
    <row r="32" spans="1:7" hidden="1" x14ac:dyDescent="0.25">
      <c r="A32" s="1887"/>
      <c r="B32" s="1907"/>
      <c r="C32" s="1888"/>
      <c r="D32" s="1885"/>
      <c r="E32" s="1905">
        <f t="shared" si="0"/>
        <v>0</v>
      </c>
      <c r="F32" s="1905" t="str">
        <f t="shared" si="1"/>
        <v>0</v>
      </c>
    </row>
    <row r="33" spans="1:6" hidden="1" x14ac:dyDescent="0.25">
      <c r="A33" s="1887"/>
      <c r="B33" s="1907"/>
      <c r="C33" s="1888"/>
      <c r="D33" s="1885"/>
      <c r="E33" s="1905">
        <f t="shared" si="0"/>
        <v>0</v>
      </c>
      <c r="F33" s="1905" t="str">
        <f t="shared" si="1"/>
        <v>0</v>
      </c>
    </row>
    <row r="34" spans="1:6" hidden="1"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6" t="s">
        <v>1659</v>
      </c>
      <c r="B5" s="2397"/>
      <c r="C5" s="2397"/>
      <c r="D5" s="2397"/>
      <c r="E5" s="2397"/>
      <c r="F5" s="2397"/>
      <c r="G5" s="2398"/>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1890</v>
      </c>
      <c r="B10" s="803"/>
      <c r="C10" s="807"/>
      <c r="D10" s="804"/>
      <c r="E10" s="1799">
        <v>6447</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0">
        <f>' SEFA'!I23+' SEFA'!I25</f>
        <v>291114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85754036</v>
      </c>
      <c r="F19" s="1801"/>
      <c r="G19" s="1803">
        <f>'Expenditures 15-22'!K33-SUM('Expenditures 15-22'!G33,'Expenditures 15-22'!I33)+'Expenditures 15-22'!D229</f>
        <v>85754036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6113832</v>
      </c>
      <c r="F21" s="1804"/>
      <c r="G21" s="1807">
        <f>'Expenditures 15-22'!K42-SUM('Expenditures 15-22'!G42,'Expenditures 15-22'!I42)+'Expenditures 15-22'!K120-SUM('Expenditures 15-22'!G120,'Expenditures 15-22'!I120)+'Expenditures 15-22'!K180-SUM('Expenditures 15-22'!G180,'Expenditures 15-22'!I180)+'Expenditures 15-22'!D238</f>
        <v>6113832</v>
      </c>
      <c r="H21" s="817"/>
      <c r="I21" s="157"/>
    </row>
    <row r="22" spans="1:9" s="542" customFormat="1" ht="12" customHeight="1" x14ac:dyDescent="0.2">
      <c r="A22" s="824" t="s">
        <v>559</v>
      </c>
      <c r="B22" s="825"/>
      <c r="C22" s="823">
        <v>2200</v>
      </c>
      <c r="D22" s="1804"/>
      <c r="E22" s="1806">
        <f>'Expenditures 15-22'!K47-SUM('Expenditures 15-22'!G47,'Expenditures 15-22'!I47)+'Expenditures 15-22'!D243</f>
        <v>3566369</v>
      </c>
      <c r="F22" s="1804"/>
      <c r="G22" s="1807">
        <f>'Expenditures 15-22'!K47-SUM('Expenditures 15-22'!G47,'Expenditures 15-22'!I47)+'Expenditures 15-22'!D243</f>
        <v>3566369</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6432233</v>
      </c>
      <c r="F23" s="1804"/>
      <c r="G23" s="1806">
        <f>'Expenditures 15-22'!K53-SUM('Expenditures 15-22'!G53,'Expenditures 15-22'!I53)+'Expenditures 15-22'!D257+'Expenditures 15-22'!K330-SUM('Expenditures 15-22'!G330,'Expenditures 15-22'!I330)</f>
        <v>6432233</v>
      </c>
      <c r="H23" s="817"/>
      <c r="I23" s="157"/>
    </row>
    <row r="24" spans="1:9" s="542" customFormat="1" ht="12" customHeight="1" x14ac:dyDescent="0.2">
      <c r="A24" s="824" t="s">
        <v>561</v>
      </c>
      <c r="B24" s="825"/>
      <c r="C24" s="823">
        <v>2400</v>
      </c>
      <c r="D24" s="1804"/>
      <c r="E24" s="1806">
        <f>'Expenditures 15-22'!K57-SUM('Expenditures 15-22'!G57,'Expenditures 15-22'!I57)+'Expenditures 15-22'!D261</f>
        <v>6717485</v>
      </c>
      <c r="F24" s="1804"/>
      <c r="G24" s="1807">
        <f>'Expenditures 15-22'!K57-SUM('Expenditures 15-22'!G57,'Expenditures 15-22'!I57)+'Expenditures 15-22'!D261</f>
        <v>6717485</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219424</v>
      </c>
      <c r="E26" s="1806">
        <f>'Expenditures 15-22'!K122-SUM('Expenditures 15-22'!G122,'Expenditures 15-22'!I122)+E7</f>
        <v>0</v>
      </c>
      <c r="F26" s="1806">
        <f>'Expenditures 15-22'!K59-SUM('Expenditures 15-22'!G59,'Expenditures 15-22'!I59)+'Expenditures 15-22'!D263-E7</f>
        <v>219424</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640224</v>
      </c>
      <c r="E27" s="1806">
        <f>E8</f>
        <v>0</v>
      </c>
      <c r="F27" s="1806">
        <f>'Expenditures 15-22'!K60-SUM('Expenditures 15-22'!G60,'Expenditures 15-22'!I60)+'Expenditures 15-22'!D264-E8</f>
        <v>640224</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12384385</v>
      </c>
      <c r="F28" s="1808">
        <f>'Expenditures 15-22'!K61-SUM('Expenditures 15-22'!G61,'Expenditures 15-22'!I61)+'Expenditures 15-22'!K124-SUM('Expenditures 15-22'!G124,'Expenditures 15-22'!I124)+'Expenditures 15-22'!D266-E9</f>
        <v>12384385</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9840295</v>
      </c>
      <c r="F29" s="1804"/>
      <c r="G29" s="1807">
        <f>'Expenditures 15-22'!K62-SUM('Expenditures 15-22'!G62,'Expenditures 15-22'!I62)+'Expenditures 15-22'!K125-SUM('Expenditures 15-22'!G125,'Expenditures 15-22'!I125)+'Expenditures 15-22'!K182-SUM('Expenditures 15-22'!G182,'Expenditures 15-22'!I182)+'Expenditures 15-22'!D267</f>
        <v>9840295</v>
      </c>
      <c r="H29" s="815"/>
    </row>
    <row r="30" spans="1:9" ht="12" customHeight="1" x14ac:dyDescent="0.2">
      <c r="A30" s="824" t="s">
        <v>100</v>
      </c>
      <c r="B30" s="827"/>
      <c r="C30" s="823">
        <v>2560</v>
      </c>
      <c r="D30" s="1804"/>
      <c r="E30" s="1806">
        <f>'Expenditures 15-22'!K63-SUM('Expenditures 15-22'!G63,'Expenditures 15-22'!I63)+'Expenditures 15-22'!D268-E10</f>
        <v>5282829</v>
      </c>
      <c r="F30" s="1804"/>
      <c r="G30" s="1806">
        <f>'Expenditures 15-22'!K63-SUM('Expenditures 15-22'!G63,'Expenditures 15-22'!I63)+'Expenditures 15-22'!D268-E10</f>
        <v>5282829</v>
      </c>
    </row>
    <row r="31" spans="1:9" ht="12" customHeight="1" x14ac:dyDescent="0.2">
      <c r="A31" s="824" t="s">
        <v>101</v>
      </c>
      <c r="B31" s="827"/>
      <c r="C31" s="823">
        <v>2570</v>
      </c>
      <c r="D31" s="1806">
        <f>'Expenditures 15-22'!K64-SUM('Expenditures 15-22'!G64,'Expenditures 15-22'!I64)+'Expenditures 15-22'!D269-E12</f>
        <v>340183</v>
      </c>
      <c r="E31" s="1806">
        <f>E12</f>
        <v>0</v>
      </c>
      <c r="F31" s="1806">
        <f>'Expenditures 15-22'!K64-SUM('Expenditures 15-22'!G64,'Expenditures 15-22'!I64)+'Expenditures 15-22'!D269-E12</f>
        <v>340183</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1051</v>
      </c>
      <c r="B35" s="827"/>
      <c r="C35" s="823">
        <v>2630</v>
      </c>
      <c r="D35" s="1804"/>
      <c r="E35" s="1806">
        <f>'Expenditures 15-22'!K69-SUM('Expenditures 15-22'!G69,'Expenditures 15-22'!I69)+'Expenditures 15-22'!D274</f>
        <v>137284</v>
      </c>
      <c r="F35" s="1804"/>
      <c r="G35" s="1806">
        <f>'Expenditures 15-22'!K69-SUM('Expenditures 15-22'!G69,'Expenditures 15-22'!I69)+'Expenditures 15-22'!D274</f>
        <v>137284</v>
      </c>
    </row>
    <row r="36" spans="1:7" ht="12" customHeight="1" x14ac:dyDescent="0.2">
      <c r="A36" s="824" t="s">
        <v>399</v>
      </c>
      <c r="B36" s="827"/>
      <c r="C36" s="823">
        <v>2640</v>
      </c>
      <c r="D36" s="1806">
        <f>'Expenditures 15-22'!K70-SUM('Expenditures 15-22'!G70,'Expenditures 15-22'!I70)+'Expenditures 15-22'!D275-E13</f>
        <v>517956</v>
      </c>
      <c r="E36" s="1806">
        <f>E13</f>
        <v>0</v>
      </c>
      <c r="F36" s="1806">
        <f>'Expenditures 15-22'!K70-SUM('Expenditures 15-22'!G70,'Expenditures 15-22'!I70)+'Expenditures 15-22'!D275-E13</f>
        <v>517956</v>
      </c>
      <c r="G36" s="1806">
        <f>E13</f>
        <v>0</v>
      </c>
    </row>
    <row r="37" spans="1:7" ht="12" customHeight="1" x14ac:dyDescent="0.2">
      <c r="A37" s="824" t="s">
        <v>400</v>
      </c>
      <c r="B37" s="827"/>
      <c r="C37" s="823">
        <v>2660</v>
      </c>
      <c r="D37" s="1806">
        <f>'Expenditures 15-22'!K71-SUM('Expenditures 15-22'!G71,'Expenditures 15-22'!I71)+'Expenditures 15-22'!D276-E14</f>
        <v>3226667</v>
      </c>
      <c r="E37" s="1806">
        <f>E14</f>
        <v>0</v>
      </c>
      <c r="F37" s="1806">
        <f>'Expenditures 15-22'!K71-SUM('Expenditures 15-22'!G71,'Expenditures 15-22'!I71)+'Expenditures 15-22'!D276-E14</f>
        <v>3226667</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686168</v>
      </c>
      <c r="F39" s="1804"/>
      <c r="G39" s="1806">
        <f>'Expenditures 15-22'!K75-SUM('Expenditures 15-22'!G75,'Expenditures 15-22'!I75)+'Expenditures 15-22'!K130-SUM('Expenditures 15-22'!G130,'Expenditures 15-22'!I130)+'Expenditures 15-22'!K185-SUM('Expenditures 15-22'!G185,'Expenditures 15-22'!I185)+'Expenditures 15-22'!D280</f>
        <v>686168</v>
      </c>
    </row>
    <row r="40" spans="1:7" ht="12" customHeight="1" x14ac:dyDescent="0.2">
      <c r="A40" s="820" t="s">
        <v>1794</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4944454</v>
      </c>
      <c r="E41" s="1808">
        <f>SUM(E19:E40)</f>
        <v>136914916</v>
      </c>
      <c r="F41" s="1808">
        <f>SUM(F19:F39)</f>
        <v>17328839</v>
      </c>
      <c r="G41" s="1808">
        <f>SUM(G19:G40)</f>
        <v>124530531</v>
      </c>
    </row>
    <row r="42" spans="1:7" x14ac:dyDescent="0.2">
      <c r="A42" s="817"/>
      <c r="B42" s="157"/>
      <c r="C42" s="831"/>
      <c r="D42" s="2399" t="s">
        <v>518</v>
      </c>
      <c r="E42" s="2400"/>
      <c r="F42" s="832" t="s">
        <v>519</v>
      </c>
      <c r="G42" s="833"/>
    </row>
    <row r="43" spans="1:7" ht="12" customHeight="1" x14ac:dyDescent="0.2">
      <c r="A43" s="817"/>
      <c r="B43" s="157"/>
      <c r="C43" s="831"/>
      <c r="D43" s="1457" t="s">
        <v>469</v>
      </c>
      <c r="E43" s="1809">
        <f>D41</f>
        <v>4944454</v>
      </c>
      <c r="F43" s="1457" t="s">
        <v>469</v>
      </c>
      <c r="G43" s="1809">
        <f>F41</f>
        <v>17328839</v>
      </c>
    </row>
    <row r="44" spans="1:7" ht="12" customHeight="1" x14ac:dyDescent="0.2">
      <c r="A44" s="817"/>
      <c r="B44" s="157"/>
      <c r="C44" s="831"/>
      <c r="D44" s="1457" t="s">
        <v>470</v>
      </c>
      <c r="E44" s="1809">
        <f>E41</f>
        <v>136914916</v>
      </c>
      <c r="F44" s="1457" t="s">
        <v>470</v>
      </c>
      <c r="G44" s="1809">
        <f>G41</f>
        <v>124530531</v>
      </c>
    </row>
    <row r="45" spans="1:7" ht="12" customHeight="1" x14ac:dyDescent="0.2">
      <c r="A45" s="817"/>
      <c r="B45" s="157"/>
      <c r="C45" s="157"/>
      <c r="D45" s="1458" t="s">
        <v>998</v>
      </c>
      <c r="E45" s="1810">
        <f>(E43/E44)</f>
        <v>3.6113333334696712E-2</v>
      </c>
      <c r="F45" s="1458" t="s">
        <v>998</v>
      </c>
      <c r="G45" s="1810">
        <f>(G43/G44)</f>
        <v>0.13915333742534192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7" t="s">
        <v>1362</v>
      </c>
      <c r="B1" s="2407"/>
      <c r="C1" s="2407"/>
      <c r="D1" s="2407"/>
      <c r="E1" s="2407"/>
      <c r="F1" s="2407"/>
    </row>
    <row r="2" spans="1:15" x14ac:dyDescent="0.2">
      <c r="A2" s="1512" t="s">
        <v>1874</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8" t="s">
        <v>1528</v>
      </c>
      <c r="B5" s="2409"/>
      <c r="C5" s="2410"/>
      <c r="D5" s="2410"/>
      <c r="E5" s="2410"/>
      <c r="F5" s="2410"/>
      <c r="G5" s="1506"/>
      <c r="L5" s="1506"/>
      <c r="M5" s="1854"/>
      <c r="N5" s="1854"/>
      <c r="O5" s="1854"/>
    </row>
    <row r="6" spans="1:15" ht="12" customHeight="1" x14ac:dyDescent="0.25">
      <c r="A6" s="1479"/>
      <c r="B6" s="1480"/>
      <c r="C6" s="2411" t="str">
        <f>COVER!A17</f>
        <v>McLean County Unit School District No. 5</v>
      </c>
      <c r="D6" s="2411"/>
      <c r="E6" s="2411"/>
      <c r="F6" s="1481"/>
      <c r="G6" s="1506"/>
      <c r="L6" s="1506"/>
      <c r="M6" s="1854"/>
      <c r="N6" s="1854"/>
      <c r="O6" s="1854"/>
    </row>
    <row r="7" spans="1:15" ht="11.25" customHeight="1" thickBot="1" x14ac:dyDescent="0.3">
      <c r="A7" s="1479"/>
      <c r="B7" s="1480"/>
      <c r="C7" s="2412" t="str">
        <f>COVER!A13</f>
        <v>17-064-0050-26</v>
      </c>
      <c r="D7" s="2412"/>
      <c r="E7" s="2412"/>
      <c r="F7" s="1481"/>
      <c r="G7" s="1506"/>
      <c r="L7" s="1506"/>
      <c r="M7" s="1854"/>
      <c r="N7" s="1854"/>
      <c r="O7" s="1854"/>
    </row>
    <row r="8" spans="1:15" ht="25.5" customHeight="1" thickBot="1" x14ac:dyDescent="0.25">
      <c r="A8" s="1518" t="s">
        <v>1870</v>
      </c>
      <c r="B8" s="1482"/>
      <c r="C8" s="1514" t="s">
        <v>1661</v>
      </c>
      <c r="D8" s="1513" t="s">
        <v>1662</v>
      </c>
      <c r="E8" s="1515" t="s">
        <v>1363</v>
      </c>
      <c r="F8" s="1513" t="s">
        <v>1663</v>
      </c>
      <c r="G8" s="1506"/>
      <c r="H8" s="1483" t="b">
        <v>0</v>
      </c>
      <c r="L8" s="1506"/>
      <c r="M8" s="1854"/>
      <c r="N8" s="1854"/>
      <c r="O8" s="1854"/>
    </row>
    <row r="9" spans="1:15" ht="15.75" customHeight="1" x14ac:dyDescent="0.2">
      <c r="A9" s="1484" t="s">
        <v>1524</v>
      </c>
      <c r="B9" s="1485"/>
      <c r="C9" s="1486"/>
      <c r="D9" s="1486"/>
      <c r="E9" s="1487"/>
      <c r="F9" s="1488"/>
      <c r="G9" s="1506"/>
      <c r="L9" s="1506"/>
      <c r="M9" s="1854"/>
      <c r="N9" s="1854"/>
      <c r="O9" s="1854"/>
    </row>
    <row r="10" spans="1:15" ht="27.75" customHeight="1" x14ac:dyDescent="0.2">
      <c r="A10" s="1489" t="s">
        <v>1660</v>
      </c>
      <c r="B10" s="1490"/>
      <c r="C10" s="1491"/>
      <c r="D10" s="1491"/>
      <c r="E10" s="1516" t="s">
        <v>1364</v>
      </c>
      <c r="F10" s="1517" t="s">
        <v>1365</v>
      </c>
      <c r="G10" s="1506"/>
      <c r="L10" s="1506"/>
      <c r="M10" s="1854"/>
      <c r="N10" s="1854"/>
      <c r="O10" s="1854"/>
    </row>
    <row r="11" spans="1:15" ht="12" customHeight="1" x14ac:dyDescent="0.2">
      <c r="A11" s="1492" t="s">
        <v>1366</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1509</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1516</v>
      </c>
      <c r="B26" s="1493"/>
      <c r="C26" s="1494"/>
      <c r="D26" s="1494"/>
      <c r="E26" s="1497"/>
      <c r="F26" s="1496"/>
      <c r="G26" s="1506"/>
      <c r="H26" s="1506">
        <f t="shared" si="0"/>
        <v>0</v>
      </c>
      <c r="I26" s="1506">
        <f t="shared" si="1"/>
        <v>0</v>
      </c>
      <c r="J26" s="1506">
        <f t="shared" si="2"/>
        <v>0</v>
      </c>
      <c r="L26" s="1506"/>
      <c r="M26" s="1854"/>
      <c r="N26" s="1854"/>
      <c r="O26" s="1854"/>
    </row>
    <row r="27" spans="1:15" ht="18.75" x14ac:dyDescent="0.2">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1521</v>
      </c>
      <c r="B31" s="1493"/>
      <c r="C31" s="1494" t="s">
        <v>2124</v>
      </c>
      <c r="D31" s="1494" t="s">
        <v>2124</v>
      </c>
      <c r="E31" s="1497"/>
      <c r="F31" s="1496" t="s">
        <v>2125</v>
      </c>
      <c r="G31" s="1506"/>
      <c r="H31" s="1506">
        <f t="shared" si="0"/>
        <v>5</v>
      </c>
      <c r="I31" s="1506">
        <f t="shared" si="1"/>
        <v>5</v>
      </c>
      <c r="J31" s="1506">
        <f t="shared" si="2"/>
        <v>0</v>
      </c>
      <c r="L31" s="1855"/>
      <c r="M31" s="1854"/>
      <c r="N31" s="1854"/>
      <c r="O31" s="1854"/>
    </row>
    <row r="32" spans="1:15" ht="12" customHeight="1" x14ac:dyDescent="0.2">
      <c r="A32" s="1492" t="s">
        <v>1522</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1375</v>
      </c>
      <c r="B35" s="1500"/>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501"/>
      <c r="B39" s="1501"/>
      <c r="C39" s="1501"/>
      <c r="D39" s="1501"/>
      <c r="E39" s="1501"/>
      <c r="F39" s="1501"/>
    </row>
    <row r="40" spans="1:15" s="1498" customFormat="1" ht="12" customHeight="1" x14ac:dyDescent="0.25">
      <c r="A40" s="1502" t="s">
        <v>1374</v>
      </c>
      <c r="B40" s="1503"/>
      <c r="C40" s="2421"/>
      <c r="D40" s="2421"/>
      <c r="E40" s="2421"/>
      <c r="F40" s="2422"/>
      <c r="H40" s="1507"/>
      <c r="I40" s="1507"/>
      <c r="J40" s="1507"/>
      <c r="K40" s="1507"/>
    </row>
    <row r="41" spans="1:15" s="1498" customFormat="1" ht="12" customHeight="1" x14ac:dyDescent="0.25">
      <c r="A41" s="2423" t="s">
        <v>2126</v>
      </c>
      <c r="B41" s="2424"/>
      <c r="C41" s="2424"/>
      <c r="D41" s="2424"/>
      <c r="E41" s="2424"/>
      <c r="F41" s="2425"/>
      <c r="H41" s="1507"/>
      <c r="I41" s="1507"/>
      <c r="J41" s="1507"/>
      <c r="K41" s="1507"/>
    </row>
    <row r="42" spans="1:15" s="1498" customFormat="1" ht="12" customHeight="1" x14ac:dyDescent="0.25">
      <c r="A42" s="2423" t="s">
        <v>2127</v>
      </c>
      <c r="B42" s="2424"/>
      <c r="C42" s="2424"/>
      <c r="D42" s="2424"/>
      <c r="E42" s="2424"/>
      <c r="F42" s="2425"/>
      <c r="H42" s="1507"/>
      <c r="I42" s="1507"/>
      <c r="J42" s="1507"/>
      <c r="K42" s="1507"/>
    </row>
    <row r="43" spans="1:15" s="1498" customFormat="1" ht="15" x14ac:dyDescent="0.25">
      <c r="A43" s="2415"/>
      <c r="B43" s="2416"/>
      <c r="C43" s="2416"/>
      <c r="D43" s="2416"/>
      <c r="E43" s="2416"/>
      <c r="F43" s="2417"/>
      <c r="H43" s="1507"/>
      <c r="I43" s="1507"/>
      <c r="J43" s="1507"/>
      <c r="K43" s="1507"/>
    </row>
    <row r="44" spans="1:15" s="1498" customFormat="1" ht="12" hidden="1" customHeight="1" x14ac:dyDescent="0.25">
      <c r="A44" s="2415"/>
      <c r="B44" s="2416"/>
      <c r="C44" s="2416"/>
      <c r="D44" s="2416"/>
      <c r="E44" s="2416"/>
      <c r="F44" s="241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42578125" style="1921" bestFit="1" customWidth="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6"/>
      <c r="C6" s="1376"/>
      <c r="D6" s="1376"/>
      <c r="E6" s="1377"/>
      <c r="F6" s="1922"/>
      <c r="G6" s="1923"/>
      <c r="H6" s="838"/>
      <c r="I6" s="1924" t="s">
        <v>1020</v>
      </c>
      <c r="J6" s="2427" t="str">
        <f>COVER!A17</f>
        <v>McLean County Unit School District No. 5</v>
      </c>
      <c r="K6" s="2427"/>
      <c r="L6" s="2428"/>
      <c r="M6" s="838"/>
      <c r="N6" s="1998"/>
    </row>
    <row r="7" spans="1:14" x14ac:dyDescent="0.2">
      <c r="A7" s="2429" t="s">
        <v>863</v>
      </c>
      <c r="B7" s="2430"/>
      <c r="C7" s="2430"/>
      <c r="D7" s="2430"/>
      <c r="E7" s="2431"/>
      <c r="F7" s="839"/>
      <c r="G7" s="838"/>
      <c r="H7" s="838"/>
      <c r="I7" s="1924" t="s">
        <v>368</v>
      </c>
      <c r="J7" s="2432" t="str">
        <f>COVER!A13</f>
        <v>17-064-0050-26</v>
      </c>
      <c r="K7" s="2432"/>
      <c r="L7" s="2432"/>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2014</v>
      </c>
      <c r="F9" s="1856"/>
      <c r="G9" s="1856"/>
      <c r="H9" s="1856"/>
      <c r="I9" s="1929" t="s">
        <v>2015</v>
      </c>
      <c r="J9" s="1856"/>
      <c r="K9" s="1856"/>
      <c r="L9" s="1857"/>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33" t="s">
        <v>477</v>
      </c>
      <c r="B11" s="2434"/>
      <c r="C11" s="2435"/>
      <c r="D11" s="1937" t="s">
        <v>865</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812</v>
      </c>
      <c r="C12" s="842"/>
      <c r="D12" s="1941">
        <v>2320</v>
      </c>
      <c r="E12" s="1944">
        <f>'Expenditures 15-22'!K50</f>
        <v>463391</v>
      </c>
      <c r="F12" s="1942"/>
      <c r="G12" s="1968">
        <f>G68</f>
        <v>176496</v>
      </c>
      <c r="H12" s="1944">
        <f t="shared" ref="H12:H18" si="0">SUM(E12:G12)</f>
        <v>639887</v>
      </c>
      <c r="I12" s="1943">
        <v>474610</v>
      </c>
      <c r="J12" s="1942"/>
      <c r="K12" s="1943">
        <v>182027</v>
      </c>
      <c r="L12" s="1944">
        <f t="shared" ref="L12:L18" si="1">SUM(I12:K12)</f>
        <v>656637</v>
      </c>
      <c r="M12" s="838"/>
      <c r="N12" s="1998"/>
    </row>
    <row r="13" spans="1:14" x14ac:dyDescent="0.2">
      <c r="A13" s="2003">
        <v>2</v>
      </c>
      <c r="B13" s="1940" t="s">
        <v>42</v>
      </c>
      <c r="C13" s="842"/>
      <c r="D13" s="1941">
        <v>2330</v>
      </c>
      <c r="E13" s="1944">
        <f>'Expenditures 15-22'!K51</f>
        <v>292074</v>
      </c>
      <c r="F13" s="1942"/>
      <c r="G13" s="1968">
        <f>H68</f>
        <v>0</v>
      </c>
      <c r="H13" s="1944">
        <f t="shared" si="0"/>
        <v>292074</v>
      </c>
      <c r="I13" s="1943">
        <v>302131</v>
      </c>
      <c r="J13" s="1942"/>
      <c r="K13" s="1943"/>
      <c r="L13" s="1944">
        <f t="shared" si="1"/>
        <v>302131</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188783</v>
      </c>
      <c r="F15" s="1944">
        <f>'Expenditures 15-22'!K122</f>
        <v>0</v>
      </c>
      <c r="G15" s="1968">
        <f>J68</f>
        <v>22358</v>
      </c>
      <c r="H15" s="1944">
        <f t="shared" si="0"/>
        <v>211141</v>
      </c>
      <c r="I15" s="1943">
        <v>193845</v>
      </c>
      <c r="J15" s="1943"/>
      <c r="K15" s="1943">
        <v>23028</v>
      </c>
      <c r="L15" s="1944">
        <f t="shared" si="1"/>
        <v>216873</v>
      </c>
      <c r="M15" s="838"/>
      <c r="N15" s="1998"/>
    </row>
    <row r="16" spans="1:14" x14ac:dyDescent="0.2">
      <c r="A16" s="2003">
        <v>5</v>
      </c>
      <c r="B16" s="1940" t="s">
        <v>101</v>
      </c>
      <c r="C16" s="842"/>
      <c r="D16" s="1941">
        <v>2570</v>
      </c>
      <c r="E16" s="1944">
        <f>'Expenditures 15-22'!K64</f>
        <v>329566</v>
      </c>
      <c r="F16" s="1942"/>
      <c r="G16" s="1968">
        <f>K68</f>
        <v>0</v>
      </c>
      <c r="H16" s="1944">
        <f t="shared" si="0"/>
        <v>329566</v>
      </c>
      <c r="I16" s="1943">
        <v>325294</v>
      </c>
      <c r="J16" s="1942"/>
      <c r="K16" s="1943"/>
      <c r="L16" s="1944">
        <f t="shared" si="1"/>
        <v>325294</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6" t="s">
        <v>7</v>
      </c>
      <c r="C18" s="2437"/>
      <c r="D18" s="2438"/>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1273814</v>
      </c>
      <c r="F19" s="1950">
        <f t="shared" si="2"/>
        <v>0</v>
      </c>
      <c r="G19" s="1950">
        <f t="shared" ref="G19" si="3">SUM(G12:G17)-G18</f>
        <v>198854</v>
      </c>
      <c r="H19" s="1950">
        <f t="shared" si="2"/>
        <v>1472668</v>
      </c>
      <c r="I19" s="1950">
        <f t="shared" si="2"/>
        <v>1295880</v>
      </c>
      <c r="J19" s="1950">
        <f t="shared" si="2"/>
        <v>0</v>
      </c>
      <c r="K19" s="1950">
        <f t="shared" si="2"/>
        <v>205055</v>
      </c>
      <c r="L19" s="1950">
        <f t="shared" si="2"/>
        <v>1500935</v>
      </c>
      <c r="M19" s="838"/>
      <c r="N19" s="1998"/>
    </row>
    <row r="20" spans="1:14" ht="13.5" thickTop="1" x14ac:dyDescent="0.2">
      <c r="A20" s="2003">
        <v>9</v>
      </c>
      <c r="B20" s="2439" t="s">
        <v>2017</v>
      </c>
      <c r="C20" s="2439"/>
      <c r="D20" s="2440"/>
      <c r="E20" s="1951"/>
      <c r="F20" s="1951"/>
      <c r="G20" s="1951"/>
      <c r="H20" s="1951"/>
      <c r="I20" s="1951"/>
      <c r="J20" s="1951"/>
      <c r="K20" s="1951"/>
      <c r="L20" s="1952">
        <f>IF(AND(H19&gt;0,L19&gt;0),(((L19-H19)/H19)),"Enter Budget Data")</f>
        <v>1.9194414491249895E-2</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1"/>
      <c r="D27" s="2441"/>
      <c r="E27" s="843"/>
      <c r="F27" s="2442"/>
      <c r="G27" s="2442"/>
      <c r="H27" s="2442"/>
      <c r="I27" s="838"/>
      <c r="J27" s="838"/>
      <c r="K27" s="838"/>
      <c r="L27" s="838"/>
      <c r="M27" s="838"/>
      <c r="N27" s="1998"/>
    </row>
    <row r="28" spans="1:14" x14ac:dyDescent="0.2">
      <c r="A28" s="1997"/>
      <c r="B28" s="2007"/>
      <c r="C28" s="1957" t="s">
        <v>1025</v>
      </c>
      <c r="D28" s="844"/>
      <c r="E28" s="1958"/>
      <c r="F28" s="2443" t="s">
        <v>1491</v>
      </c>
      <c r="G28" s="2443"/>
      <c r="H28" s="2443"/>
      <c r="I28" s="838"/>
      <c r="J28" s="838"/>
      <c r="K28" s="838"/>
      <c r="L28" s="838"/>
      <c r="M28" s="838"/>
      <c r="N28" s="1998"/>
    </row>
    <row r="29" spans="1:14" x14ac:dyDescent="0.2">
      <c r="A29" s="1997"/>
      <c r="B29" s="2007"/>
      <c r="C29" s="2444"/>
      <c r="D29" s="2444"/>
      <c r="E29" s="845"/>
      <c r="F29" s="2444"/>
      <c r="G29" s="2444"/>
      <c r="H29" s="2444"/>
      <c r="I29" s="838"/>
      <c r="J29" s="838"/>
      <c r="K29" s="838"/>
      <c r="L29" s="838"/>
      <c r="M29" s="838"/>
      <c r="N29" s="1998"/>
    </row>
    <row r="30" spans="1:14" x14ac:dyDescent="0.2">
      <c r="A30" s="1997"/>
      <c r="B30" s="2007"/>
      <c r="C30" s="1960" t="s">
        <v>1543</v>
      </c>
      <c r="D30" s="838"/>
      <c r="E30" s="1959"/>
      <c r="F30" s="2426" t="s">
        <v>1492</v>
      </c>
      <c r="G30" s="2426"/>
      <c r="H30" s="2426"/>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7" t="s">
        <v>2020</v>
      </c>
      <c r="D34" s="2448"/>
      <c r="E34" s="2448"/>
      <c r="F34" s="2448"/>
      <c r="G34" s="2448"/>
      <c r="H34" s="2448"/>
      <c r="I34" s="2448"/>
      <c r="J34" s="2448"/>
      <c r="K34" s="2016"/>
      <c r="L34" s="838"/>
      <c r="M34" s="838"/>
      <c r="N34" s="1998"/>
    </row>
    <row r="35" spans="1:14" x14ac:dyDescent="0.2">
      <c r="A35" s="1997"/>
      <c r="B35" s="838"/>
      <c r="C35" s="2448"/>
      <c r="D35" s="2448"/>
      <c r="E35" s="2448"/>
      <c r="F35" s="2448"/>
      <c r="G35" s="2448"/>
      <c r="H35" s="2448"/>
      <c r="I35" s="2448"/>
      <c r="J35" s="244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7" t="s">
        <v>2021</v>
      </c>
      <c r="D37" s="2448"/>
      <c r="E37" s="2448"/>
      <c r="F37" s="2448"/>
      <c r="G37" s="2448"/>
      <c r="H37" s="2448"/>
      <c r="I37" s="2448"/>
      <c r="J37" s="2448"/>
      <c r="K37" s="2016"/>
      <c r="L37" s="2018"/>
      <c r="M37" s="838"/>
      <c r="N37" s="1998"/>
    </row>
    <row r="38" spans="1:14" x14ac:dyDescent="0.2">
      <c r="A38" s="1997"/>
      <c r="B38" s="838"/>
      <c r="C38" s="2448"/>
      <c r="D38" s="2448"/>
      <c r="E38" s="2448"/>
      <c r="F38" s="2448"/>
      <c r="G38" s="2448"/>
      <c r="H38" s="2448"/>
      <c r="I38" s="2448"/>
      <c r="J38" s="244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9" t="s">
        <v>2022</v>
      </c>
      <c r="D40" s="2450"/>
      <c r="E40" s="2450"/>
      <c r="F40" s="2450"/>
      <c r="G40" s="2450"/>
      <c r="H40" s="2450"/>
      <c r="I40" s="2450"/>
      <c r="J40" s="245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1" t="s">
        <v>2023</v>
      </c>
      <c r="B43" s="2452"/>
      <c r="C43" s="2452"/>
      <c r="D43" s="2452"/>
      <c r="E43" s="2452"/>
      <c r="F43" s="2452"/>
      <c r="G43" s="2452"/>
      <c r="H43" s="2452"/>
      <c r="I43" s="2452"/>
      <c r="J43" s="2452"/>
      <c r="K43" s="2452"/>
      <c r="L43" s="2452"/>
      <c r="M43" s="2452"/>
      <c r="N43" s="245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454" t="s">
        <v>2025</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27" t="str">
        <f>J6</f>
        <v>McLean County Unit School District No. 5</v>
      </c>
      <c r="M52" s="2427"/>
      <c r="N52" s="2457"/>
    </row>
    <row r="53" spans="1:14" x14ac:dyDescent="0.2">
      <c r="A53" s="1982"/>
      <c r="B53" s="1983"/>
      <c r="C53" s="1983"/>
      <c r="D53" s="1983"/>
      <c r="E53" s="1983"/>
      <c r="F53" s="1983"/>
      <c r="G53" s="1983"/>
      <c r="H53" s="1983"/>
      <c r="I53" s="1983"/>
      <c r="J53" s="1983"/>
      <c r="K53" s="1924" t="s">
        <v>368</v>
      </c>
      <c r="L53" s="2432" t="str">
        <f>J7</f>
        <v>17-064-0050-26</v>
      </c>
      <c r="M53" s="2432"/>
      <c r="N53" s="245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9"/>
      <c r="B55" s="2460"/>
      <c r="C55" s="2460"/>
      <c r="D55" s="1970"/>
      <c r="E55" s="1970"/>
      <c r="F55" s="1970"/>
      <c r="G55" s="2461" t="s">
        <v>2026</v>
      </c>
      <c r="H55" s="2461"/>
      <c r="I55" s="2461"/>
      <c r="J55" s="2461"/>
      <c r="K55" s="2461"/>
      <c r="L55" s="2461"/>
      <c r="M55" s="2461"/>
      <c r="N55" s="2462"/>
    </row>
    <row r="56" spans="1:14" ht="63.75" x14ac:dyDescent="0.2">
      <c r="A56" s="2463" t="s">
        <v>2027</v>
      </c>
      <c r="B56" s="2464"/>
      <c r="C56" s="2465"/>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466" t="s">
        <v>295</v>
      </c>
      <c r="B57" s="2467"/>
      <c r="C57" s="246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5" t="s">
        <v>2037</v>
      </c>
      <c r="B58" s="2446"/>
      <c r="C58" s="2446"/>
      <c r="D58" s="1967">
        <v>2362</v>
      </c>
      <c r="E58" s="1977">
        <f>'Expenditures 15-22'!K320</f>
        <v>591709</v>
      </c>
      <c r="F58" s="1972"/>
      <c r="G58" s="2031"/>
      <c r="H58" s="2032"/>
      <c r="I58" s="2032"/>
      <c r="J58" s="2032"/>
      <c r="K58" s="2032"/>
      <c r="L58" s="2032"/>
      <c r="M58" s="2032">
        <f>E58</f>
        <v>591709</v>
      </c>
      <c r="N58" s="1975">
        <f>IF((SUM(G58:M58))=E58,SUM(G58:M58),"Column N does not agree with Column E")</f>
        <v>591709</v>
      </c>
    </row>
    <row r="59" spans="1:14" ht="24.75" customHeight="1" x14ac:dyDescent="0.2">
      <c r="A59" s="2468" t="s">
        <v>296</v>
      </c>
      <c r="B59" s="2469"/>
      <c r="C59" s="246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8" t="s">
        <v>236</v>
      </c>
      <c r="B60" s="2469"/>
      <c r="C60" s="2469"/>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8" t="s">
        <v>696</v>
      </c>
      <c r="B61" s="2469"/>
      <c r="C61" s="2469"/>
      <c r="D61" s="1967">
        <v>2365</v>
      </c>
      <c r="E61" s="1977">
        <f>'Expenditures 15-22'!K323</f>
        <v>13027</v>
      </c>
      <c r="F61" s="1972"/>
      <c r="G61" s="2031"/>
      <c r="H61" s="2032"/>
      <c r="I61" s="2032"/>
      <c r="J61" s="2032"/>
      <c r="K61" s="2032"/>
      <c r="L61" s="2032"/>
      <c r="M61" s="2032">
        <f>E61</f>
        <v>13027</v>
      </c>
      <c r="N61" s="1975">
        <f t="shared" si="4"/>
        <v>13027</v>
      </c>
    </row>
    <row r="62" spans="1:14" ht="24" customHeight="1" x14ac:dyDescent="0.2">
      <c r="A62" s="2468" t="s">
        <v>237</v>
      </c>
      <c r="B62" s="2469"/>
      <c r="C62" s="2469"/>
      <c r="D62" s="1967">
        <v>2366</v>
      </c>
      <c r="E62" s="1977">
        <f>'Expenditures 15-22'!K324</f>
        <v>1175</v>
      </c>
      <c r="F62" s="1972"/>
      <c r="G62" s="2031"/>
      <c r="H62" s="2032"/>
      <c r="I62" s="2032"/>
      <c r="J62" s="2032"/>
      <c r="K62" s="2032"/>
      <c r="L62" s="2032"/>
      <c r="M62" s="2032">
        <f>E62</f>
        <v>1175</v>
      </c>
      <c r="N62" s="1975">
        <f t="shared" si="4"/>
        <v>1175</v>
      </c>
    </row>
    <row r="63" spans="1:14" ht="24" customHeight="1" x14ac:dyDescent="0.2">
      <c r="A63" s="2445" t="s">
        <v>1021</v>
      </c>
      <c r="B63" s="2446"/>
      <c r="C63" s="2446"/>
      <c r="D63" s="1967">
        <v>2367</v>
      </c>
      <c r="E63" s="1977">
        <f>'Expenditures 15-22'!K325</f>
        <v>3867655</v>
      </c>
      <c r="F63" s="1972"/>
      <c r="G63" s="2031">
        <v>10282</v>
      </c>
      <c r="H63" s="2032"/>
      <c r="I63" s="2032"/>
      <c r="J63" s="2032">
        <v>22358</v>
      </c>
      <c r="K63" s="2032"/>
      <c r="L63" s="2032"/>
      <c r="M63" s="2032">
        <f>E63-G63-J63</f>
        <v>3835015</v>
      </c>
      <c r="N63" s="1975">
        <f t="shared" si="4"/>
        <v>3867655</v>
      </c>
    </row>
    <row r="64" spans="1:14" ht="24" customHeight="1" x14ac:dyDescent="0.2">
      <c r="A64" s="2468" t="s">
        <v>1022</v>
      </c>
      <c r="B64" s="2469"/>
      <c r="C64" s="2469"/>
      <c r="D64" s="1967">
        <v>2368</v>
      </c>
      <c r="E64" s="1977">
        <f>'Expenditures 15-22'!K326</f>
        <v>0</v>
      </c>
      <c r="F64" s="1972"/>
      <c r="G64" s="2031"/>
      <c r="H64" s="2032"/>
      <c r="I64" s="2032"/>
      <c r="J64" s="2032"/>
      <c r="K64" s="2032"/>
      <c r="L64" s="2032"/>
      <c r="M64" s="2032"/>
      <c r="N64" s="1975">
        <f t="shared" si="4"/>
        <v>0</v>
      </c>
    </row>
    <row r="65" spans="1:14" ht="24" customHeight="1" x14ac:dyDescent="0.2">
      <c r="A65" s="2468" t="s">
        <v>964</v>
      </c>
      <c r="B65" s="2469"/>
      <c r="C65" s="2469"/>
      <c r="D65" s="1967">
        <v>2369</v>
      </c>
      <c r="E65" s="1977">
        <f>'Expenditures 15-22'!K327</f>
        <v>352203</v>
      </c>
      <c r="F65" s="1972"/>
      <c r="G65" s="2031">
        <v>166214</v>
      </c>
      <c r="H65" s="2032"/>
      <c r="I65" s="2032"/>
      <c r="J65" s="2032"/>
      <c r="K65" s="2032"/>
      <c r="L65" s="2032"/>
      <c r="M65" s="2032">
        <f>E65-G65</f>
        <v>185989</v>
      </c>
      <c r="N65" s="1975">
        <f t="shared" si="4"/>
        <v>352203</v>
      </c>
    </row>
    <row r="66" spans="1:14" ht="24" customHeight="1" x14ac:dyDescent="0.2">
      <c r="A66" s="2468" t="s">
        <v>468</v>
      </c>
      <c r="B66" s="2469"/>
      <c r="C66" s="2469"/>
      <c r="D66" s="1967">
        <v>2371</v>
      </c>
      <c r="E66" s="1977">
        <f>'Expenditures 15-22'!K328</f>
        <v>883802</v>
      </c>
      <c r="F66" s="1972"/>
      <c r="G66" s="2031"/>
      <c r="H66" s="2032"/>
      <c r="I66" s="2032"/>
      <c r="J66" s="2032"/>
      <c r="K66" s="2032"/>
      <c r="L66" s="2032"/>
      <c r="M66" s="2032">
        <f>E66</f>
        <v>883802</v>
      </c>
      <c r="N66" s="1975">
        <f t="shared" si="4"/>
        <v>883802</v>
      </c>
    </row>
    <row r="67" spans="1:14" ht="24.75" customHeight="1" x14ac:dyDescent="0.2">
      <c r="A67" s="2470" t="s">
        <v>2038</v>
      </c>
      <c r="B67" s="2471"/>
      <c r="C67" s="2471"/>
      <c r="D67" s="1969">
        <v>2372</v>
      </c>
      <c r="E67" s="1978">
        <f>'Expenditures 15-22'!K329</f>
        <v>0</v>
      </c>
      <c r="F67" s="1972"/>
      <c r="G67" s="2033"/>
      <c r="H67" s="2034"/>
      <c r="I67" s="2034"/>
      <c r="J67" s="2034"/>
      <c r="K67" s="2034"/>
      <c r="L67" s="2034"/>
      <c r="M67" s="2034"/>
      <c r="N67" s="1975">
        <f t="shared" si="4"/>
        <v>0</v>
      </c>
    </row>
    <row r="68" spans="1:14" x14ac:dyDescent="0.2">
      <c r="A68" s="2472" t="s">
        <v>1150</v>
      </c>
      <c r="B68" s="2473"/>
      <c r="C68" s="2473"/>
      <c r="D68" s="1970"/>
      <c r="E68" s="1974">
        <f>SUM(E57:E67)</f>
        <v>5709571</v>
      </c>
      <c r="F68" s="1973"/>
      <c r="G68" s="1974">
        <f t="shared" ref="G68:N68" si="5">SUM(G57:G67)</f>
        <v>176496</v>
      </c>
      <c r="H68" s="1974">
        <f t="shared" si="5"/>
        <v>0</v>
      </c>
      <c r="I68" s="1974">
        <f t="shared" si="5"/>
        <v>0</v>
      </c>
      <c r="J68" s="1974">
        <f t="shared" si="5"/>
        <v>22358</v>
      </c>
      <c r="K68" s="1974">
        <f t="shared" si="5"/>
        <v>0</v>
      </c>
      <c r="L68" s="1974">
        <f t="shared" si="5"/>
        <v>0</v>
      </c>
      <c r="M68" s="1974">
        <f t="shared" si="5"/>
        <v>5510717</v>
      </c>
      <c r="N68" s="1988">
        <f t="shared" si="5"/>
        <v>5709571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1"/>
  <sheetViews>
    <sheetView showGridLines="0" zoomScale="110" zoomScaleNormal="110" workbookViewId="0">
      <selection activeCell="B10" sqref="B10"/>
    </sheetView>
  </sheetViews>
  <sheetFormatPr defaultColWidth="9.140625" defaultRowHeight="12.75" x14ac:dyDescent="0.2"/>
  <cols>
    <col min="1" max="1" width="3.7109375"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2147</v>
      </c>
    </row>
    <row r="6" spans="1:2" x14ac:dyDescent="0.2">
      <c r="A6" s="847">
        <v>2</v>
      </c>
      <c r="B6" s="307" t="s">
        <v>2146</v>
      </c>
    </row>
    <row r="7" spans="1:2" x14ac:dyDescent="0.2">
      <c r="A7" s="847">
        <v>3</v>
      </c>
      <c r="B7" s="307" t="s">
        <v>2155</v>
      </c>
    </row>
    <row r="8" spans="1:2" x14ac:dyDescent="0.2">
      <c r="A8" s="847">
        <v>4</v>
      </c>
      <c r="B8" s="307" t="s">
        <v>2139</v>
      </c>
    </row>
    <row r="9" spans="1:2" x14ac:dyDescent="0.2">
      <c r="A9" s="847"/>
      <c r="B9" s="307" t="s">
        <v>2173</v>
      </c>
    </row>
    <row r="10" spans="1:2" x14ac:dyDescent="0.2">
      <c r="A10" s="847"/>
      <c r="B10" s="307" t="s">
        <v>2178</v>
      </c>
    </row>
    <row r="11" spans="1:2" x14ac:dyDescent="0.2">
      <c r="A11" s="847">
        <v>5</v>
      </c>
      <c r="B11" s="307" t="s">
        <v>2140</v>
      </c>
    </row>
    <row r="12" spans="1:2" x14ac:dyDescent="0.2">
      <c r="A12" s="847"/>
      <c r="B12" s="307" t="s">
        <v>2175</v>
      </c>
    </row>
    <row r="13" spans="1:2" x14ac:dyDescent="0.2">
      <c r="A13" s="847"/>
      <c r="B13" s="307" t="s">
        <v>2174</v>
      </c>
    </row>
    <row r="14" spans="1:2" x14ac:dyDescent="0.2">
      <c r="A14" s="847"/>
      <c r="B14" s="307" t="s">
        <v>2176</v>
      </c>
    </row>
    <row r="15" spans="1:2" x14ac:dyDescent="0.2">
      <c r="A15" s="847"/>
      <c r="B15" s="307" t="s">
        <v>2177</v>
      </c>
    </row>
    <row r="16" spans="1:2" x14ac:dyDescent="0.2">
      <c r="A16" s="847">
        <v>6</v>
      </c>
      <c r="B16" s="307" t="s">
        <v>2141</v>
      </c>
    </row>
    <row r="17" spans="1:2" x14ac:dyDescent="0.2">
      <c r="A17" s="847"/>
      <c r="B17" s="307" t="s">
        <v>2148</v>
      </c>
    </row>
    <row r="18" spans="1:2" x14ac:dyDescent="0.2">
      <c r="A18" s="847">
        <v>7</v>
      </c>
      <c r="B18" s="307" t="s">
        <v>2156</v>
      </c>
    </row>
    <row r="19" spans="1:2" x14ac:dyDescent="0.2">
      <c r="A19" s="847">
        <v>8</v>
      </c>
      <c r="B19" s="307" t="s">
        <v>2150</v>
      </c>
    </row>
    <row r="20" spans="1:2" x14ac:dyDescent="0.2">
      <c r="A20" s="847"/>
      <c r="B20" s="307" t="s">
        <v>2149</v>
      </c>
    </row>
    <row r="21" spans="1:2" x14ac:dyDescent="0.2">
      <c r="A21" s="847">
        <v>9</v>
      </c>
      <c r="B21" s="307" t="s">
        <v>2151</v>
      </c>
    </row>
    <row r="22" spans="1:2" x14ac:dyDescent="0.2">
      <c r="A22" s="847">
        <v>10</v>
      </c>
      <c r="B22" s="307" t="s">
        <v>2152</v>
      </c>
    </row>
    <row r="23" spans="1:2" x14ac:dyDescent="0.2">
      <c r="A23" s="847">
        <v>11</v>
      </c>
      <c r="B23" s="307" t="s">
        <v>2179</v>
      </c>
    </row>
    <row r="24" spans="1:2" x14ac:dyDescent="0.2">
      <c r="A24" s="847">
        <v>12</v>
      </c>
      <c r="B24" s="307" t="s">
        <v>2153</v>
      </c>
    </row>
    <row r="25" spans="1:2" x14ac:dyDescent="0.2">
      <c r="A25" s="847">
        <v>13</v>
      </c>
      <c r="B25" s="307" t="s">
        <v>2180</v>
      </c>
    </row>
    <row r="26" spans="1:2" x14ac:dyDescent="0.2">
      <c r="A26" s="847">
        <v>14</v>
      </c>
      <c r="B26" s="307" t="s">
        <v>2142</v>
      </c>
    </row>
    <row r="27" spans="1:2" x14ac:dyDescent="0.2">
      <c r="A27" s="847"/>
      <c r="B27" s="307" t="s">
        <v>2145</v>
      </c>
    </row>
    <row r="28" spans="1:2" x14ac:dyDescent="0.2">
      <c r="A28" s="847"/>
      <c r="B28" s="307" t="s">
        <v>2154</v>
      </c>
    </row>
    <row r="29" spans="1:2" x14ac:dyDescent="0.2">
      <c r="A29" s="847">
        <v>15</v>
      </c>
      <c r="B29" s="307" t="s">
        <v>2143</v>
      </c>
    </row>
    <row r="30" spans="1:2" x14ac:dyDescent="0.2">
      <c r="A30" s="847"/>
      <c r="B30" s="307" t="s">
        <v>2144</v>
      </c>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c r="B60" s="253" t="str">
        <f>COVER!A17</f>
        <v>McLean County Unit School District No. 5</v>
      </c>
    </row>
    <row r="61" spans="1:2" x14ac:dyDescent="0.2">
      <c r="B61" s="848" t="str">
        <f>COVER!A13</f>
        <v>17-064-0050-26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60" t="s">
        <v>1055</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685</v>
      </c>
      <c r="B40" s="2157"/>
      <c r="C40" s="2157"/>
      <c r="D40" s="2157"/>
      <c r="E40" s="2157"/>
    </row>
    <row r="41" spans="1:5" x14ac:dyDescent="0.2">
      <c r="A41" s="2158" t="s">
        <v>1590</v>
      </c>
      <c r="B41" s="2158"/>
      <c r="C41" s="2158"/>
      <c r="D41" s="2158"/>
      <c r="E41" s="2158"/>
    </row>
    <row r="42" spans="1:5" ht="12.75" customHeight="1" x14ac:dyDescent="0.2">
      <c r="A42" s="2159" t="s">
        <v>1014</v>
      </c>
      <c r="B42" s="2159"/>
      <c r="C42" s="2159"/>
      <c r="D42" s="2159"/>
      <c r="E42" s="2159"/>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20" sqref="F2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1969</v>
      </c>
    </row>
    <row r="17" spans="1:2" ht="6" customHeight="1" x14ac:dyDescent="0.2"/>
    <row r="18" spans="1:2" ht="24.75" customHeight="1" x14ac:dyDescent="0.2">
      <c r="A18" s="2474" t="s">
        <v>1664</v>
      </c>
      <c r="B18" s="247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1668</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2"/>
      <c r="H2" s="852"/>
    </row>
    <row r="3" spans="1:8" ht="57" customHeight="1" x14ac:dyDescent="0.2">
      <c r="A3" s="2488" t="s">
        <v>1968</v>
      </c>
      <c r="B3" s="2489"/>
      <c r="C3" s="2489"/>
      <c r="D3" s="2489"/>
      <c r="E3" s="2489"/>
      <c r="F3" s="2490"/>
      <c r="G3" s="852"/>
      <c r="H3" s="852"/>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2"/>
      <c r="H4" s="852"/>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2"/>
      <c r="H5" s="852"/>
    </row>
    <row r="6" spans="1:8" s="853" customFormat="1" ht="41.25" customHeight="1" x14ac:dyDescent="0.2">
      <c r="A6" s="2491" t="s">
        <v>1669</v>
      </c>
      <c r="B6" s="2492"/>
      <c r="C6" s="2492"/>
      <c r="D6" s="2492"/>
      <c r="E6" s="2492"/>
      <c r="F6" s="2493"/>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12">
        <f>'Acct Summary 7-8'!C8</f>
        <v>97016644</v>
      </c>
      <c r="C8" s="1812">
        <f>'Acct Summary 7-8'!D8</f>
        <v>11512345</v>
      </c>
      <c r="D8" s="1812">
        <f>'Acct Summary 7-8'!F8</f>
        <v>10560778</v>
      </c>
      <c r="E8" s="1812">
        <f>'Acct Summary 7-8'!I8</f>
        <v>1216587</v>
      </c>
      <c r="F8" s="1812">
        <f>SUM(B8:E8)</f>
        <v>120306354</v>
      </c>
    </row>
    <row r="9" spans="1:8" s="857" customFormat="1" ht="14.25" customHeight="1" thickBot="1" x14ac:dyDescent="0.25">
      <c r="A9" s="856" t="s">
        <v>1352</v>
      </c>
      <c r="B9" s="1813">
        <f>'Acct Summary 7-8'!C17</f>
        <v>111381835</v>
      </c>
      <c r="C9" s="1813">
        <f>'Acct Summary 7-8'!D17</f>
        <v>11943221</v>
      </c>
      <c r="D9" s="1813">
        <f>'Acct Summary 7-8'!F17</f>
        <v>10747915</v>
      </c>
      <c r="E9" s="1812"/>
      <c r="F9" s="1812">
        <f>SUM(B9:E9)</f>
        <v>134072971</v>
      </c>
    </row>
    <row r="10" spans="1:8" s="857" customFormat="1" ht="14.25" thickTop="1" thickBot="1" x14ac:dyDescent="0.25">
      <c r="A10" s="858" t="s">
        <v>1353</v>
      </c>
      <c r="B10" s="1814">
        <f>(B8-B9)</f>
        <v>-14365191</v>
      </c>
      <c r="C10" s="1814">
        <f>(C8-C9)</f>
        <v>-430876</v>
      </c>
      <c r="D10" s="1814">
        <f>(D8-D9)</f>
        <v>-187137</v>
      </c>
      <c r="E10" s="1813">
        <f>(E8-E9)</f>
        <v>1216587</v>
      </c>
      <c r="F10" s="1815">
        <f>SUM(F8-F9)</f>
        <v>-13766617</v>
      </c>
    </row>
    <row r="11" spans="1:8" s="857" customFormat="1" ht="14.25" thickTop="1" thickBot="1" x14ac:dyDescent="0.25">
      <c r="A11" s="859" t="s">
        <v>1899</v>
      </c>
      <c r="B11" s="1816">
        <f>'Acct Summary 7-8'!C81</f>
        <v>5622235</v>
      </c>
      <c r="C11" s="1816">
        <f>'Acct Summary 7-8'!D81</f>
        <v>250377</v>
      </c>
      <c r="D11" s="1816">
        <f>'Acct Summary 7-8'!F81</f>
        <v>648987</v>
      </c>
      <c r="E11" s="1816">
        <f>'Acct Summary 7-8'!I81</f>
        <v>47567754</v>
      </c>
      <c r="F11" s="1817">
        <f>SUM(B11:E11)</f>
        <v>54089353</v>
      </c>
    </row>
    <row r="12" spans="1:8" ht="16.5" customHeight="1" thickTop="1" x14ac:dyDescent="0.2">
      <c r="A12" s="860"/>
      <c r="B12" s="861"/>
      <c r="C12" s="2479" t="str">
        <f>IF(AND(F10&lt;0,F11&gt;=0,ABS(F10*3)&gt;ABS(F11)),A16,IF(AND(F10&lt;0,F11&gt;0,ABS(F10*3)&lt;=ABS(F11)),A17,IF(AND(F10&lt;0,F11&lt;0),A16,IF(F11=0,A19,A18))))</f>
        <v>Unbalanced -  however, a deficit reduction plan is not required at this time.</v>
      </c>
      <c r="D12" s="2480"/>
      <c r="E12" s="2480"/>
      <c r="F12" s="2481"/>
    </row>
    <row r="13" spans="1:8" ht="19.5" customHeight="1" x14ac:dyDescent="0.2">
      <c r="A13" s="862"/>
      <c r="B13" s="863"/>
      <c r="C13" s="2479"/>
      <c r="D13" s="2480"/>
      <c r="E13" s="2480"/>
      <c r="F13" s="2481"/>
      <c r="H13" s="852"/>
    </row>
    <row r="14" spans="1:8" ht="19.5" customHeight="1" x14ac:dyDescent="0.2">
      <c r="A14" s="862"/>
      <c r="B14" s="863"/>
      <c r="C14" s="2479"/>
      <c r="D14" s="2480"/>
      <c r="E14" s="2480"/>
      <c r="F14" s="2481"/>
      <c r="H14" s="852"/>
    </row>
    <row r="15" spans="1:8" ht="17.25" customHeight="1" x14ac:dyDescent="0.2">
      <c r="A15" s="862"/>
      <c r="B15" s="863"/>
      <c r="C15" s="2482"/>
      <c r="D15" s="2483"/>
      <c r="E15" s="2483"/>
      <c r="F15" s="2484"/>
      <c r="H15" s="852"/>
    </row>
    <row r="16" spans="1:8" s="288" customFormat="1" ht="51.75" hidden="1" customHeight="1" x14ac:dyDescent="0.2">
      <c r="A16" s="2478" t="s">
        <v>1665</v>
      </c>
      <c r="B16" s="2478"/>
      <c r="C16" s="2478"/>
      <c r="D16" s="2478"/>
      <c r="E16" s="2478"/>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00" t="s">
        <v>659</v>
      </c>
      <c r="B3" s="2501"/>
      <c r="C3" s="2501"/>
      <c r="D3" s="2502"/>
    </row>
    <row r="4" spans="1:4" x14ac:dyDescent="0.2">
      <c r="A4" s="930" t="s">
        <v>1670</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11" t="s">
        <v>1486</v>
      </c>
      <c r="D7" s="2512"/>
    </row>
    <row r="8" spans="1:4" s="542" customFormat="1" ht="12.75" x14ac:dyDescent="0.2">
      <c r="A8" s="916"/>
      <c r="B8" s="871"/>
      <c r="C8" s="874" t="s">
        <v>1485</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503" t="s">
        <v>1000</v>
      </c>
      <c r="B15" s="2504"/>
      <c r="C15" s="2504"/>
      <c r="D15" s="2505"/>
    </row>
    <row r="16" spans="1:4" s="542" customFormat="1" ht="24" customHeight="1" x14ac:dyDescent="0.2">
      <c r="A16" s="2506" t="s">
        <v>657</v>
      </c>
      <c r="B16" s="2507"/>
      <c r="C16" s="2507"/>
      <c r="D16" s="2508"/>
    </row>
    <row r="17" spans="1:10" s="542" customFormat="1" ht="12.75" customHeight="1" x14ac:dyDescent="0.2">
      <c r="A17" s="934" t="s">
        <v>1671</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15" t="s">
        <v>310</v>
      </c>
      <c r="D21" s="2516"/>
    </row>
    <row r="22" spans="1:10" ht="12.75" x14ac:dyDescent="0.2">
      <c r="A22" s="917"/>
      <c r="B22" s="918">
        <v>2</v>
      </c>
      <c r="C22" s="2513" t="s">
        <v>1506</v>
      </c>
      <c r="D22" s="2514"/>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17" t="s">
        <v>532</v>
      </c>
      <c r="D43" s="2518"/>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9" t="s">
        <v>778</v>
      </c>
      <c r="D56" s="2510"/>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1013</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ERROR!</v>
      </c>
    </row>
    <row r="70" spans="1:4" x14ac:dyDescent="0.2">
      <c r="A70" s="876"/>
      <c r="B70" s="898">
        <f>B66+1</f>
        <v>9</v>
      </c>
      <c r="C70" s="2509" t="s">
        <v>1673</v>
      </c>
      <c r="D70" s="2510"/>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ht="22.5" x14ac:dyDescent="0.2">
      <c r="A82" s="876"/>
      <c r="B82" s="898">
        <v>15</v>
      </c>
      <c r="C82" s="908" t="s">
        <v>1880</v>
      </c>
      <c r="D82" s="190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1963</v>
      </c>
      <c r="F1" s="1542" t="s">
        <v>1964</v>
      </c>
      <c r="G1" s="1899" t="s">
        <v>1974</v>
      </c>
    </row>
    <row r="2" spans="1:7" ht="15.75" x14ac:dyDescent="0.25">
      <c r="A2" t="s">
        <v>260</v>
      </c>
      <c r="B2" s="135" t="str">
        <f>COVER!A13</f>
        <v>17-064-0050-26</v>
      </c>
      <c r="E2" s="1541">
        <v>2020</v>
      </c>
      <c r="F2" s="1541">
        <v>1</v>
      </c>
      <c r="G2" s="1898">
        <v>101000300</v>
      </c>
    </row>
    <row r="3" spans="1:7" ht="15" x14ac:dyDescent="0.25">
      <c r="A3" t="s">
        <v>949</v>
      </c>
      <c r="B3" s="135" t="str">
        <f>COVER!A15</f>
        <v>McLean</v>
      </c>
      <c r="E3" s="1829" t="s">
        <v>1967</v>
      </c>
      <c r="F3" s="1829" t="s">
        <v>1966</v>
      </c>
      <c r="G3" s="1898">
        <v>101000400</v>
      </c>
    </row>
    <row r="4" spans="1:7" ht="15" x14ac:dyDescent="0.25">
      <c r="A4" t="s">
        <v>999</v>
      </c>
      <c r="B4" s="135" t="str">
        <f>COVER!A17</f>
        <v>McLean County Unit School District No. 5</v>
      </c>
      <c r="E4" s="1827">
        <v>44119</v>
      </c>
      <c r="F4" s="1828">
        <v>44151</v>
      </c>
      <c r="G4" s="1898">
        <v>101000600</v>
      </c>
    </row>
    <row r="5" spans="1:7" ht="15" x14ac:dyDescent="0.25">
      <c r="A5" t="s">
        <v>698</v>
      </c>
      <c r="B5" s="135" t="str">
        <f>COVER!A38</f>
        <v>Dr. Kristen Weikle</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CASH</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1525</v>
      </c>
      <c r="B12" s="135" t="str">
        <f>IF(COVER!J29="x","Yes",IF(COVER!L29="X","No",0))</f>
        <v>Yes</v>
      </c>
      <c r="G12" s="1898">
        <v>202100600</v>
      </c>
    </row>
    <row r="13" spans="1:7" ht="15" x14ac:dyDescent="0.25">
      <c r="A13" s="1" t="s">
        <v>1526</v>
      </c>
      <c r="B13" s="135" t="str">
        <f>IF(COVER!J30="x","Yes",IF(COVER!L30="x","No",0))</f>
        <v>Yes</v>
      </c>
      <c r="G13" s="1898">
        <v>202100800</v>
      </c>
    </row>
    <row r="14" spans="1:7" ht="15" x14ac:dyDescent="0.25">
      <c r="A14" t="s">
        <v>472</v>
      </c>
      <c r="B14" s="135" t="str">
        <f>IF(COVER!J31="x","Yes",IF(COVER!L31="x","No",0))</f>
        <v>No</v>
      </c>
      <c r="G14" s="1898">
        <v>402100300</v>
      </c>
    </row>
    <row r="15" spans="1:7" ht="15" x14ac:dyDescent="0.25">
      <c r="A15" t="s">
        <v>572</v>
      </c>
      <c r="B15" s="135" t="str">
        <f>COVER!T23</f>
        <v>066-004450</v>
      </c>
      <c r="G15" s="1898">
        <v>402100400</v>
      </c>
    </row>
    <row r="16" spans="1:7" ht="15" x14ac:dyDescent="0.25">
      <c r="A16" t="s">
        <v>418</v>
      </c>
      <c r="B16" s="135" t="str">
        <f>COVER!T13</f>
        <v>CliftonLarsonAllen LLP</v>
      </c>
      <c r="G16" s="1898">
        <v>402100600</v>
      </c>
    </row>
    <row r="17" spans="1:7" ht="15" x14ac:dyDescent="0.25">
      <c r="A17" t="s">
        <v>877</v>
      </c>
      <c r="B17" s="135" t="str">
        <f>COVER!T15</f>
        <v>Hope Wheeler</v>
      </c>
      <c r="G17" s="1898">
        <v>402100800</v>
      </c>
    </row>
    <row r="18" spans="1:7" ht="15" x14ac:dyDescent="0.25">
      <c r="A18" t="s">
        <v>1139</v>
      </c>
      <c r="B18" s="135" t="str">
        <f>COVER!T17</f>
        <v>301 North Neil Street, Suite 205</v>
      </c>
      <c r="G18" s="1898">
        <v>102200300</v>
      </c>
    </row>
    <row r="19" spans="1:7" ht="15" x14ac:dyDescent="0.25">
      <c r="A19" t="s">
        <v>879</v>
      </c>
      <c r="B19" s="135" t="str">
        <f>COVER!T25</f>
        <v>hope.wheeler@claconnect.com</v>
      </c>
      <c r="G19" s="1898">
        <v>102200400</v>
      </c>
    </row>
    <row r="20" spans="1:7" ht="15" x14ac:dyDescent="0.25">
      <c r="A20" t="s">
        <v>880</v>
      </c>
      <c r="B20" s="135" t="str">
        <f>COVER!T19</f>
        <v>Champaign</v>
      </c>
      <c r="G20" s="1898">
        <v>102200600</v>
      </c>
    </row>
    <row r="21" spans="1:7" ht="15" x14ac:dyDescent="0.25">
      <c r="A21" t="s">
        <v>475</v>
      </c>
      <c r="B21" s="135" t="str">
        <f>COVER!X19</f>
        <v>IL</v>
      </c>
      <c r="G21" s="1898">
        <v>102200800</v>
      </c>
    </row>
    <row r="22" spans="1:7" ht="15" x14ac:dyDescent="0.25">
      <c r="A22" t="s">
        <v>881</v>
      </c>
      <c r="B22" s="135">
        <f>COVER!Z19</f>
        <v>61820</v>
      </c>
      <c r="G22" s="1898">
        <v>102300300</v>
      </c>
    </row>
    <row r="23" spans="1:7" ht="15" x14ac:dyDescent="0.25">
      <c r="A23" t="s">
        <v>1141</v>
      </c>
      <c r="B23" s="135" t="str">
        <f>COVER!T21</f>
        <v>217-373-3139</v>
      </c>
      <c r="G23" s="1898">
        <v>102300400</v>
      </c>
    </row>
    <row r="24" spans="1:7" ht="15" x14ac:dyDescent="0.25">
      <c r="A24" t="s">
        <v>1140</v>
      </c>
      <c r="B24" s="135">
        <f>COVER!Y21</f>
        <v>0</v>
      </c>
      <c r="G24" s="1898">
        <v>102300600</v>
      </c>
    </row>
    <row r="25" spans="1:7" ht="15" x14ac:dyDescent="0.25">
      <c r="A25" t="s">
        <v>755</v>
      </c>
      <c r="B25" s="135">
        <f>COVER!B34</f>
        <v>0</v>
      </c>
      <c r="G25" s="1898">
        <v>102300800</v>
      </c>
    </row>
    <row r="26" spans="1:7" ht="15" x14ac:dyDescent="0.25">
      <c r="A26" t="s">
        <v>1142</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1463</v>
      </c>
      <c r="B49" s="135" t="str">
        <f>IF('Aud Quest 2'!B53="x","Yes",IF('Aud Quest 2'!B53&lt;&gt;"x","0"))</f>
        <v>0</v>
      </c>
      <c r="G49" s="1898">
        <v>102540800</v>
      </c>
    </row>
    <row r="50" spans="1:7" ht="15" x14ac:dyDescent="0.25">
      <c r="A50" s="1" t="s">
        <v>1462</v>
      </c>
      <c r="B50" s="146">
        <f>'Aud Quest 2'!H53</f>
        <v>0</v>
      </c>
      <c r="G50" s="1898">
        <v>202540300</v>
      </c>
    </row>
    <row r="51" spans="1:7" ht="15" x14ac:dyDescent="0.25">
      <c r="A51" s="1" t="s">
        <v>1464</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5622235</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568</v>
      </c>
      <c r="D91" s="2" t="str">
        <f t="shared" si="0"/>
        <v>Error?</v>
      </c>
      <c r="G91" s="1898">
        <v>102640400</v>
      </c>
    </row>
    <row r="92" spans="1:7" ht="15" x14ac:dyDescent="0.25">
      <c r="A92" s="5">
        <v>31</v>
      </c>
      <c r="B92" s="1831">
        <f>'Assets-Liab 5-6'!C39</f>
        <v>5622235</v>
      </c>
      <c r="D92" s="2" t="str">
        <f t="shared" si="0"/>
        <v>Error?</v>
      </c>
      <c r="G92" s="1898">
        <v>102640600</v>
      </c>
    </row>
    <row r="93" spans="1:7" ht="15" x14ac:dyDescent="0.25">
      <c r="A93" s="5">
        <v>32</v>
      </c>
      <c r="B93" s="1831">
        <f>'Assets-Liab 5-6'!C41</f>
        <v>5622235</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250377</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568</v>
      </c>
      <c r="D122" s="2" t="str">
        <f t="shared" si="0"/>
        <v>Error?</v>
      </c>
      <c r="G122" s="1898">
        <v>203000300</v>
      </c>
    </row>
    <row r="123" spans="1:7" ht="15" x14ac:dyDescent="0.25">
      <c r="A123" s="5">
        <v>62</v>
      </c>
      <c r="B123" s="1831">
        <f>'Assets-Liab 5-6'!D39</f>
        <v>250377</v>
      </c>
      <c r="D123" s="2" t="str">
        <f t="shared" si="0"/>
        <v>Error?</v>
      </c>
      <c r="G123" s="1898">
        <v>203000400</v>
      </c>
    </row>
    <row r="124" spans="1:7" ht="15" x14ac:dyDescent="0.25">
      <c r="A124" s="5">
        <v>63</v>
      </c>
      <c r="B124" s="1831">
        <f>'Assets-Liab 5-6'!D41</f>
        <v>250377</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12476694</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12476694</v>
      </c>
      <c r="D140" s="2" t="str">
        <f t="shared" si="1"/>
        <v>Error?</v>
      </c>
    </row>
    <row r="141" spans="1:7" x14ac:dyDescent="0.2">
      <c r="A141" s="5">
        <v>80</v>
      </c>
      <c r="B141" s="1831">
        <f>'Assets-Liab 5-6'!E41</f>
        <v>12476694</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648987</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648987</v>
      </c>
      <c r="D170" s="2" t="str">
        <f t="shared" si="1"/>
        <v>Error?</v>
      </c>
    </row>
    <row r="171" spans="1:4" x14ac:dyDescent="0.2">
      <c r="A171" s="5">
        <v>110</v>
      </c>
      <c r="B171" s="1831">
        <f>'Assets-Liab 5-6'!F41</f>
        <v>648987</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1644045</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1644045</v>
      </c>
      <c r="D189" s="2" t="str">
        <f t="shared" si="1"/>
        <v>Error?</v>
      </c>
    </row>
    <row r="190" spans="1:4" x14ac:dyDescent="0.2">
      <c r="A190" s="5">
        <v>129</v>
      </c>
      <c r="B190" s="1831">
        <f>'Assets-Liab 5-6'!G41</f>
        <v>1644045</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2960561</v>
      </c>
      <c r="D273" s="2" t="str">
        <f t="shared" si="3"/>
        <v>Error?</v>
      </c>
    </row>
    <row r="274" spans="1:4" x14ac:dyDescent="0.2">
      <c r="A274" s="5">
        <v>213</v>
      </c>
      <c r="B274" s="1831">
        <f>'Assets-Liab 5-6'!M17</f>
        <v>130682018</v>
      </c>
      <c r="D274" s="2" t="str">
        <f t="shared" si="3"/>
        <v>Error?</v>
      </c>
    </row>
    <row r="275" spans="1:4" x14ac:dyDescent="0.2">
      <c r="A275" s="5">
        <v>214</v>
      </c>
      <c r="B275" s="1831">
        <f>'Assets-Liab 5-6'!M18</f>
        <v>44323267</v>
      </c>
      <c r="D275" s="2" t="str">
        <f t="shared" si="3"/>
        <v>Error?</v>
      </c>
    </row>
    <row r="276" spans="1:4" x14ac:dyDescent="0.2">
      <c r="A276" s="5">
        <v>215</v>
      </c>
      <c r="B276" s="1831">
        <f>'Assets-Liab 5-6'!M19</f>
        <v>11853805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190228323</v>
      </c>
      <c r="C279" s="2" t="s">
        <v>568</v>
      </c>
      <c r="D279" s="2" t="str">
        <f t="shared" si="3"/>
        <v>Error?</v>
      </c>
    </row>
    <row r="280" spans="1:4" x14ac:dyDescent="0.2">
      <c r="A280" s="5">
        <v>219</v>
      </c>
      <c r="B280" s="1831">
        <f>'Assets-Liab 5-6'!M40</f>
        <v>190228323</v>
      </c>
      <c r="D280" s="2" t="str">
        <f t="shared" si="3"/>
        <v>Error?</v>
      </c>
    </row>
    <row r="281" spans="1:4" x14ac:dyDescent="0.2">
      <c r="A281" s="5">
        <v>220</v>
      </c>
      <c r="B281" s="1831">
        <f>'Assets-Liab 5-6'!M41</f>
        <v>190228323</v>
      </c>
      <c r="C281" s="2" t="s">
        <v>568</v>
      </c>
      <c r="D281" s="2" t="str">
        <f t="shared" si="3"/>
        <v>Error?</v>
      </c>
    </row>
    <row r="282" spans="1:4" x14ac:dyDescent="0.2">
      <c r="A282" s="5">
        <v>221</v>
      </c>
      <c r="B282" s="1831">
        <f>'Assets-Liab 5-6'!N21</f>
        <v>12476694</v>
      </c>
      <c r="D282" s="2" t="str">
        <f t="shared" si="3"/>
        <v>Error?</v>
      </c>
    </row>
    <row r="283" spans="1:4" x14ac:dyDescent="0.2">
      <c r="A283" s="5">
        <v>222</v>
      </c>
      <c r="B283" s="1831">
        <f>'Assets-Liab 5-6'!N22</f>
        <v>121818222</v>
      </c>
      <c r="D283" s="2" t="str">
        <f t="shared" si="3"/>
        <v>Error?</v>
      </c>
    </row>
    <row r="284" spans="1:4" x14ac:dyDescent="0.2">
      <c r="A284" s="5">
        <v>223</v>
      </c>
      <c r="B284" s="1831">
        <f>'Assets-Liab 5-6'!N23</f>
        <v>134294916</v>
      </c>
      <c r="C284" s="2" t="s">
        <v>568</v>
      </c>
      <c r="D284" s="2" t="str">
        <f t="shared" si="3"/>
        <v>Error?</v>
      </c>
    </row>
    <row r="285" spans="1:4" x14ac:dyDescent="0.2">
      <c r="A285" s="5">
        <v>224</v>
      </c>
      <c r="B285" s="1831">
        <f>'Assets-Liab 5-6'!N36</f>
        <v>134294916</v>
      </c>
      <c r="D285" s="2" t="str">
        <f t="shared" si="3"/>
        <v>Error?</v>
      </c>
    </row>
    <row r="286" spans="1:4" x14ac:dyDescent="0.2">
      <c r="A286" s="10">
        <v>225</v>
      </c>
      <c r="B286" s="1831"/>
      <c r="D286" s="2" t="str">
        <f t="shared" si="3"/>
        <v>OK</v>
      </c>
    </row>
    <row r="287" spans="1:4" x14ac:dyDescent="0.2">
      <c r="A287" s="5">
        <v>226</v>
      </c>
      <c r="B287" s="1831">
        <f>'Assets-Liab 5-6'!N37</f>
        <v>134294916</v>
      </c>
      <c r="C287" s="2" t="s">
        <v>568</v>
      </c>
      <c r="D287" s="2" t="str">
        <f t="shared" si="3"/>
        <v>Error?</v>
      </c>
    </row>
    <row r="288" spans="1:4" x14ac:dyDescent="0.2">
      <c r="A288" s="5">
        <v>227</v>
      </c>
      <c r="B288" s="1831">
        <f>'Assets-Liab 5-6'!N41</f>
        <v>134294916</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29000000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41544899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1210720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656581</v>
      </c>
      <c r="D718" s="2" t="str">
        <f t="shared" si="10"/>
        <v>Error?</v>
      </c>
    </row>
    <row r="719" spans="1:4" x14ac:dyDescent="0.2">
      <c r="A719" s="5">
        <v>658</v>
      </c>
      <c r="B719" s="1831">
        <f>'Expenditures 15-22'!C15</f>
        <v>153618</v>
      </c>
      <c r="D719" s="2" t="str">
        <f t="shared" si="10"/>
        <v>Error?</v>
      </c>
    </row>
    <row r="720" spans="1:4" x14ac:dyDescent="0.2">
      <c r="A720" s="5">
        <v>659</v>
      </c>
      <c r="B720" s="1831">
        <f>'Expenditures 15-22'!C33</f>
        <v>64921595</v>
      </c>
      <c r="C720" s="2" t="s">
        <v>568</v>
      </c>
      <c r="D720" s="2" t="str">
        <f t="shared" si="10"/>
        <v>Error?</v>
      </c>
    </row>
    <row r="721" spans="1:4" x14ac:dyDescent="0.2">
      <c r="A721" s="5">
        <v>660</v>
      </c>
      <c r="B721" s="1831">
        <f>'Expenditures 15-22'!C36</f>
        <v>1295124</v>
      </c>
      <c r="D721" s="2" t="str">
        <f t="shared" si="10"/>
        <v>Error?</v>
      </c>
    </row>
    <row r="722" spans="1:4" x14ac:dyDescent="0.2">
      <c r="A722" s="5">
        <v>661</v>
      </c>
      <c r="B722" s="1831">
        <f>'Expenditures 15-22'!C37</f>
        <v>1545552</v>
      </c>
      <c r="D722" s="2" t="str">
        <f t="shared" si="10"/>
        <v>Error?</v>
      </c>
    </row>
    <row r="723" spans="1:4" x14ac:dyDescent="0.2">
      <c r="A723" s="5">
        <v>662</v>
      </c>
      <c r="B723" s="1831">
        <f>'Expenditures 15-22'!C38</f>
        <v>537584</v>
      </c>
      <c r="D723" s="2" t="str">
        <f t="shared" si="10"/>
        <v>Error?</v>
      </c>
    </row>
    <row r="724" spans="1:4" x14ac:dyDescent="0.2">
      <c r="A724" s="5">
        <v>663</v>
      </c>
      <c r="B724" s="1831">
        <f>'Expenditures 15-22'!C39</f>
        <v>1017915</v>
      </c>
      <c r="D724" s="2" t="str">
        <f t="shared" si="10"/>
        <v>Error?</v>
      </c>
    </row>
    <row r="725" spans="1:4" x14ac:dyDescent="0.2">
      <c r="A725" s="5">
        <v>664</v>
      </c>
      <c r="B725" s="1831">
        <f>'Expenditures 15-22'!C40</f>
        <v>540145</v>
      </c>
      <c r="D725" s="2" t="str">
        <f t="shared" si="10"/>
        <v>Error?</v>
      </c>
    </row>
    <row r="726" spans="1:4" x14ac:dyDescent="0.2">
      <c r="A726" s="5">
        <v>665</v>
      </c>
      <c r="B726" s="1831">
        <f>'Expenditures 15-22'!C41</f>
        <v>3628</v>
      </c>
      <c r="D726" s="2" t="str">
        <f t="shared" si="10"/>
        <v>Error?</v>
      </c>
    </row>
    <row r="727" spans="1:4" x14ac:dyDescent="0.2">
      <c r="A727" s="5">
        <v>666</v>
      </c>
      <c r="B727" s="1831">
        <f>'Expenditures 15-22'!C42</f>
        <v>4939948</v>
      </c>
      <c r="C727" s="2" t="s">
        <v>568</v>
      </c>
      <c r="D727" s="2" t="str">
        <f t="shared" si="10"/>
        <v>Error?</v>
      </c>
    </row>
    <row r="728" spans="1:4" x14ac:dyDescent="0.2">
      <c r="A728" s="5">
        <v>667</v>
      </c>
      <c r="B728" s="1831">
        <f>'Expenditures 15-22'!C44</f>
        <v>1285640</v>
      </c>
      <c r="D728" s="2" t="str">
        <f t="shared" si="10"/>
        <v>Error?</v>
      </c>
    </row>
    <row r="729" spans="1:4" x14ac:dyDescent="0.2">
      <c r="A729" s="5">
        <v>668</v>
      </c>
      <c r="B729" s="1831">
        <f>'Expenditures 15-22'!C45</f>
        <v>1164829</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2450469</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275234</v>
      </c>
      <c r="D733" s="2" t="str">
        <f t="shared" si="10"/>
        <v>Error?</v>
      </c>
    </row>
    <row r="734" spans="1:4" x14ac:dyDescent="0.2">
      <c r="A734" s="5">
        <v>673</v>
      </c>
      <c r="B734" s="1831">
        <f>'Expenditures 15-22'!C53</f>
        <v>521569</v>
      </c>
      <c r="C734" s="2" t="s">
        <v>568</v>
      </c>
      <c r="D734" s="2" t="str">
        <f t="shared" si="10"/>
        <v>Error?</v>
      </c>
    </row>
    <row r="735" spans="1:4" x14ac:dyDescent="0.2">
      <c r="A735" s="5">
        <v>674</v>
      </c>
      <c r="B735" s="1831">
        <f>'Expenditures 15-22'!C55</f>
        <v>5184351</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5184351</v>
      </c>
      <c r="C737" s="2" t="s">
        <v>568</v>
      </c>
      <c r="D737" s="2" t="str">
        <f t="shared" si="10"/>
        <v>Error?</v>
      </c>
    </row>
    <row r="738" spans="1:4" x14ac:dyDescent="0.2">
      <c r="A738" s="5">
        <v>677</v>
      </c>
      <c r="B738" s="1831">
        <f>'Expenditures 15-22'!C59</f>
        <v>131559</v>
      </c>
      <c r="D738" s="2" t="str">
        <f t="shared" si="10"/>
        <v>Error?</v>
      </c>
    </row>
    <row r="739" spans="1:4" x14ac:dyDescent="0.2">
      <c r="A739" s="5">
        <v>678</v>
      </c>
      <c r="B739" s="1831">
        <f>'Expenditures 15-22'!C60</f>
        <v>348747</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2387385</v>
      </c>
      <c r="D742" s="2" t="str">
        <f t="shared" si="10"/>
        <v>Error?</v>
      </c>
    </row>
    <row r="743" spans="1:4" x14ac:dyDescent="0.2">
      <c r="A743" s="5">
        <v>682</v>
      </c>
      <c r="B743" s="1831">
        <f>'Expenditures 15-22'!C64</f>
        <v>62656</v>
      </c>
      <c r="D743" s="2" t="str">
        <f t="shared" si="10"/>
        <v>Error?</v>
      </c>
    </row>
    <row r="744" spans="1:4" x14ac:dyDescent="0.2">
      <c r="A744" s="10">
        <v>683</v>
      </c>
      <c r="B744" s="1831"/>
      <c r="D744" s="2" t="str">
        <f t="shared" si="10"/>
        <v>OK</v>
      </c>
    </row>
    <row r="745" spans="1:4" x14ac:dyDescent="0.2">
      <c r="A745" s="5">
        <v>684</v>
      </c>
      <c r="B745" s="1831">
        <f>'Expenditures 15-22'!C65</f>
        <v>2930347</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74913</v>
      </c>
      <c r="D748" s="2" t="str">
        <f t="shared" si="10"/>
        <v>Error?</v>
      </c>
    </row>
    <row r="749" spans="1:4" x14ac:dyDescent="0.2">
      <c r="A749" s="5">
        <v>688</v>
      </c>
      <c r="B749" s="1831">
        <f>'Expenditures 15-22'!C70</f>
        <v>253079</v>
      </c>
      <c r="D749" s="2" t="str">
        <f t="shared" si="10"/>
        <v>Error?</v>
      </c>
    </row>
    <row r="750" spans="1:4" x14ac:dyDescent="0.2">
      <c r="A750" s="10">
        <v>689</v>
      </c>
      <c r="B750" s="1831"/>
      <c r="D750" s="2" t="str">
        <f t="shared" si="10"/>
        <v>OK</v>
      </c>
    </row>
    <row r="751" spans="1:4" x14ac:dyDescent="0.2">
      <c r="A751" s="5">
        <v>690</v>
      </c>
      <c r="B751" s="1831">
        <f>'Expenditures 15-22'!C71</f>
        <v>975930</v>
      </c>
      <c r="D751" s="2" t="str">
        <f t="shared" si="10"/>
        <v>Error?</v>
      </c>
    </row>
    <row r="752" spans="1:4" x14ac:dyDescent="0.2">
      <c r="A752" s="10">
        <v>691</v>
      </c>
      <c r="B752" s="1831"/>
      <c r="D752" s="2" t="str">
        <f t="shared" si="10"/>
        <v>OK</v>
      </c>
    </row>
    <row r="753" spans="1:4" x14ac:dyDescent="0.2">
      <c r="A753" s="5">
        <v>692</v>
      </c>
      <c r="B753" s="1831">
        <f>'Expenditures 15-22'!C72</f>
        <v>1303922</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17330606</v>
      </c>
      <c r="C755" s="2" t="s">
        <v>568</v>
      </c>
      <c r="D755" s="2" t="str">
        <f t="shared" si="10"/>
        <v>Error?</v>
      </c>
    </row>
    <row r="756" spans="1:4" x14ac:dyDescent="0.2">
      <c r="A756" s="5">
        <v>695</v>
      </c>
      <c r="B756" s="1831">
        <f>'Expenditures 15-22'!C75</f>
        <v>433725</v>
      </c>
      <c r="D756" s="2" t="str">
        <f t="shared" si="10"/>
        <v>Error?</v>
      </c>
    </row>
    <row r="757" spans="1:4" x14ac:dyDescent="0.2">
      <c r="A757" s="5">
        <v>696</v>
      </c>
      <c r="B757" s="1831">
        <f>'Expenditures 15-22'!C114</f>
        <v>82685926</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6343629</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206625</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22077</v>
      </c>
      <c r="D776" s="2" t="str">
        <f t="shared" si="11"/>
        <v>Error?</v>
      </c>
    </row>
    <row r="777" spans="1:4" x14ac:dyDescent="0.2">
      <c r="A777" s="5">
        <v>716</v>
      </c>
      <c r="B777" s="1831">
        <f>'Expenditures 15-22'!D15</f>
        <v>13572</v>
      </c>
      <c r="D777" s="2" t="str">
        <f t="shared" si="11"/>
        <v>Error?</v>
      </c>
    </row>
    <row r="778" spans="1:4" x14ac:dyDescent="0.2">
      <c r="A778" s="5">
        <v>717</v>
      </c>
      <c r="B778" s="1831">
        <f>'Expenditures 15-22'!D33</f>
        <v>11426712</v>
      </c>
      <c r="C778" s="2" t="s">
        <v>568</v>
      </c>
      <c r="D778" s="2" t="str">
        <f t="shared" si="11"/>
        <v>Error?</v>
      </c>
    </row>
    <row r="779" spans="1:4" x14ac:dyDescent="0.2">
      <c r="A779" s="5">
        <v>718</v>
      </c>
      <c r="B779" s="1831">
        <f>'Expenditures 15-22'!D36</f>
        <v>198306</v>
      </c>
      <c r="D779" s="2" t="str">
        <f t="shared" si="11"/>
        <v>Error?</v>
      </c>
    </row>
    <row r="780" spans="1:4" x14ac:dyDescent="0.2">
      <c r="A780" s="5">
        <v>719</v>
      </c>
      <c r="B780" s="1831">
        <f>'Expenditures 15-22'!D37</f>
        <v>227910</v>
      </c>
      <c r="D780" s="2" t="str">
        <f t="shared" si="11"/>
        <v>Error?</v>
      </c>
    </row>
    <row r="781" spans="1:4" x14ac:dyDescent="0.2">
      <c r="A781" s="5">
        <v>720</v>
      </c>
      <c r="B781" s="1831">
        <f>'Expenditures 15-22'!D38</f>
        <v>156904</v>
      </c>
      <c r="D781" s="2" t="str">
        <f t="shared" si="11"/>
        <v>Error?</v>
      </c>
    </row>
    <row r="782" spans="1:4" x14ac:dyDescent="0.2">
      <c r="A782" s="5">
        <v>721</v>
      </c>
      <c r="B782" s="1831">
        <f>'Expenditures 15-22'!D39</f>
        <v>145439</v>
      </c>
      <c r="D782" s="2" t="str">
        <f t="shared" si="11"/>
        <v>Error?</v>
      </c>
    </row>
    <row r="783" spans="1:4" x14ac:dyDescent="0.2">
      <c r="A783" s="5">
        <v>722</v>
      </c>
      <c r="B783" s="1831">
        <f>'Expenditures 15-22'!D40</f>
        <v>81725</v>
      </c>
      <c r="D783" s="2" t="str">
        <f t="shared" si="11"/>
        <v>Error?</v>
      </c>
    </row>
    <row r="784" spans="1:4" x14ac:dyDescent="0.2">
      <c r="A784" s="5">
        <v>723</v>
      </c>
      <c r="B784" s="1831">
        <f>'Expenditures 15-22'!D41</f>
        <v>39</v>
      </c>
      <c r="D784" s="2" t="str">
        <f t="shared" si="11"/>
        <v>Error?</v>
      </c>
    </row>
    <row r="785" spans="1:4" x14ac:dyDescent="0.2">
      <c r="A785" s="5">
        <v>724</v>
      </c>
      <c r="B785" s="1831">
        <f>'Expenditures 15-22'!D42</f>
        <v>810323</v>
      </c>
      <c r="C785" s="2" t="s">
        <v>568</v>
      </c>
      <c r="D785" s="2" t="str">
        <f t="shared" si="11"/>
        <v>Error?</v>
      </c>
    </row>
    <row r="786" spans="1:4" x14ac:dyDescent="0.2">
      <c r="A786" s="5">
        <v>725</v>
      </c>
      <c r="B786" s="1831">
        <f>'Expenditures 15-22'!D44</f>
        <v>230795</v>
      </c>
      <c r="D786" s="2" t="str">
        <f t="shared" si="11"/>
        <v>Error?</v>
      </c>
    </row>
    <row r="787" spans="1:4" x14ac:dyDescent="0.2">
      <c r="A787" s="5">
        <v>726</v>
      </c>
      <c r="B787" s="1831">
        <f>'Expenditures 15-22'!D45</f>
        <v>164280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395075</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49871</v>
      </c>
      <c r="D791" s="2" t="str">
        <f t="shared" si="11"/>
        <v>Error?</v>
      </c>
    </row>
    <row r="792" spans="1:4" x14ac:dyDescent="0.2">
      <c r="A792" s="5">
        <v>731</v>
      </c>
      <c r="B792" s="1831">
        <f>'Expenditures 15-22'!D53</f>
        <v>95416</v>
      </c>
      <c r="C792" s="2" t="s">
        <v>568</v>
      </c>
      <c r="D792" s="2" t="str">
        <f t="shared" si="11"/>
        <v>Error?</v>
      </c>
    </row>
    <row r="793" spans="1:4" x14ac:dyDescent="0.2">
      <c r="A793" s="5">
        <v>732</v>
      </c>
      <c r="B793" s="1831">
        <f>'Expenditures 15-22'!D55</f>
        <v>1159154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1159154</v>
      </c>
      <c r="C795" s="2" t="s">
        <v>568</v>
      </c>
      <c r="D795" s="2" t="str">
        <f t="shared" si="11"/>
        <v>Error?</v>
      </c>
    </row>
    <row r="796" spans="1:4" x14ac:dyDescent="0.2">
      <c r="A796" s="5">
        <v>735</v>
      </c>
      <c r="B796" s="1831">
        <f>'Expenditures 15-22'!D59</f>
        <v>22320</v>
      </c>
      <c r="D796" s="2" t="str">
        <f t="shared" si="11"/>
        <v>Error?</v>
      </c>
    </row>
    <row r="797" spans="1:4" x14ac:dyDescent="0.2">
      <c r="A797" s="5">
        <v>736</v>
      </c>
      <c r="B797" s="1831">
        <f>'Expenditures 15-22'!D60</f>
        <v>47336</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349265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418921</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19850</v>
      </c>
      <c r="D806" s="2" t="str">
        <f t="shared" si="11"/>
        <v>Error?</v>
      </c>
    </row>
    <row r="807" spans="1:4" x14ac:dyDescent="0.2">
      <c r="A807" s="5">
        <v>746</v>
      </c>
      <c r="B807" s="1831">
        <f>'Expenditures 15-22'!D70</f>
        <v>48268</v>
      </c>
      <c r="D807" s="2" t="str">
        <f t="shared" si="11"/>
        <v>Error?</v>
      </c>
    </row>
    <row r="808" spans="1:4" x14ac:dyDescent="0.2">
      <c r="A808" s="10">
        <v>747</v>
      </c>
      <c r="B808" s="1831"/>
      <c r="D808" s="2" t="str">
        <f t="shared" si="11"/>
        <v>OK</v>
      </c>
    </row>
    <row r="809" spans="1:4" x14ac:dyDescent="0.2">
      <c r="A809" s="5">
        <v>748</v>
      </c>
      <c r="B809" s="1831">
        <f>'Expenditures 15-22'!D71</f>
        <v>118031</v>
      </c>
      <c r="D809" s="2" t="str">
        <f t="shared" si="11"/>
        <v>Error?</v>
      </c>
    </row>
    <row r="810" spans="1:4" x14ac:dyDescent="0.2">
      <c r="A810" s="10">
        <v>749</v>
      </c>
      <c r="B810" s="1831"/>
      <c r="D810" s="2" t="str">
        <f t="shared" si="11"/>
        <v>OK</v>
      </c>
    </row>
    <row r="811" spans="1:4" x14ac:dyDescent="0.2">
      <c r="A811" s="5">
        <v>750</v>
      </c>
      <c r="B811" s="1831">
        <f>'Expenditures 15-22'!D72</f>
        <v>186149</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3065038</v>
      </c>
      <c r="C813" s="2" t="s">
        <v>568</v>
      </c>
      <c r="D813" s="2" t="str">
        <f t="shared" si="11"/>
        <v>Error?</v>
      </c>
    </row>
    <row r="814" spans="1:4" x14ac:dyDescent="0.2">
      <c r="A814" s="5">
        <v>753</v>
      </c>
      <c r="B814" s="1831">
        <f>'Expenditures 15-22'!D75</f>
        <v>88325</v>
      </c>
      <c r="D814" s="2" t="str">
        <f t="shared" si="11"/>
        <v>Error?</v>
      </c>
    </row>
    <row r="815" spans="1:4" x14ac:dyDescent="0.2">
      <c r="A815" s="5">
        <v>754</v>
      </c>
      <c r="B815" s="1831">
        <f>'Expenditures 15-22'!D114</f>
        <v>14580075</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148871</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155</v>
      </c>
      <c r="D833" s="2" t="str">
        <f t="shared" si="12"/>
        <v>Error?</v>
      </c>
    </row>
    <row r="834" spans="1:4" x14ac:dyDescent="0.2">
      <c r="A834" s="5">
        <v>773</v>
      </c>
      <c r="B834" s="1831">
        <f>'Expenditures 15-22'!E14</f>
        <v>167186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775157</v>
      </c>
      <c r="C836" s="2" t="s">
        <v>568</v>
      </c>
      <c r="D836" s="2" t="str">
        <f t="shared" si="12"/>
        <v>Error?</v>
      </c>
    </row>
    <row r="837" spans="1:4" x14ac:dyDescent="0.2">
      <c r="A837" s="5">
        <v>776</v>
      </c>
      <c r="B837" s="1831">
        <f>'Expenditures 15-22'!E36</f>
        <v>901</v>
      </c>
      <c r="D837" s="2" t="str">
        <f t="shared" si="12"/>
        <v>Error?</v>
      </c>
    </row>
    <row r="838" spans="1:4" x14ac:dyDescent="0.2">
      <c r="A838" s="5">
        <v>777</v>
      </c>
      <c r="B838" s="1831">
        <f>'Expenditures 15-22'!E37</f>
        <v>200000</v>
      </c>
      <c r="D838" s="2" t="str">
        <f t="shared" si="12"/>
        <v>Error?</v>
      </c>
    </row>
    <row r="839" spans="1:4" x14ac:dyDescent="0.2">
      <c r="A839" s="5">
        <v>778</v>
      </c>
      <c r="B839" s="1831">
        <f>'Expenditures 15-22'!E38</f>
        <v>2899</v>
      </c>
      <c r="D839" s="2" t="str">
        <f t="shared" si="12"/>
        <v>Error?</v>
      </c>
    </row>
    <row r="840" spans="1:4" x14ac:dyDescent="0.2">
      <c r="A840" s="5">
        <v>779</v>
      </c>
      <c r="B840" s="1831">
        <f>'Expenditures 15-22'!E39</f>
        <v>1034</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204834</v>
      </c>
      <c r="C843" s="2" t="s">
        <v>568</v>
      </c>
      <c r="D843" s="2" t="str">
        <f t="shared" si="12"/>
        <v>Error?</v>
      </c>
    </row>
    <row r="844" spans="1:4" x14ac:dyDescent="0.2">
      <c r="A844" s="5">
        <v>783</v>
      </c>
      <c r="B844" s="1831">
        <f>'Expenditures 15-22'!E44</f>
        <v>178750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167489</v>
      </c>
      <c r="D846" s="2" t="str">
        <f t="shared" si="12"/>
        <v>Error?</v>
      </c>
    </row>
    <row r="847" spans="1:4" x14ac:dyDescent="0.2">
      <c r="A847" s="5">
        <v>786</v>
      </c>
      <c r="B847" s="1831">
        <f>'Expenditures 15-22'!E47</f>
        <v>346239</v>
      </c>
      <c r="C847" s="2" t="s">
        <v>568</v>
      </c>
      <c r="D847" s="2" t="str">
        <f t="shared" si="12"/>
        <v>Error?</v>
      </c>
    </row>
    <row r="848" spans="1:4" x14ac:dyDescent="0.2">
      <c r="A848" s="5">
        <v>787</v>
      </c>
      <c r="B848" s="1831">
        <f>'Expenditures 15-22'!E49</f>
        <v>92254</v>
      </c>
      <c r="D848" s="2" t="str">
        <f t="shared" si="12"/>
        <v>Error?</v>
      </c>
    </row>
    <row r="849" spans="1:4" x14ac:dyDescent="0.2">
      <c r="A849" s="5">
        <v>788</v>
      </c>
      <c r="B849" s="1831">
        <f>'Expenditures 15-22'!E50</f>
        <v>97997</v>
      </c>
      <c r="D849" s="2" t="str">
        <f t="shared" si="12"/>
        <v>Error?</v>
      </c>
    </row>
    <row r="850" spans="1:4" x14ac:dyDescent="0.2">
      <c r="A850" s="5">
        <v>789</v>
      </c>
      <c r="B850" s="1831">
        <f>'Expenditures 15-22'!E53</f>
        <v>190251</v>
      </c>
      <c r="C850" s="2" t="s">
        <v>568</v>
      </c>
      <c r="D850" s="2" t="str">
        <f t="shared" si="12"/>
        <v>Error?</v>
      </c>
    </row>
    <row r="851" spans="1:4" x14ac:dyDescent="0.2">
      <c r="A851" s="5">
        <v>790</v>
      </c>
      <c r="B851" s="1831">
        <f>'Expenditures 15-22'!E55</f>
        <v>8333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8333</v>
      </c>
      <c r="C853" s="2" t="s">
        <v>568</v>
      </c>
      <c r="D853" s="2" t="str">
        <f t="shared" si="12"/>
        <v>Error?</v>
      </c>
    </row>
    <row r="854" spans="1:4" x14ac:dyDescent="0.2">
      <c r="A854" s="5">
        <v>793</v>
      </c>
      <c r="B854" s="1831">
        <f>'Expenditures 15-22'!E59</f>
        <v>16168</v>
      </c>
      <c r="D854" s="2" t="str">
        <f t="shared" si="12"/>
        <v>Error?</v>
      </c>
    </row>
    <row r="855" spans="1:4" x14ac:dyDescent="0.2">
      <c r="A855" s="5">
        <v>794</v>
      </c>
      <c r="B855" s="1831">
        <f>'Expenditures 15-22'!E60</f>
        <v>26409</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47862</v>
      </c>
      <c r="D858" s="2" t="str">
        <f t="shared" si="12"/>
        <v>Error?</v>
      </c>
    </row>
    <row r="859" spans="1:4" x14ac:dyDescent="0.2">
      <c r="A859" s="5">
        <v>798</v>
      </c>
      <c r="B859" s="1831">
        <f>'Expenditures 15-22'!E64</f>
        <v>266910</v>
      </c>
      <c r="D859" s="2" t="str">
        <f t="shared" si="12"/>
        <v>Error?</v>
      </c>
    </row>
    <row r="860" spans="1:4" x14ac:dyDescent="0.2">
      <c r="A860" s="10">
        <v>799</v>
      </c>
      <c r="B860" s="1831"/>
      <c r="D860" s="2" t="str">
        <f t="shared" si="12"/>
        <v>OK</v>
      </c>
    </row>
    <row r="861" spans="1:4" x14ac:dyDescent="0.2">
      <c r="A861" s="5">
        <v>800</v>
      </c>
      <c r="B861" s="1831">
        <f>'Expenditures 15-22'!E65</f>
        <v>357349</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9228</v>
      </c>
      <c r="D864" s="2" t="str">
        <f t="shared" si="12"/>
        <v>Error?</v>
      </c>
    </row>
    <row r="865" spans="1:4" x14ac:dyDescent="0.2">
      <c r="A865" s="5">
        <v>804</v>
      </c>
      <c r="B865" s="1831">
        <f>'Expenditures 15-22'!E70</f>
        <v>112259</v>
      </c>
      <c r="D865" s="2" t="str">
        <f t="shared" si="12"/>
        <v>Error?</v>
      </c>
    </row>
    <row r="866" spans="1:4" x14ac:dyDescent="0.2">
      <c r="A866" s="10">
        <v>805</v>
      </c>
      <c r="B866" s="1831"/>
      <c r="D866" s="2" t="str">
        <f t="shared" si="12"/>
        <v>OK</v>
      </c>
    </row>
    <row r="867" spans="1:4" x14ac:dyDescent="0.2">
      <c r="A867" s="5">
        <v>806</v>
      </c>
      <c r="B867" s="1831">
        <f>'Expenditures 15-22'!E71</f>
        <v>258915</v>
      </c>
      <c r="D867" s="2" t="str">
        <f t="shared" si="12"/>
        <v>Error?</v>
      </c>
    </row>
    <row r="868" spans="1:4" x14ac:dyDescent="0.2">
      <c r="A868" s="10">
        <v>807</v>
      </c>
      <c r="B868" s="1831"/>
      <c r="D868" s="2" t="str">
        <f t="shared" si="12"/>
        <v>OK</v>
      </c>
    </row>
    <row r="869" spans="1:4" x14ac:dyDescent="0.2">
      <c r="A869" s="5">
        <v>808</v>
      </c>
      <c r="B869" s="1831">
        <f>'Expenditures 15-22'!E72</f>
        <v>380402</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1487408</v>
      </c>
      <c r="C871" s="2" t="s">
        <v>568</v>
      </c>
      <c r="D871" s="2" t="str">
        <f t="shared" si="12"/>
        <v>Error?</v>
      </c>
    </row>
    <row r="872" spans="1:4" x14ac:dyDescent="0.2">
      <c r="A872" s="5">
        <v>811</v>
      </c>
      <c r="B872" s="1831">
        <f>'Expenditures 15-22'!E75</f>
        <v>84146</v>
      </c>
      <c r="D872" s="2" t="str">
        <f t="shared" si="12"/>
        <v>Error?</v>
      </c>
    </row>
    <row r="873" spans="1:4" x14ac:dyDescent="0.2">
      <c r="A873" s="5">
        <v>812</v>
      </c>
      <c r="B873" s="1831">
        <f>'Expenditures 15-22'!E114</f>
        <v>2475586</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1010186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1816</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6086</v>
      </c>
      <c r="D891" s="2" t="str">
        <f t="shared" si="12"/>
        <v>Error?</v>
      </c>
    </row>
    <row r="892" spans="1:4" x14ac:dyDescent="0.2">
      <c r="A892" s="5">
        <v>831</v>
      </c>
      <c r="B892" s="1831">
        <f>'Expenditures 15-22'!F14</f>
        <v>162268</v>
      </c>
      <c r="D892" s="2" t="str">
        <f t="shared" si="12"/>
        <v>Error?</v>
      </c>
    </row>
    <row r="893" spans="1:4" x14ac:dyDescent="0.2">
      <c r="A893" s="5">
        <v>832</v>
      </c>
      <c r="B893" s="1831">
        <f>'Expenditures 15-22'!F15</f>
        <v>1256</v>
      </c>
      <c r="D893" s="2" t="str">
        <f t="shared" si="12"/>
        <v>Error?</v>
      </c>
    </row>
    <row r="894" spans="1:4" x14ac:dyDescent="0.2">
      <c r="A894" s="5">
        <v>833</v>
      </c>
      <c r="B894" s="1831">
        <f>'Expenditures 15-22'!F33</f>
        <v>1973348</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15931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540</v>
      </c>
      <c r="D900" s="2" t="str">
        <f t="shared" si="13"/>
        <v>Error?</v>
      </c>
    </row>
    <row r="901" spans="1:4" x14ac:dyDescent="0.2">
      <c r="A901" s="5">
        <v>840</v>
      </c>
      <c r="B901" s="1831">
        <f>'Expenditures 15-22'!F42</f>
        <v>16471</v>
      </c>
      <c r="C901" s="2" t="s">
        <v>568</v>
      </c>
      <c r="D901" s="2" t="str">
        <f t="shared" si="13"/>
        <v>Error?</v>
      </c>
    </row>
    <row r="902" spans="1:4" x14ac:dyDescent="0.2">
      <c r="A902" s="5">
        <v>841</v>
      </c>
      <c r="B902" s="1831">
        <f>'Expenditures 15-22'!F44</f>
        <v>255599</v>
      </c>
      <c r="D902" s="2" t="str">
        <f t="shared" si="13"/>
        <v>Error?</v>
      </c>
    </row>
    <row r="903" spans="1:4" x14ac:dyDescent="0.2">
      <c r="A903" s="5">
        <v>842</v>
      </c>
      <c r="B903" s="1831">
        <f>'Expenditures 15-22'!F45</f>
        <v>57821</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313420</v>
      </c>
      <c r="C905" s="2" t="s">
        <v>568</v>
      </c>
      <c r="D905" s="2" t="str">
        <f t="shared" si="13"/>
        <v>Error?</v>
      </c>
    </row>
    <row r="906" spans="1:4" x14ac:dyDescent="0.2">
      <c r="A906" s="5">
        <v>845</v>
      </c>
      <c r="B906" s="1831">
        <f>'Expenditures 15-22'!F49</f>
        <v>3304</v>
      </c>
      <c r="D906" s="2" t="str">
        <f t="shared" si="13"/>
        <v>Error?</v>
      </c>
    </row>
    <row r="907" spans="1:4" x14ac:dyDescent="0.2">
      <c r="A907" s="5">
        <v>846</v>
      </c>
      <c r="B907" s="1831">
        <f>'Expenditures 15-22'!F50</f>
        <v>17803</v>
      </c>
      <c r="D907" s="2" t="str">
        <f t="shared" si="13"/>
        <v>Error?</v>
      </c>
    </row>
    <row r="908" spans="1:4" x14ac:dyDescent="0.2">
      <c r="A908" s="5">
        <v>847</v>
      </c>
      <c r="B908" s="1831">
        <f>'Expenditures 15-22'!F53</f>
        <v>21161</v>
      </c>
      <c r="C908" s="2" t="s">
        <v>568</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568</v>
      </c>
      <c r="D911" s="2" t="str">
        <f t="shared" si="13"/>
        <v>Error?</v>
      </c>
    </row>
    <row r="912" spans="1:4" x14ac:dyDescent="0.2">
      <c r="A912" s="5">
        <v>851</v>
      </c>
      <c r="B912" s="1831">
        <f>'Expenditures 15-22'!F59</f>
        <v>11518</v>
      </c>
      <c r="D912" s="2" t="str">
        <f t="shared" si="13"/>
        <v>Error?</v>
      </c>
    </row>
    <row r="913" spans="1:4" x14ac:dyDescent="0.2">
      <c r="A913" s="5">
        <v>852</v>
      </c>
      <c r="B913" s="1831">
        <f>'Expenditures 15-22'!F60</f>
        <v>4660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2128563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2144741</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16230</v>
      </c>
      <c r="D922" s="2" t="str">
        <f t="shared" si="13"/>
        <v>Error?</v>
      </c>
    </row>
    <row r="923" spans="1:4" x14ac:dyDescent="0.2">
      <c r="A923" s="5">
        <v>862</v>
      </c>
      <c r="B923" s="1831">
        <f>'Expenditures 15-22'!F70</f>
        <v>42283</v>
      </c>
      <c r="D923" s="2" t="str">
        <f t="shared" si="13"/>
        <v>Error?</v>
      </c>
    </row>
    <row r="924" spans="1:4" x14ac:dyDescent="0.2">
      <c r="A924" s="10">
        <v>863</v>
      </c>
      <c r="B924" s="1831"/>
      <c r="D924" s="2" t="str">
        <f t="shared" si="13"/>
        <v>OK</v>
      </c>
    </row>
    <row r="925" spans="1:4" x14ac:dyDescent="0.2">
      <c r="A925" s="5">
        <v>864</v>
      </c>
      <c r="B925" s="1831">
        <f>'Expenditures 15-22'!F71</f>
        <v>1717905</v>
      </c>
      <c r="D925" s="2" t="str">
        <f t="shared" si="13"/>
        <v>Error?</v>
      </c>
    </row>
    <row r="926" spans="1:4" x14ac:dyDescent="0.2">
      <c r="A926" s="10">
        <v>865</v>
      </c>
      <c r="B926" s="1831"/>
      <c r="D926" s="2" t="str">
        <f t="shared" si="13"/>
        <v>OK</v>
      </c>
    </row>
    <row r="927" spans="1:4" x14ac:dyDescent="0.2">
      <c r="A927" s="5">
        <v>866</v>
      </c>
      <c r="B927" s="1831">
        <f>'Expenditures 15-22'!F72</f>
        <v>1776418</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4272211</v>
      </c>
      <c r="C929" s="2" t="s">
        <v>568</v>
      </c>
      <c r="D929" s="2" t="str">
        <f t="shared" si="13"/>
        <v>Error?</v>
      </c>
    </row>
    <row r="930" spans="1:4" x14ac:dyDescent="0.2">
      <c r="A930" s="5">
        <v>869</v>
      </c>
      <c r="B930" s="1831">
        <f>'Expenditures 15-22'!F75</f>
        <v>17611</v>
      </c>
      <c r="D930" s="2" t="str">
        <f t="shared" si="13"/>
        <v>Error?</v>
      </c>
    </row>
    <row r="931" spans="1:4" x14ac:dyDescent="0.2">
      <c r="A931" s="5">
        <v>870</v>
      </c>
      <c r="B931" s="1831">
        <f>'Expenditures 15-22'!F114</f>
        <v>6263170</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6990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15044</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22034</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23307</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23307</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23307</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45341</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19953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48274</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4517845</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5289</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5289</v>
      </c>
      <c r="C1021" s="2" t="s">
        <v>568</v>
      </c>
      <c r="D1021" s="2" t="str">
        <f t="shared" si="14"/>
        <v>Error?</v>
      </c>
    </row>
    <row r="1022" spans="1:4" x14ac:dyDescent="0.2">
      <c r="A1022" s="5">
        <v>961</v>
      </c>
      <c r="B1022" s="1831">
        <f>'Expenditures 15-22'!H49</f>
        <v>16468</v>
      </c>
      <c r="D1022" s="2" t="str">
        <f t="shared" si="14"/>
        <v>Error?</v>
      </c>
    </row>
    <row r="1023" spans="1:4" x14ac:dyDescent="0.2">
      <c r="A1023" s="5">
        <v>962</v>
      </c>
      <c r="B1023" s="1831">
        <f>'Expenditures 15-22'!H50</f>
        <v>11065</v>
      </c>
      <c r="D1023" s="2" t="str">
        <f t="shared" ref="D1023:D1086" si="15">IF(ISBLANK(B1023),"OK",IF(A1023-B1023=0,"OK","Error?"))</f>
        <v>Error?</v>
      </c>
    </row>
    <row r="1024" spans="1:4" x14ac:dyDescent="0.2">
      <c r="A1024" s="5">
        <v>963</v>
      </c>
      <c r="B1024" s="1831">
        <f>'Expenditures 15-22'!H53</f>
        <v>27673</v>
      </c>
      <c r="C1024" s="2" t="s">
        <v>568</v>
      </c>
      <c r="D1024" s="2" t="str">
        <f t="shared" si="15"/>
        <v>Error?</v>
      </c>
    </row>
    <row r="1025" spans="1:4" x14ac:dyDescent="0.2">
      <c r="A1025" s="5">
        <v>964</v>
      </c>
      <c r="B1025" s="1831">
        <f>'Expenditures 15-22'!H55</f>
        <v>15134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15134</v>
      </c>
      <c r="C1027" s="2" t="s">
        <v>568</v>
      </c>
      <c r="D1027" s="2" t="str">
        <f t="shared" si="15"/>
        <v>Error?</v>
      </c>
    </row>
    <row r="1028" spans="1:4" x14ac:dyDescent="0.2">
      <c r="A1028" s="5">
        <v>967</v>
      </c>
      <c r="B1028" s="1831">
        <f>'Expenditures 15-22'!H59</f>
        <v>7218</v>
      </c>
      <c r="D1028" s="2" t="str">
        <f t="shared" si="15"/>
        <v>Error?</v>
      </c>
    </row>
    <row r="1029" spans="1:4" x14ac:dyDescent="0.2">
      <c r="A1029" s="5">
        <v>968</v>
      </c>
      <c r="B1029" s="1831">
        <f>'Expenditures 15-22'!H60</f>
        <v>147504</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371</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155093</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735</v>
      </c>
      <c r="D1038" s="2" t="str">
        <f t="shared" si="15"/>
        <v>Error?</v>
      </c>
    </row>
    <row r="1039" spans="1:4" x14ac:dyDescent="0.2">
      <c r="A1039" s="5">
        <v>978</v>
      </c>
      <c r="B1039" s="1831">
        <f>'Expenditures 15-22'!H70</f>
        <v>10549</v>
      </c>
      <c r="D1039" s="2" t="str">
        <f t="shared" si="15"/>
        <v>Error?</v>
      </c>
    </row>
    <row r="1040" spans="1:4" x14ac:dyDescent="0.2">
      <c r="A1040" s="10">
        <v>979</v>
      </c>
      <c r="B1040" s="1831"/>
      <c r="D1040" s="2" t="str">
        <f t="shared" si="15"/>
        <v>OK</v>
      </c>
    </row>
    <row r="1041" spans="1:5" x14ac:dyDescent="0.2">
      <c r="A1041" s="5">
        <v>980</v>
      </c>
      <c r="B1041" s="1831">
        <f>'Expenditures 15-22'!H71</f>
        <v>600</v>
      </c>
      <c r="D1041" s="2" t="str">
        <f t="shared" si="15"/>
        <v>Error?</v>
      </c>
    </row>
    <row r="1042" spans="1:5" x14ac:dyDescent="0.2">
      <c r="A1042" s="10">
        <v>981</v>
      </c>
      <c r="B1042" s="1831"/>
      <c r="D1042" s="2" t="str">
        <f t="shared" si="15"/>
        <v>OK</v>
      </c>
    </row>
    <row r="1043" spans="1:5" x14ac:dyDescent="0.2">
      <c r="A1043" s="5">
        <v>982</v>
      </c>
      <c r="B1043" s="1831">
        <f>'Expenditures 15-22'!H72</f>
        <v>11884</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215073</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460382</v>
      </c>
      <c r="C1047" s="2" t="s">
        <v>568</v>
      </c>
      <c r="D1047" s="2" t="str">
        <f t="shared" si="15"/>
        <v>Error?</v>
      </c>
    </row>
    <row r="1048" spans="1:5" x14ac:dyDescent="0.2">
      <c r="A1048" s="5">
        <v>987</v>
      </c>
      <c r="B1048" s="1831">
        <f>'Expenditures 15-22'!H105</f>
        <v>37396</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37396</v>
      </c>
      <c r="C1053" s="2" t="s">
        <v>568</v>
      </c>
      <c r="D1053" s="2" t="str">
        <f t="shared" si="15"/>
        <v>Error?</v>
      </c>
    </row>
    <row r="1054" spans="1:5" x14ac:dyDescent="0.2">
      <c r="A1054" s="5">
        <v>993</v>
      </c>
      <c r="B1054" s="1831">
        <f>'Expenditures 15-22'!H114</f>
        <v>5230696</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1993</v>
      </c>
      <c r="E1056" s="4" t="s">
        <v>1992</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49109282</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1419161</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6241</v>
      </c>
      <c r="C1105" s="2" t="s">
        <v>568</v>
      </c>
      <c r="D1105" s="2" t="str">
        <f t="shared" si="16"/>
        <v>Error?</v>
      </c>
    </row>
    <row r="1106" spans="1:4" x14ac:dyDescent="0.2">
      <c r="A1106" s="5">
        <v>1045</v>
      </c>
      <c r="B1106" s="1831">
        <f>'Expenditures 15-22'!K14</f>
        <v>1071430</v>
      </c>
      <c r="C1106" s="2" t="s">
        <v>568</v>
      </c>
      <c r="D1106" s="2" t="str">
        <f t="shared" si="16"/>
        <v>Error?</v>
      </c>
    </row>
    <row r="1107" spans="1:4" x14ac:dyDescent="0.2">
      <c r="A1107" s="5">
        <v>1046</v>
      </c>
      <c r="B1107" s="1831">
        <f>'Expenditures 15-22'!K15</f>
        <v>168446</v>
      </c>
      <c r="C1107" s="2" t="s">
        <v>568</v>
      </c>
      <c r="D1107" s="2" t="str">
        <f t="shared" si="16"/>
        <v>Error?</v>
      </c>
    </row>
    <row r="1108" spans="1:4" x14ac:dyDescent="0.2">
      <c r="A1108" s="5">
        <v>1047</v>
      </c>
      <c r="B1108" s="1831">
        <f>'Expenditures 15-22'!K33</f>
        <v>83698204</v>
      </c>
      <c r="C1108" s="2" t="s">
        <v>568</v>
      </c>
      <c r="D1108" s="2" t="str">
        <f t="shared" si="16"/>
        <v>Error?</v>
      </c>
    </row>
    <row r="1109" spans="1:4" x14ac:dyDescent="0.2">
      <c r="A1109" s="5">
        <v>1048</v>
      </c>
      <c r="B1109" s="1831">
        <f>'Expenditures 15-22'!K36</f>
        <v>1494331</v>
      </c>
      <c r="C1109" s="2" t="s">
        <v>568</v>
      </c>
      <c r="D1109" s="2" t="str">
        <f t="shared" si="16"/>
        <v>Error?</v>
      </c>
    </row>
    <row r="1110" spans="1:4" x14ac:dyDescent="0.2">
      <c r="A1110" s="5">
        <v>1049</v>
      </c>
      <c r="B1110" s="1831">
        <f>'Expenditures 15-22'!K37</f>
        <v>1973462</v>
      </c>
      <c r="C1110" s="2" t="s">
        <v>568</v>
      </c>
      <c r="D1110" s="2" t="str">
        <f t="shared" si="16"/>
        <v>Error?</v>
      </c>
    </row>
    <row r="1111" spans="1:4" x14ac:dyDescent="0.2">
      <c r="A1111" s="5">
        <v>1050</v>
      </c>
      <c r="B1111" s="1831">
        <f>'Expenditures 15-22'!K38</f>
        <v>714392</v>
      </c>
      <c r="C1111" s="2" t="s">
        <v>568</v>
      </c>
      <c r="D1111" s="2" t="str">
        <f t="shared" si="16"/>
        <v>Error?</v>
      </c>
    </row>
    <row r="1112" spans="1:4" x14ac:dyDescent="0.2">
      <c r="A1112" s="5">
        <v>1051</v>
      </c>
      <c r="B1112" s="1831">
        <f>'Expenditures 15-22'!K39</f>
        <v>1164388</v>
      </c>
      <c r="C1112" s="2" t="s">
        <v>568</v>
      </c>
      <c r="D1112" s="2" t="str">
        <f t="shared" si="16"/>
        <v>Error?</v>
      </c>
    </row>
    <row r="1113" spans="1:4" x14ac:dyDescent="0.2">
      <c r="A1113" s="5">
        <v>1052</v>
      </c>
      <c r="B1113" s="1831">
        <f>'Expenditures 15-22'!K40</f>
        <v>621870</v>
      </c>
      <c r="C1113" s="2" t="s">
        <v>568</v>
      </c>
      <c r="D1113" s="2" t="str">
        <f t="shared" si="16"/>
        <v>Error?</v>
      </c>
    </row>
    <row r="1114" spans="1:4" x14ac:dyDescent="0.2">
      <c r="A1114" s="5">
        <v>1053</v>
      </c>
      <c r="B1114" s="1831">
        <f>'Expenditures 15-22'!K41</f>
        <v>4207</v>
      </c>
      <c r="C1114" s="2" t="s">
        <v>568</v>
      </c>
      <c r="D1114" s="2" t="str">
        <f t="shared" si="16"/>
        <v>Error?</v>
      </c>
    </row>
    <row r="1115" spans="1:4" x14ac:dyDescent="0.2">
      <c r="A1115" s="5">
        <v>1054</v>
      </c>
      <c r="B1115" s="1831">
        <f>'Expenditures 15-22'!K42</f>
        <v>5972650</v>
      </c>
      <c r="C1115" s="2" t="s">
        <v>568</v>
      </c>
      <c r="D1115" s="2" t="str">
        <f t="shared" si="16"/>
        <v>Error?</v>
      </c>
    </row>
    <row r="1116" spans="1:4" x14ac:dyDescent="0.2">
      <c r="A1116" s="5">
        <v>1055</v>
      </c>
      <c r="B1116" s="1831">
        <f>'Expenditures 15-22'!K44</f>
        <v>1956073</v>
      </c>
      <c r="C1116" s="2" t="s">
        <v>568</v>
      </c>
      <c r="D1116" s="2" t="str">
        <f t="shared" si="16"/>
        <v>Error?</v>
      </c>
    </row>
    <row r="1117" spans="1:4" x14ac:dyDescent="0.2">
      <c r="A1117" s="5">
        <v>1056</v>
      </c>
      <c r="B1117" s="1831">
        <f>'Expenditures 15-22'!K45</f>
        <v>1386930</v>
      </c>
      <c r="C1117" s="2" t="s">
        <v>568</v>
      </c>
      <c r="D1117" s="2" t="str">
        <f t="shared" si="16"/>
        <v>Error?</v>
      </c>
    </row>
    <row r="1118" spans="1:4" x14ac:dyDescent="0.2">
      <c r="A1118" s="5">
        <v>1057</v>
      </c>
      <c r="B1118" s="1831">
        <f>'Expenditures 15-22'!K46</f>
        <v>167489</v>
      </c>
      <c r="C1118" s="2" t="s">
        <v>568</v>
      </c>
      <c r="D1118" s="2" t="str">
        <f t="shared" si="16"/>
        <v>Error?</v>
      </c>
    </row>
    <row r="1119" spans="1:4" x14ac:dyDescent="0.2">
      <c r="A1119" s="5">
        <v>1058</v>
      </c>
      <c r="B1119" s="1831">
        <f>'Expenditures 15-22'!K47</f>
        <v>3510492</v>
      </c>
      <c r="C1119" s="2" t="s">
        <v>568</v>
      </c>
      <c r="D1119" s="2" t="str">
        <f t="shared" si="16"/>
        <v>Error?</v>
      </c>
    </row>
    <row r="1120" spans="1:4" x14ac:dyDescent="0.2">
      <c r="A1120" s="5">
        <v>1059</v>
      </c>
      <c r="B1120" s="1831">
        <f>'Expenditures 15-22'!K49</f>
        <v>112026</v>
      </c>
      <c r="C1120" s="2" t="s">
        <v>568</v>
      </c>
      <c r="D1120" s="2" t="str">
        <f t="shared" si="16"/>
        <v>Error?</v>
      </c>
    </row>
    <row r="1121" spans="1:4" x14ac:dyDescent="0.2">
      <c r="A1121" s="5">
        <v>1060</v>
      </c>
      <c r="B1121" s="1831">
        <f>'Expenditures 15-22'!K50</f>
        <v>463391</v>
      </c>
      <c r="C1121" s="2" t="s">
        <v>568</v>
      </c>
      <c r="D1121" s="2" t="str">
        <f t="shared" si="16"/>
        <v>Error?</v>
      </c>
    </row>
    <row r="1122" spans="1:4" x14ac:dyDescent="0.2">
      <c r="A1122" s="5">
        <v>1061</v>
      </c>
      <c r="B1122" s="1831">
        <f>'Expenditures 15-22'!K53</f>
        <v>867491</v>
      </c>
      <c r="C1122" s="2" t="s">
        <v>568</v>
      </c>
      <c r="D1122" s="2" t="str">
        <f t="shared" si="16"/>
        <v>Error?</v>
      </c>
    </row>
    <row r="1123" spans="1:4" x14ac:dyDescent="0.2">
      <c r="A1123" s="5">
        <v>1062</v>
      </c>
      <c r="B1123" s="1831">
        <f>'Expenditures 15-22'!K55</f>
        <v>6366972</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6366972</v>
      </c>
      <c r="C1125" s="2" t="s">
        <v>568</v>
      </c>
      <c r="D1125" s="2" t="str">
        <f t="shared" si="16"/>
        <v>Error?</v>
      </c>
    </row>
    <row r="1126" spans="1:4" x14ac:dyDescent="0.2">
      <c r="A1126" s="5">
        <v>1065</v>
      </c>
      <c r="B1126" s="1831">
        <f>'Expenditures 15-22'!K59</f>
        <v>188783</v>
      </c>
      <c r="C1126" s="2" t="s">
        <v>568</v>
      </c>
      <c r="D1126" s="2" t="str">
        <f t="shared" si="16"/>
        <v>Error?</v>
      </c>
    </row>
    <row r="1127" spans="1:4" x14ac:dyDescent="0.2">
      <c r="A1127" s="5">
        <v>1066</v>
      </c>
      <c r="B1127" s="1831">
        <f>'Expenditures 15-22'!K60</f>
        <v>574656</v>
      </c>
      <c r="C1127" s="2" t="s">
        <v>568</v>
      </c>
      <c r="D1127" s="2" t="str">
        <f t="shared" si="16"/>
        <v>Error?</v>
      </c>
    </row>
    <row r="1128" spans="1:4" x14ac:dyDescent="0.2">
      <c r="A1128" s="5">
        <v>1067</v>
      </c>
      <c r="B1128" s="1831">
        <f>'Expenditures 15-22'!K61</f>
        <v>0</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4955190</v>
      </c>
      <c r="C1130" s="2" t="s">
        <v>568</v>
      </c>
      <c r="D1130" s="2" t="str">
        <f t="shared" si="16"/>
        <v>Error?</v>
      </c>
    </row>
    <row r="1131" spans="1:4" x14ac:dyDescent="0.2">
      <c r="A1131" s="5">
        <v>1070</v>
      </c>
      <c r="B1131" s="1831">
        <f>'Expenditures 15-22'!K64</f>
        <v>329566</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6048195</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120956</v>
      </c>
      <c r="C1136" s="2" t="s">
        <v>568</v>
      </c>
      <c r="D1136" s="2" t="str">
        <f t="shared" si="16"/>
        <v>Error?</v>
      </c>
    </row>
    <row r="1137" spans="1:4" x14ac:dyDescent="0.2">
      <c r="A1137" s="5">
        <v>1076</v>
      </c>
      <c r="B1137" s="1831">
        <f>'Expenditures 15-22'!K70</f>
        <v>466438</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3079977</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3667371</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26433171</v>
      </c>
      <c r="C1143" s="2" t="s">
        <v>568</v>
      </c>
      <c r="D1143" s="2" t="str">
        <f t="shared" si="16"/>
        <v>Error?</v>
      </c>
    </row>
    <row r="1144" spans="1:4" x14ac:dyDescent="0.2">
      <c r="A1144" s="5">
        <v>1083</v>
      </c>
      <c r="B1144" s="1831">
        <f>'Expenditures 15-22'!K75</f>
        <v>623807</v>
      </c>
      <c r="C1144" s="2" t="s">
        <v>568</v>
      </c>
      <c r="D1144" s="2" t="str">
        <f t="shared" si="16"/>
        <v>Error?</v>
      </c>
    </row>
    <row r="1145" spans="1:4" x14ac:dyDescent="0.2">
      <c r="A1145" s="5">
        <v>1084</v>
      </c>
      <c r="B1145" s="1831">
        <f>'Expenditures 15-22'!K102</f>
        <v>589257</v>
      </c>
      <c r="C1145" s="2" t="s">
        <v>568</v>
      </c>
      <c r="D1145" s="2" t="str">
        <f t="shared" si="16"/>
        <v>Error?</v>
      </c>
    </row>
    <row r="1146" spans="1:4" x14ac:dyDescent="0.2">
      <c r="A1146" s="5">
        <v>1085</v>
      </c>
      <c r="B1146" s="1831">
        <f>'Expenditures 15-22'!K105</f>
        <v>37396</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37396</v>
      </c>
      <c r="C1151" s="2" t="s">
        <v>568</v>
      </c>
      <c r="D1151" s="2" t="str">
        <f t="shared" ref="D1151:D1214" si="17">IF(ISBLANK(B1151),"OK",IF(A1151-B1151=0,"OK","Error?"))</f>
        <v>Error?</v>
      </c>
    </row>
    <row r="1152" spans="1:4" x14ac:dyDescent="0.2">
      <c r="A1152" s="5">
        <v>1091</v>
      </c>
      <c r="B1152" s="1831">
        <f>'Expenditures 15-22'!K114</f>
        <v>111381835</v>
      </c>
      <c r="C1152" s="2" t="s">
        <v>568</v>
      </c>
      <c r="D1152" s="2" t="str">
        <f t="shared" si="17"/>
        <v>Error?</v>
      </c>
    </row>
    <row r="1153" spans="1:4" x14ac:dyDescent="0.2">
      <c r="A1153" s="5">
        <v>1092</v>
      </c>
      <c r="B1153" s="1831">
        <f>'Expenditures 15-22'!K115</f>
        <v>-14365191</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5828161</v>
      </c>
      <c r="D1221" s="2" t="str">
        <f t="shared" si="18"/>
        <v>Error?</v>
      </c>
    </row>
    <row r="1222" spans="1:4" x14ac:dyDescent="0.2">
      <c r="A1222" s="10">
        <v>1161</v>
      </c>
      <c r="B1222" s="1831"/>
      <c r="D1222" s="2" t="str">
        <f t="shared" si="18"/>
        <v>OK</v>
      </c>
    </row>
    <row r="1223" spans="1:4" x14ac:dyDescent="0.2">
      <c r="A1223" s="5">
        <v>1162</v>
      </c>
      <c r="B1223" s="1831">
        <f>'Expenditures 15-22'!C127</f>
        <v>5828161</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5828161</v>
      </c>
      <c r="C1225" s="2" t="s">
        <v>568</v>
      </c>
      <c r="D1225" s="2" t="str">
        <f t="shared" si="18"/>
        <v>Error?</v>
      </c>
    </row>
    <row r="1226" spans="1:4" x14ac:dyDescent="0.2">
      <c r="A1226" s="5">
        <v>1165</v>
      </c>
      <c r="B1226" s="1831">
        <f>'Expenditures 15-22'!C151</f>
        <v>5828161</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1028572</v>
      </c>
      <c r="D1229" s="2" t="str">
        <f t="shared" si="18"/>
        <v>Error?</v>
      </c>
    </row>
    <row r="1230" spans="1:4" x14ac:dyDescent="0.2">
      <c r="A1230" s="10">
        <v>1169</v>
      </c>
      <c r="B1230" s="1831"/>
      <c r="D1230" s="2" t="str">
        <f t="shared" si="18"/>
        <v>OK</v>
      </c>
    </row>
    <row r="1231" spans="1:4" x14ac:dyDescent="0.2">
      <c r="A1231" s="5">
        <v>1170</v>
      </c>
      <c r="B1231" s="1831">
        <f>'Expenditures 15-22'!D127</f>
        <v>1028572</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1028572</v>
      </c>
      <c r="C1233" s="2" t="s">
        <v>568</v>
      </c>
      <c r="D1233" s="2" t="str">
        <f t="shared" si="18"/>
        <v>Error?</v>
      </c>
    </row>
    <row r="1234" spans="1:4" x14ac:dyDescent="0.2">
      <c r="A1234" s="5">
        <v>1173</v>
      </c>
      <c r="B1234" s="1831">
        <f>'Expenditures 15-22'!D151</f>
        <v>1028572</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45593</v>
      </c>
      <c r="D1236" s="2" t="str">
        <f t="shared" si="18"/>
        <v>Error?</v>
      </c>
    </row>
    <row r="1237" spans="1:4" x14ac:dyDescent="0.2">
      <c r="A1237" s="5">
        <v>1176</v>
      </c>
      <c r="B1237" s="1831">
        <f>'Expenditures 15-22'!E124</f>
        <v>1178086</v>
      </c>
      <c r="D1237" s="2" t="str">
        <f t="shared" si="18"/>
        <v>Error?</v>
      </c>
    </row>
    <row r="1238" spans="1:4" x14ac:dyDescent="0.2">
      <c r="A1238" s="10">
        <v>1177</v>
      </c>
      <c r="B1238" s="1831"/>
      <c r="D1238" s="2" t="str">
        <f t="shared" si="18"/>
        <v>OK</v>
      </c>
    </row>
    <row r="1239" spans="1:4" x14ac:dyDescent="0.2">
      <c r="A1239" s="5">
        <v>1178</v>
      </c>
      <c r="B1239" s="1831">
        <f>'Expenditures 15-22'!E127</f>
        <v>1223679</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1223679</v>
      </c>
      <c r="C1241" s="2" t="s">
        <v>568</v>
      </c>
      <c r="D1241" s="2" t="str">
        <f t="shared" si="18"/>
        <v>Error?</v>
      </c>
    </row>
    <row r="1242" spans="1:4" x14ac:dyDescent="0.2">
      <c r="A1242" s="5">
        <v>1181</v>
      </c>
      <c r="B1242" s="1831">
        <f>'Expenditures 15-22'!E151</f>
        <v>1223679</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3366566</v>
      </c>
      <c r="D1245" s="2" t="str">
        <f t="shared" si="18"/>
        <v>Error?</v>
      </c>
    </row>
    <row r="1246" spans="1:4" x14ac:dyDescent="0.2">
      <c r="A1246" s="10">
        <v>1185</v>
      </c>
      <c r="B1246" s="1831"/>
      <c r="D1246" s="2" t="str">
        <f t="shared" si="18"/>
        <v>OK</v>
      </c>
    </row>
    <row r="1247" spans="1:4" x14ac:dyDescent="0.2">
      <c r="A1247" s="5">
        <v>1186</v>
      </c>
      <c r="B1247" s="1831">
        <f>'Expenditures 15-22'!F127</f>
        <v>3366566</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3367461</v>
      </c>
      <c r="C1249" s="2" t="s">
        <v>568</v>
      </c>
      <c r="D1249" s="2" t="str">
        <f t="shared" si="18"/>
        <v>Error?</v>
      </c>
    </row>
    <row r="1250" spans="1:4" x14ac:dyDescent="0.2">
      <c r="A1250" s="5">
        <v>1189</v>
      </c>
      <c r="B1250" s="1831">
        <f>'Expenditures 15-22'!F151</f>
        <v>3367461</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453289</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453289</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453289</v>
      </c>
      <c r="C1258" s="2" t="s">
        <v>568</v>
      </c>
      <c r="D1258" s="2" t="str">
        <f t="shared" si="18"/>
        <v>Error?</v>
      </c>
    </row>
    <row r="1259" spans="1:4" x14ac:dyDescent="0.2">
      <c r="A1259" s="5">
        <v>1198</v>
      </c>
      <c r="B1259" s="1831">
        <f>'Expenditures 15-22'!G151</f>
        <v>453289</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1151</v>
      </c>
      <c r="D1262" s="2" t="str">
        <f t="shared" si="18"/>
        <v>Error?</v>
      </c>
    </row>
    <row r="1263" spans="1:4" x14ac:dyDescent="0.2">
      <c r="A1263" s="10">
        <v>1202</v>
      </c>
      <c r="B1263" s="1831"/>
      <c r="D1263" s="2" t="str">
        <f t="shared" si="18"/>
        <v>OK</v>
      </c>
    </row>
    <row r="1264" spans="1:4" x14ac:dyDescent="0.2">
      <c r="A1264" s="5">
        <v>1203</v>
      </c>
      <c r="B1264" s="1831">
        <f>'Expenditures 15-22'!H127</f>
        <v>1151</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1151</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1151</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45593</v>
      </c>
      <c r="C1275" s="2" t="s">
        <v>568</v>
      </c>
      <c r="D1275" s="2" t="str">
        <f t="shared" si="18"/>
        <v>Error?</v>
      </c>
    </row>
    <row r="1276" spans="1:4" x14ac:dyDescent="0.2">
      <c r="A1276" s="5">
        <v>1215</v>
      </c>
      <c r="B1276" s="1831">
        <f>'Expenditures 15-22'!K124</f>
        <v>11896733</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11942326</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11943221</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11943221</v>
      </c>
      <c r="C1288" s="2" t="s">
        <v>568</v>
      </c>
      <c r="D1288" s="2" t="str">
        <f t="shared" si="19"/>
        <v>Error?</v>
      </c>
    </row>
    <row r="1289" spans="1:4" x14ac:dyDescent="0.2">
      <c r="A1289" s="5">
        <v>1228</v>
      </c>
      <c r="B1289" s="1831">
        <f>'Expenditures 15-22'!K152</f>
        <v>-430876</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4311925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27003453</v>
      </c>
      <c r="D1315" s="2" t="str">
        <f t="shared" si="19"/>
        <v>Error?</v>
      </c>
    </row>
    <row r="1316" spans="1:4" x14ac:dyDescent="0.2">
      <c r="A1316" s="5">
        <v>1255</v>
      </c>
      <c r="B1316" s="1831">
        <f>'Expenditures 15-22'!H171</f>
        <v>4879</v>
      </c>
      <c r="D1316" s="2" t="str">
        <f t="shared" si="19"/>
        <v>Error?</v>
      </c>
    </row>
    <row r="1317" spans="1:4" x14ac:dyDescent="0.2">
      <c r="A1317" s="5">
        <v>1256</v>
      </c>
      <c r="B1317" s="1831">
        <f>'Expenditures 15-22'!H172</f>
        <v>31320257</v>
      </c>
      <c r="C1317" s="2" t="s">
        <v>568</v>
      </c>
      <c r="D1317" s="2" t="str">
        <f t="shared" si="19"/>
        <v>Error?</v>
      </c>
    </row>
    <row r="1318" spans="1:4" x14ac:dyDescent="0.2">
      <c r="A1318" s="5">
        <v>1257</v>
      </c>
      <c r="B1318" s="1831">
        <f>'Expenditures 15-22'!H174</f>
        <v>31320257</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4311925</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27003453</v>
      </c>
      <c r="C1329" s="2" t="s">
        <v>568</v>
      </c>
      <c r="D1329" s="2" t="str">
        <f t="shared" si="19"/>
        <v>Error?</v>
      </c>
    </row>
    <row r="1330" spans="1:4" x14ac:dyDescent="0.2">
      <c r="A1330" s="5">
        <v>1269</v>
      </c>
      <c r="B1330" s="1831">
        <f>'Expenditures 15-22'!K171</f>
        <v>4879</v>
      </c>
      <c r="C1330" s="2" t="s">
        <v>568</v>
      </c>
      <c r="D1330" s="2" t="str">
        <f t="shared" si="19"/>
        <v>Error?</v>
      </c>
    </row>
    <row r="1331" spans="1:4" x14ac:dyDescent="0.2">
      <c r="A1331" s="5">
        <v>1270</v>
      </c>
      <c r="B1331" s="1831">
        <f>'Expenditures 15-22'!K172</f>
        <v>31320257</v>
      </c>
      <c r="C1331" s="2" t="s">
        <v>568</v>
      </c>
      <c r="D1331" s="2" t="str">
        <f t="shared" si="19"/>
        <v>Error?</v>
      </c>
    </row>
    <row r="1332" spans="1:4" x14ac:dyDescent="0.2">
      <c r="A1332" s="5">
        <v>1271</v>
      </c>
      <c r="B1332" s="1831">
        <f>'Expenditures 15-22'!K174</f>
        <v>31320257</v>
      </c>
      <c r="C1332" s="2" t="s">
        <v>568</v>
      </c>
      <c r="D1332" s="2" t="str">
        <f t="shared" si="19"/>
        <v>Error?</v>
      </c>
    </row>
    <row r="1333" spans="1:4" x14ac:dyDescent="0.2">
      <c r="A1333" s="5">
        <v>1272</v>
      </c>
      <c r="B1333" s="1831">
        <f>'Expenditures 15-22'!K175</f>
        <v>-4503033</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189928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189928</v>
      </c>
      <c r="C1339" s="2" t="s">
        <v>568</v>
      </c>
      <c r="D1339" s="2" t="str">
        <f t="shared" si="19"/>
        <v>Error?</v>
      </c>
    </row>
    <row r="1340" spans="1:4" x14ac:dyDescent="0.2">
      <c r="A1340" s="5">
        <v>1279</v>
      </c>
      <c r="B1340" s="1831">
        <f>'Expenditures 15-22'!C210</f>
        <v>189928</v>
      </c>
      <c r="C1340" s="2" t="s">
        <v>568</v>
      </c>
      <c r="D1340" s="2" t="str">
        <f t="shared" si="19"/>
        <v>Error?</v>
      </c>
    </row>
    <row r="1341" spans="1:4" x14ac:dyDescent="0.2">
      <c r="A1341" s="5">
        <v>1280</v>
      </c>
      <c r="B1341" s="1831">
        <f>'Expenditures 15-22'!D182</f>
        <v>28500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28500</v>
      </c>
      <c r="C1345" s="2" t="s">
        <v>568</v>
      </c>
      <c r="D1345" s="2" t="str">
        <f t="shared" si="20"/>
        <v>Error?</v>
      </c>
    </row>
    <row r="1346" spans="1:4" x14ac:dyDescent="0.2">
      <c r="A1346" s="5">
        <v>1285</v>
      </c>
      <c r="B1346" s="1831">
        <f>'Expenditures 15-22'!D210</f>
        <v>28500</v>
      </c>
      <c r="C1346" s="2" t="s">
        <v>568</v>
      </c>
      <c r="D1346" s="2" t="str">
        <f t="shared" si="20"/>
        <v>Error?</v>
      </c>
    </row>
    <row r="1347" spans="1:4" x14ac:dyDescent="0.2">
      <c r="A1347" s="5">
        <v>1286</v>
      </c>
      <c r="B1347" s="1831">
        <f>'Expenditures 15-22'!E182</f>
        <v>8729749</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8729749</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8729749</v>
      </c>
      <c r="C1353" s="2" t="s">
        <v>568</v>
      </c>
      <c r="D1353" s="2" t="str">
        <f t="shared" si="20"/>
        <v>Error?</v>
      </c>
    </row>
    <row r="1354" spans="1:4" x14ac:dyDescent="0.2">
      <c r="A1354" s="5">
        <v>1293</v>
      </c>
      <c r="B1354" s="1831">
        <f>'Expenditures 15-22'!F182</f>
        <v>859487</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859487</v>
      </c>
      <c r="C1358" s="2" t="s">
        <v>568</v>
      </c>
      <c r="D1358" s="2" t="str">
        <f t="shared" si="20"/>
        <v>Error?</v>
      </c>
    </row>
    <row r="1359" spans="1:4" x14ac:dyDescent="0.2">
      <c r="A1359" s="5">
        <v>1298</v>
      </c>
      <c r="B1359" s="1831">
        <f>'Expenditures 15-22'!F210</f>
        <v>859487</v>
      </c>
      <c r="C1359" s="2" t="s">
        <v>568</v>
      </c>
      <c r="D1359" s="2" t="str">
        <f t="shared" si="20"/>
        <v>Error?</v>
      </c>
    </row>
    <row r="1360" spans="1:4" x14ac:dyDescent="0.2">
      <c r="A1360" s="5">
        <v>1299</v>
      </c>
      <c r="B1360" s="1831">
        <f>'Expenditures 15-22'!G182</f>
        <v>367237</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367237</v>
      </c>
      <c r="C1364" s="2" t="s">
        <v>568</v>
      </c>
      <c r="D1364" s="2" t="str">
        <f t="shared" si="20"/>
        <v>Error?</v>
      </c>
    </row>
    <row r="1365" spans="1:4" x14ac:dyDescent="0.2">
      <c r="A1365" s="5">
        <v>1304</v>
      </c>
      <c r="B1365" s="1831">
        <f>'Expenditures 15-22'!G210</f>
        <v>367237</v>
      </c>
      <c r="C1365" s="2" t="s">
        <v>568</v>
      </c>
      <c r="D1365" s="2" t="str">
        <f t="shared" si="20"/>
        <v>Error?</v>
      </c>
    </row>
    <row r="1366" spans="1:4" x14ac:dyDescent="0.2">
      <c r="A1366" s="5">
        <v>1305</v>
      </c>
      <c r="B1366" s="1831">
        <f>'Expenditures 15-22'!H182</f>
        <v>1769</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1769</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486062</v>
      </c>
      <c r="C1375" s="2" t="s">
        <v>568</v>
      </c>
      <c r="D1375" s="2" t="str">
        <f t="shared" si="20"/>
        <v>Error?</v>
      </c>
    </row>
    <row r="1376" spans="1:4" x14ac:dyDescent="0.2">
      <c r="A1376" s="5">
        <v>1315</v>
      </c>
      <c r="B1376" s="1831">
        <f>'Expenditures 15-22'!H210</f>
        <v>487831</v>
      </c>
      <c r="C1376" s="2" t="s">
        <v>568</v>
      </c>
      <c r="D1376" s="2" t="str">
        <f t="shared" si="20"/>
        <v>Error?</v>
      </c>
    </row>
    <row r="1377" spans="1:4" x14ac:dyDescent="0.2">
      <c r="A1377" s="5">
        <v>1316</v>
      </c>
      <c r="B1377" s="1831">
        <f>'Expenditures 15-22'!K182</f>
        <v>10261853</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10261853</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486062</v>
      </c>
      <c r="C1387" s="2" t="s">
        <v>568</v>
      </c>
      <c r="D1387" s="2" t="str">
        <f t="shared" si="20"/>
        <v>Error?</v>
      </c>
    </row>
    <row r="1388" spans="1:4" x14ac:dyDescent="0.2">
      <c r="A1388" s="5">
        <v>1327</v>
      </c>
      <c r="B1388" s="1831">
        <f>'Expenditures 15-22'!K210</f>
        <v>10747915</v>
      </c>
      <c r="C1388" s="2" t="s">
        <v>568</v>
      </c>
      <c r="D1388" s="2" t="str">
        <f t="shared" si="20"/>
        <v>Error?</v>
      </c>
    </row>
    <row r="1389" spans="1:4" x14ac:dyDescent="0.2">
      <c r="A1389" s="5">
        <v>1328</v>
      </c>
      <c r="B1389" s="1831">
        <f>'Expenditures 15-22'!K211</f>
        <v>-187137</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19419</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25299</v>
      </c>
      <c r="D1408" s="2" t="str">
        <f t="shared" si="21"/>
        <v>Error?</v>
      </c>
    </row>
    <row r="1409" spans="1:4" x14ac:dyDescent="0.2">
      <c r="A1409" s="5">
        <v>1348</v>
      </c>
      <c r="B1409" s="1831">
        <f>'Expenditures 15-22'!D224</f>
        <v>14115</v>
      </c>
      <c r="D1409" s="2" t="str">
        <f t="shared" si="21"/>
        <v>Error?</v>
      </c>
    </row>
    <row r="1410" spans="1:4" x14ac:dyDescent="0.2">
      <c r="A1410" s="5">
        <v>1349</v>
      </c>
      <c r="B1410" s="1831">
        <f>'Expenditures 15-22'!D229</f>
        <v>2139379</v>
      </c>
      <c r="C1410" s="2" t="s">
        <v>568</v>
      </c>
      <c r="D1410" s="2" t="str">
        <f t="shared" si="21"/>
        <v>Error?</v>
      </c>
    </row>
    <row r="1411" spans="1:4" x14ac:dyDescent="0.2">
      <c r="A1411" s="5">
        <v>1350</v>
      </c>
      <c r="B1411" s="1831">
        <f>'Expenditures 15-22'!D232</f>
        <v>18269</v>
      </c>
      <c r="D1411" s="2" t="str">
        <f t="shared" si="21"/>
        <v>Error?</v>
      </c>
    </row>
    <row r="1412" spans="1:4" x14ac:dyDescent="0.2">
      <c r="A1412" s="5">
        <v>1351</v>
      </c>
      <c r="B1412" s="1831">
        <f>'Expenditures 15-22'!D233</f>
        <v>35516</v>
      </c>
      <c r="D1412" s="2" t="str">
        <f t="shared" si="21"/>
        <v>Error?</v>
      </c>
    </row>
    <row r="1413" spans="1:4" x14ac:dyDescent="0.2">
      <c r="A1413" s="5">
        <v>1352</v>
      </c>
      <c r="B1413" s="1831">
        <f>'Expenditures 15-22'!D234</f>
        <v>64549</v>
      </c>
      <c r="D1413" s="2" t="str">
        <f t="shared" si="21"/>
        <v>Error?</v>
      </c>
    </row>
    <row r="1414" spans="1:4" x14ac:dyDescent="0.2">
      <c r="A1414" s="5">
        <v>1353</v>
      </c>
      <c r="B1414" s="1831">
        <f>'Expenditures 15-22'!D235</f>
        <v>15413</v>
      </c>
      <c r="D1414" s="2" t="str">
        <f t="shared" si="21"/>
        <v>Error?</v>
      </c>
    </row>
    <row r="1415" spans="1:4" x14ac:dyDescent="0.2">
      <c r="A1415" s="5">
        <v>1354</v>
      </c>
      <c r="B1415" s="1831">
        <f>'Expenditures 15-22'!D236</f>
        <v>7561</v>
      </c>
      <c r="D1415" s="2" t="str">
        <f t="shared" si="21"/>
        <v>Error?</v>
      </c>
    </row>
    <row r="1416" spans="1:4" x14ac:dyDescent="0.2">
      <c r="A1416" s="5">
        <v>1355</v>
      </c>
      <c r="B1416" s="1831">
        <f>'Expenditures 15-22'!D237</f>
        <v>53</v>
      </c>
      <c r="D1416" s="2" t="str">
        <f t="shared" si="21"/>
        <v>Error?</v>
      </c>
    </row>
    <row r="1417" spans="1:4" x14ac:dyDescent="0.2">
      <c r="A1417" s="5">
        <v>1356</v>
      </c>
      <c r="B1417" s="1831">
        <f>'Expenditures 15-22'!D238</f>
        <v>141361</v>
      </c>
      <c r="C1417" s="2" t="s">
        <v>568</v>
      </c>
      <c r="D1417" s="2" t="str">
        <f t="shared" si="21"/>
        <v>Error?</v>
      </c>
    </row>
    <row r="1418" spans="1:4" x14ac:dyDescent="0.2">
      <c r="A1418" s="5">
        <v>1357</v>
      </c>
      <c r="B1418" s="1831">
        <f>'Expenditures 15-22'!D240</f>
        <v>36705</v>
      </c>
      <c r="D1418" s="2" t="str">
        <f t="shared" si="21"/>
        <v>Error?</v>
      </c>
    </row>
    <row r="1419" spans="1:4" x14ac:dyDescent="0.2">
      <c r="A1419" s="5">
        <v>1358</v>
      </c>
      <c r="B1419" s="1831">
        <f>'Expenditures 15-22'!D241</f>
        <v>19172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55877</v>
      </c>
      <c r="C1421" s="2" t="s">
        <v>568</v>
      </c>
      <c r="D1421" s="2" t="str">
        <f t="shared" si="21"/>
        <v>Error?</v>
      </c>
    </row>
    <row r="1422" spans="1:4" x14ac:dyDescent="0.2">
      <c r="A1422" s="5">
        <v>1361</v>
      </c>
      <c r="B1422" s="1831">
        <f>'Expenditures 15-22'!D245</f>
        <v>1240</v>
      </c>
      <c r="D1422" s="2" t="str">
        <f t="shared" si="21"/>
        <v>Error?</v>
      </c>
    </row>
    <row r="1423" spans="1:4" x14ac:dyDescent="0.2">
      <c r="A1423" s="5">
        <v>1362</v>
      </c>
      <c r="B1423" s="1831">
        <f>'Expenditures 15-22'!D246</f>
        <v>19542</v>
      </c>
      <c r="D1423" s="2" t="str">
        <f t="shared" si="21"/>
        <v>Error?</v>
      </c>
    </row>
    <row r="1424" spans="1:4" x14ac:dyDescent="0.2">
      <c r="A1424" s="5">
        <v>1363</v>
      </c>
      <c r="B1424" s="1831">
        <f>'Expenditures 15-22'!D257</f>
        <v>75874</v>
      </c>
      <c r="C1424" s="2" t="s">
        <v>568</v>
      </c>
      <c r="D1424" s="2" t="str">
        <f t="shared" si="21"/>
        <v>Error?</v>
      </c>
    </row>
    <row r="1425" spans="1:4" x14ac:dyDescent="0.2">
      <c r="A1425" s="5">
        <v>1364</v>
      </c>
      <c r="B1425" s="1831">
        <f>'Expenditures 15-22'!D259</f>
        <v>350513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350513</v>
      </c>
      <c r="C1427" s="2" t="s">
        <v>568</v>
      </c>
      <c r="D1427" s="2" t="str">
        <f t="shared" si="21"/>
        <v>Error?</v>
      </c>
    </row>
    <row r="1428" spans="1:4" x14ac:dyDescent="0.2">
      <c r="A1428" s="5">
        <v>1367</v>
      </c>
      <c r="B1428" s="1831">
        <f>'Expenditures 15-22'!D263</f>
        <v>30641</v>
      </c>
      <c r="D1428" s="2" t="str">
        <f t="shared" si="21"/>
        <v>Error?</v>
      </c>
    </row>
    <row r="1429" spans="1:4" x14ac:dyDescent="0.2">
      <c r="A1429" s="5">
        <v>1368</v>
      </c>
      <c r="B1429" s="1831">
        <f>'Expenditures 15-22'!D264</f>
        <v>65568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981849</v>
      </c>
      <c r="D1431" s="2" t="str">
        <f t="shared" si="21"/>
        <v>Error?</v>
      </c>
    </row>
    <row r="1432" spans="1:4" x14ac:dyDescent="0.2">
      <c r="A1432" s="5">
        <v>1371</v>
      </c>
      <c r="B1432" s="1831">
        <f>'Expenditures 15-22'!D267</f>
        <v>30862</v>
      </c>
      <c r="D1432" s="2" t="str">
        <f t="shared" si="21"/>
        <v>Error?</v>
      </c>
    </row>
    <row r="1433" spans="1:4" x14ac:dyDescent="0.2">
      <c r="A1433" s="5">
        <v>1372</v>
      </c>
      <c r="B1433" s="1831">
        <f>'Expenditures 15-22'!D268</f>
        <v>375830</v>
      </c>
      <c r="D1433" s="2" t="str">
        <f t="shared" si="21"/>
        <v>Error?</v>
      </c>
    </row>
    <row r="1434" spans="1:4" x14ac:dyDescent="0.2">
      <c r="A1434" s="5">
        <v>1373</v>
      </c>
      <c r="B1434" s="1831">
        <f>'Expenditures 15-22'!D269</f>
        <v>10617</v>
      </c>
      <c r="D1434" s="2" t="str">
        <f t="shared" si="21"/>
        <v>Error?</v>
      </c>
    </row>
    <row r="1435" spans="1:4" x14ac:dyDescent="0.2">
      <c r="A1435" s="10">
        <v>1374</v>
      </c>
      <c r="B1435" s="1831"/>
      <c r="D1435" s="2" t="str">
        <f t="shared" si="21"/>
        <v>OK</v>
      </c>
    </row>
    <row r="1436" spans="1:4" x14ac:dyDescent="0.2">
      <c r="A1436" s="5">
        <v>1375</v>
      </c>
      <c r="B1436" s="1831">
        <f>'Expenditures 15-22'!D270</f>
        <v>1495367</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16328</v>
      </c>
      <c r="D1439" s="2" t="str">
        <f t="shared" si="21"/>
        <v>Error?</v>
      </c>
    </row>
    <row r="1440" spans="1:4" x14ac:dyDescent="0.2">
      <c r="A1440" s="5">
        <v>1379</v>
      </c>
      <c r="B1440" s="1831">
        <f>'Expenditures 15-22'!D275</f>
        <v>51518</v>
      </c>
      <c r="D1440" s="2" t="str">
        <f t="shared" si="21"/>
        <v>Error?</v>
      </c>
    </row>
    <row r="1441" spans="1:4" x14ac:dyDescent="0.2">
      <c r="A1441" s="10">
        <v>1380</v>
      </c>
      <c r="B1441" s="1831"/>
      <c r="D1441" s="2" t="str">
        <f t="shared" si="21"/>
        <v>OK</v>
      </c>
    </row>
    <row r="1442" spans="1:4" x14ac:dyDescent="0.2">
      <c r="A1442" s="5">
        <v>1381</v>
      </c>
      <c r="B1442" s="1831">
        <f>'Expenditures 15-22'!D276</f>
        <v>155286</v>
      </c>
      <c r="D1442" s="2" t="str">
        <f t="shared" si="21"/>
        <v>Error?</v>
      </c>
    </row>
    <row r="1443" spans="1:4" x14ac:dyDescent="0.2">
      <c r="A1443" s="10">
        <v>1382</v>
      </c>
      <c r="B1443" s="1831"/>
      <c r="D1443" s="2" t="str">
        <f t="shared" si="21"/>
        <v>OK</v>
      </c>
    </row>
    <row r="1444" spans="1:4" x14ac:dyDescent="0.2">
      <c r="A1444" s="5">
        <v>1383</v>
      </c>
      <c r="B1444" s="1831">
        <f>'Expenditures 15-22'!D277</f>
        <v>223132</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2342124</v>
      </c>
      <c r="C1446" s="2" t="s">
        <v>568</v>
      </c>
      <c r="D1446" s="2" t="str">
        <f t="shared" si="21"/>
        <v>Error?</v>
      </c>
    </row>
    <row r="1447" spans="1:4" x14ac:dyDescent="0.2">
      <c r="A1447" s="5">
        <v>1386</v>
      </c>
      <c r="B1447" s="1831">
        <f>'Expenditures 15-22'!D280</f>
        <v>62361</v>
      </c>
      <c r="D1447" s="2" t="str">
        <f t="shared" si="21"/>
        <v>Error?</v>
      </c>
    </row>
    <row r="1448" spans="1:4" x14ac:dyDescent="0.2">
      <c r="A1448" s="5">
        <v>1387</v>
      </c>
      <c r="B1448" s="1831">
        <f>'Expenditures 15-22'!D295</f>
        <v>4543864</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19419</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25299</v>
      </c>
      <c r="C1472" s="2" t="s">
        <v>568</v>
      </c>
      <c r="D1472" s="2" t="str">
        <f t="shared" si="22"/>
        <v>Error?</v>
      </c>
    </row>
    <row r="1473" spans="1:4" x14ac:dyDescent="0.2">
      <c r="A1473" s="5">
        <v>1412</v>
      </c>
      <c r="B1473" s="1831">
        <f>'Expenditures 15-22'!K224</f>
        <v>14115</v>
      </c>
      <c r="C1473" s="2" t="s">
        <v>568</v>
      </c>
      <c r="D1473" s="2" t="str">
        <f t="shared" si="22"/>
        <v>Error?</v>
      </c>
    </row>
    <row r="1474" spans="1:4" x14ac:dyDescent="0.2">
      <c r="A1474" s="5">
        <v>1413</v>
      </c>
      <c r="B1474" s="1831">
        <f>'Expenditures 15-22'!K229</f>
        <v>2139379</v>
      </c>
      <c r="C1474" s="2" t="s">
        <v>568</v>
      </c>
      <c r="D1474" s="2" t="str">
        <f t="shared" si="22"/>
        <v>Error?</v>
      </c>
    </row>
    <row r="1475" spans="1:4" x14ac:dyDescent="0.2">
      <c r="A1475" s="5">
        <v>1414</v>
      </c>
      <c r="B1475" s="1831">
        <f>'Expenditures 15-22'!K232</f>
        <v>18269</v>
      </c>
      <c r="C1475" s="2" t="s">
        <v>568</v>
      </c>
      <c r="D1475" s="2" t="str">
        <f t="shared" si="22"/>
        <v>Error?</v>
      </c>
    </row>
    <row r="1476" spans="1:4" x14ac:dyDescent="0.2">
      <c r="A1476" s="5">
        <v>1415</v>
      </c>
      <c r="B1476" s="1831">
        <f>'Expenditures 15-22'!K233</f>
        <v>35516</v>
      </c>
      <c r="C1476" s="2" t="s">
        <v>568</v>
      </c>
      <c r="D1476" s="2" t="str">
        <f t="shared" si="22"/>
        <v>Error?</v>
      </c>
    </row>
    <row r="1477" spans="1:4" x14ac:dyDescent="0.2">
      <c r="A1477" s="5">
        <v>1416</v>
      </c>
      <c r="B1477" s="1831">
        <f>'Expenditures 15-22'!K234</f>
        <v>64549</v>
      </c>
      <c r="C1477" s="2" t="s">
        <v>568</v>
      </c>
      <c r="D1477" s="2" t="str">
        <f t="shared" si="22"/>
        <v>Error?</v>
      </c>
    </row>
    <row r="1478" spans="1:4" x14ac:dyDescent="0.2">
      <c r="A1478" s="5">
        <v>1417</v>
      </c>
      <c r="B1478" s="1831">
        <f>'Expenditures 15-22'!K235</f>
        <v>15413</v>
      </c>
      <c r="C1478" s="2" t="s">
        <v>568</v>
      </c>
      <c r="D1478" s="2" t="str">
        <f t="shared" si="22"/>
        <v>Error?</v>
      </c>
    </row>
    <row r="1479" spans="1:4" x14ac:dyDescent="0.2">
      <c r="A1479" s="5">
        <v>1418</v>
      </c>
      <c r="B1479" s="1831">
        <f>'Expenditures 15-22'!K236</f>
        <v>7561</v>
      </c>
      <c r="C1479" s="2" t="s">
        <v>568</v>
      </c>
      <c r="D1479" s="2" t="str">
        <f t="shared" si="22"/>
        <v>Error?</v>
      </c>
    </row>
    <row r="1480" spans="1:4" x14ac:dyDescent="0.2">
      <c r="A1480" s="5">
        <v>1419</v>
      </c>
      <c r="B1480" s="1831">
        <f>'Expenditures 15-22'!K237</f>
        <v>53</v>
      </c>
      <c r="C1480" s="2" t="s">
        <v>568</v>
      </c>
      <c r="D1480" s="2" t="str">
        <f t="shared" si="22"/>
        <v>Error?</v>
      </c>
    </row>
    <row r="1481" spans="1:4" x14ac:dyDescent="0.2">
      <c r="A1481" s="5">
        <v>1420</v>
      </c>
      <c r="B1481" s="1831">
        <f>'Expenditures 15-22'!K238</f>
        <v>141361</v>
      </c>
      <c r="C1481" s="2" t="s">
        <v>568</v>
      </c>
      <c r="D1481" s="2" t="str">
        <f t="shared" si="22"/>
        <v>Error?</v>
      </c>
    </row>
    <row r="1482" spans="1:4" x14ac:dyDescent="0.2">
      <c r="A1482" s="5">
        <v>1421</v>
      </c>
      <c r="B1482" s="1831">
        <f>'Expenditures 15-22'!K240</f>
        <v>36705</v>
      </c>
      <c r="C1482" s="2" t="s">
        <v>568</v>
      </c>
      <c r="D1482" s="2" t="str">
        <f t="shared" si="22"/>
        <v>Error?</v>
      </c>
    </row>
    <row r="1483" spans="1:4" x14ac:dyDescent="0.2">
      <c r="A1483" s="5">
        <v>1422</v>
      </c>
      <c r="B1483" s="1831">
        <f>'Expenditures 15-22'!K241</f>
        <v>19172</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55877</v>
      </c>
      <c r="C1485" s="2" t="s">
        <v>568</v>
      </c>
      <c r="D1485" s="2" t="str">
        <f t="shared" si="22"/>
        <v>Error?</v>
      </c>
    </row>
    <row r="1486" spans="1:4" x14ac:dyDescent="0.2">
      <c r="A1486" s="5">
        <v>1425</v>
      </c>
      <c r="B1486" s="1831">
        <f>'Expenditures 15-22'!K245</f>
        <v>1240</v>
      </c>
      <c r="C1486" s="2" t="s">
        <v>568</v>
      </c>
      <c r="D1486" s="2" t="str">
        <f t="shared" si="22"/>
        <v>Error?</v>
      </c>
    </row>
    <row r="1487" spans="1:4" x14ac:dyDescent="0.2">
      <c r="A1487" s="5">
        <v>1426</v>
      </c>
      <c r="B1487" s="1831">
        <f>'Expenditures 15-22'!K246</f>
        <v>19542</v>
      </c>
      <c r="C1487" s="2" t="s">
        <v>568</v>
      </c>
      <c r="D1487" s="2" t="str">
        <f t="shared" si="22"/>
        <v>Error?</v>
      </c>
    </row>
    <row r="1488" spans="1:4" x14ac:dyDescent="0.2">
      <c r="A1488" s="5">
        <v>1427</v>
      </c>
      <c r="B1488" s="1831">
        <f>'Expenditures 15-22'!K257</f>
        <v>75874</v>
      </c>
      <c r="C1488" s="2" t="s">
        <v>568</v>
      </c>
      <c r="D1488" s="2" t="str">
        <f t="shared" si="22"/>
        <v>Error?</v>
      </c>
    </row>
    <row r="1489" spans="1:4" x14ac:dyDescent="0.2">
      <c r="A1489" s="5">
        <v>1428</v>
      </c>
      <c r="B1489" s="1831">
        <f>'Expenditures 15-22'!K259</f>
        <v>350513</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350513</v>
      </c>
      <c r="C1491" s="2" t="s">
        <v>568</v>
      </c>
      <c r="D1491" s="2" t="str">
        <f t="shared" si="22"/>
        <v>Error?</v>
      </c>
    </row>
    <row r="1492" spans="1:4" x14ac:dyDescent="0.2">
      <c r="A1492" s="5">
        <v>1431</v>
      </c>
      <c r="B1492" s="1831">
        <f>'Expenditures 15-22'!K263</f>
        <v>30641</v>
      </c>
      <c r="C1492" s="2" t="s">
        <v>568</v>
      </c>
      <c r="D1492" s="2" t="str">
        <f t="shared" si="22"/>
        <v>Error?</v>
      </c>
    </row>
    <row r="1493" spans="1:4" x14ac:dyDescent="0.2">
      <c r="A1493" s="5">
        <v>1432</v>
      </c>
      <c r="B1493" s="1831">
        <f>'Expenditures 15-22'!K264</f>
        <v>65568</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981849</v>
      </c>
      <c r="C1495" s="2" t="s">
        <v>568</v>
      </c>
      <c r="D1495" s="2" t="str">
        <f t="shared" si="22"/>
        <v>Error?</v>
      </c>
    </row>
    <row r="1496" spans="1:4" x14ac:dyDescent="0.2">
      <c r="A1496" s="5">
        <v>1435</v>
      </c>
      <c r="B1496" s="1831">
        <f>'Expenditures 15-22'!K267</f>
        <v>30862</v>
      </c>
      <c r="C1496" s="2" t="s">
        <v>568</v>
      </c>
      <c r="D1496" s="2" t="str">
        <f t="shared" si="22"/>
        <v>Error?</v>
      </c>
    </row>
    <row r="1497" spans="1:4" x14ac:dyDescent="0.2">
      <c r="A1497" s="5">
        <v>1436</v>
      </c>
      <c r="B1497" s="1831">
        <f>'Expenditures 15-22'!K268</f>
        <v>375830</v>
      </c>
      <c r="C1497" s="2" t="s">
        <v>568</v>
      </c>
      <c r="D1497" s="2" t="str">
        <f t="shared" si="22"/>
        <v>Error?</v>
      </c>
    </row>
    <row r="1498" spans="1:4" x14ac:dyDescent="0.2">
      <c r="A1498" s="5">
        <v>1437</v>
      </c>
      <c r="B1498" s="1831">
        <f>'Expenditures 15-22'!K269</f>
        <v>10617</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1495367</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16328</v>
      </c>
      <c r="C1503" s="2" t="s">
        <v>568</v>
      </c>
      <c r="D1503" s="2" t="str">
        <f t="shared" si="22"/>
        <v>Error?</v>
      </c>
    </row>
    <row r="1504" spans="1:4" x14ac:dyDescent="0.2">
      <c r="A1504" s="5">
        <v>1443</v>
      </c>
      <c r="B1504" s="1831">
        <f>'Expenditures 15-22'!K275</f>
        <v>51518</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155286</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223132</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2342124</v>
      </c>
      <c r="C1510" s="2" t="s">
        <v>568</v>
      </c>
      <c r="D1510" s="2" t="str">
        <f t="shared" si="22"/>
        <v>Error?</v>
      </c>
    </row>
    <row r="1511" spans="1:4" x14ac:dyDescent="0.2">
      <c r="A1511" s="5">
        <v>1450</v>
      </c>
      <c r="B1511" s="1831">
        <f>'Expenditures 15-22'!K280</f>
        <v>62361</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4543864</v>
      </c>
      <c r="C1517" s="2" t="s">
        <v>568</v>
      </c>
      <c r="D1517" s="2" t="str">
        <f t="shared" si="22"/>
        <v>Error?</v>
      </c>
    </row>
    <row r="1518" spans="1:4" x14ac:dyDescent="0.2">
      <c r="A1518" s="5">
        <v>1457</v>
      </c>
      <c r="B1518" s="1831">
        <f>'Expenditures 15-22'!K296</f>
        <v>-471325</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10636750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5622235</v>
      </c>
      <c r="C1630" s="2" t="s">
        <v>568</v>
      </c>
      <c r="D1630" s="2" t="str">
        <f t="shared" si="24"/>
        <v>Error?</v>
      </c>
    </row>
    <row r="1631" spans="1:4" x14ac:dyDescent="0.2">
      <c r="A1631" s="5">
        <v>1570</v>
      </c>
      <c r="B1631" s="1831">
        <f>'Acct Summary 7-8'!D79</f>
        <v>1351094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250377</v>
      </c>
      <c r="C1644" s="2" t="s">
        <v>568</v>
      </c>
      <c r="D1644" s="2" t="str">
        <f t="shared" si="24"/>
        <v>Error?</v>
      </c>
    </row>
    <row r="1645" spans="1:4" x14ac:dyDescent="0.2">
      <c r="A1645" s="5">
        <v>1584</v>
      </c>
      <c r="B1645" s="1831">
        <f>'Acct Summary 7-8'!E79</f>
        <v>15777743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12476694</v>
      </c>
      <c r="C1658" s="2" t="s">
        <v>568</v>
      </c>
      <c r="D1658" s="2" t="str">
        <f t="shared" si="24"/>
        <v>Error?</v>
      </c>
    </row>
    <row r="1659" spans="1:4" x14ac:dyDescent="0.2">
      <c r="A1659" s="5">
        <v>1598</v>
      </c>
      <c r="B1659" s="1831">
        <f>'Acct Summary 7-8'!F79</f>
        <v>834824</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648987</v>
      </c>
      <c r="C1672" s="2" t="s">
        <v>568</v>
      </c>
      <c r="D1672" s="2" t="str">
        <f t="shared" si="25"/>
        <v>Error?</v>
      </c>
    </row>
    <row r="1673" spans="1:4" x14ac:dyDescent="0.2">
      <c r="A1673" s="5">
        <v>1612</v>
      </c>
      <c r="B1673" s="1831">
        <f>'Acct Summary 7-8'!G79</f>
        <v>2115370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1644045</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54813514</v>
      </c>
      <c r="C1744" s="2" t="s">
        <v>568</v>
      </c>
      <c r="D1744" s="2" t="str">
        <f t="shared" si="26"/>
        <v>Error?</v>
      </c>
    </row>
    <row r="1745" spans="1:5" x14ac:dyDescent="0.2">
      <c r="A1745" s="5">
        <v>1684</v>
      </c>
      <c r="B1745" s="1831">
        <f>'Tax Sched 23'!B5</f>
        <v>10075984</v>
      </c>
      <c r="C1745" s="2" t="s">
        <v>568</v>
      </c>
      <c r="D1745" s="2" t="str">
        <f t="shared" si="26"/>
        <v>Error?</v>
      </c>
    </row>
    <row r="1746" spans="1:5" x14ac:dyDescent="0.2">
      <c r="A1746" s="5">
        <v>1685</v>
      </c>
      <c r="B1746" s="1831">
        <f>'Tax Sched 23'!B6</f>
        <v>26687987</v>
      </c>
      <c r="C1746" s="2" t="s">
        <v>568</v>
      </c>
      <c r="D1746" s="2" t="str">
        <f t="shared" si="26"/>
        <v>Error?</v>
      </c>
    </row>
    <row r="1747" spans="1:5" x14ac:dyDescent="0.2">
      <c r="A1747" s="5">
        <v>1686</v>
      </c>
      <c r="B1747" s="1831">
        <f>'Tax Sched 23'!B7</f>
        <v>4030363</v>
      </c>
      <c r="C1747" s="2" t="s">
        <v>568</v>
      </c>
      <c r="D1747" s="2" t="str">
        <f t="shared" si="26"/>
        <v>Error?</v>
      </c>
    </row>
    <row r="1748" spans="1:5" x14ac:dyDescent="0.2">
      <c r="A1748" s="5">
        <v>1687</v>
      </c>
      <c r="B1748" s="1831">
        <f>'Tax Sched 23'!B8</f>
        <v>1662963</v>
      </c>
      <c r="C1748" s="2" t="s">
        <v>568</v>
      </c>
      <c r="D1748" s="2" t="str">
        <f t="shared" si="26"/>
        <v>Error?</v>
      </c>
    </row>
    <row r="1749" spans="1:5" x14ac:dyDescent="0.2">
      <c r="A1749" s="5">
        <v>1688</v>
      </c>
      <c r="B1749" s="1831">
        <f>'Tax Sched 23'!B10</f>
        <v>1007578</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4999209</v>
      </c>
      <c r="C1752" s="2" t="s">
        <v>568</v>
      </c>
      <c r="D1752" s="2" t="str">
        <f t="shared" si="26"/>
        <v>Error?</v>
      </c>
    </row>
    <row r="1753" spans="1:5" x14ac:dyDescent="0.2">
      <c r="A1753" s="5">
        <v>1692</v>
      </c>
      <c r="B1753" s="1831">
        <f>'Tax Sched 23'!B12</f>
        <v>1007578</v>
      </c>
      <c r="C1753" s="2" t="s">
        <v>568</v>
      </c>
      <c r="D1753" s="2" t="str">
        <f t="shared" si="26"/>
        <v>Error?</v>
      </c>
    </row>
    <row r="1754" spans="1:5" x14ac:dyDescent="0.2">
      <c r="A1754" s="5">
        <v>1693</v>
      </c>
      <c r="B1754" s="1831">
        <f>'Tax Sched 23'!B14</f>
        <v>806049</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108310505</v>
      </c>
      <c r="C1759" s="2" t="s">
        <v>568</v>
      </c>
      <c r="D1759" s="2" t="str">
        <f t="shared" si="26"/>
        <v>Error?</v>
      </c>
    </row>
    <row r="1760" spans="1:5" x14ac:dyDescent="0.2">
      <c r="A1760" s="5">
        <v>1699</v>
      </c>
      <c r="B1760" s="1831">
        <f>'Tax Sched 23'!D4</f>
        <v>28897382</v>
      </c>
      <c r="C1760" s="2" t="s">
        <v>568</v>
      </c>
      <c r="D1760" s="2" t="str">
        <f t="shared" si="26"/>
        <v>Error?</v>
      </c>
    </row>
    <row r="1761" spans="1:7" x14ac:dyDescent="0.2">
      <c r="A1761" s="5">
        <v>1700</v>
      </c>
      <c r="B1761" s="1831">
        <f>'Tax Sched 23'!D5</f>
        <v>5311989</v>
      </c>
      <c r="C1761" s="2" t="s">
        <v>568</v>
      </c>
      <c r="D1761" s="2" t="str">
        <f t="shared" si="26"/>
        <v>Error?</v>
      </c>
    </row>
    <row r="1762" spans="1:7" s="8" customFormat="1" x14ac:dyDescent="0.2">
      <c r="A1762" s="5">
        <v>1701</v>
      </c>
      <c r="B1762" s="1831">
        <f>'Tax Sched 23'!D6</f>
        <v>14319227</v>
      </c>
      <c r="C1762" s="2" t="s">
        <v>568</v>
      </c>
      <c r="D1762" s="2" t="str">
        <f t="shared" si="26"/>
        <v>Error?</v>
      </c>
      <c r="E1762" s="9"/>
      <c r="G1762"/>
    </row>
    <row r="1763" spans="1:7" x14ac:dyDescent="0.2">
      <c r="A1763" s="5">
        <v>1702</v>
      </c>
      <c r="B1763" s="1831">
        <f>'Tax Sched 23'!D7</f>
        <v>2124765</v>
      </c>
      <c r="C1763" s="2" t="s">
        <v>568</v>
      </c>
      <c r="D1763" s="2" t="str">
        <f t="shared" si="26"/>
        <v>Error?</v>
      </c>
    </row>
    <row r="1764" spans="1:7" x14ac:dyDescent="0.2">
      <c r="A1764" s="5">
        <v>1703</v>
      </c>
      <c r="B1764" s="1831">
        <f>'Tax Sched 23'!D8</f>
        <v>903487</v>
      </c>
      <c r="C1764" s="2" t="s">
        <v>568</v>
      </c>
      <c r="D1764" s="2" t="str">
        <f t="shared" si="26"/>
        <v>Error?</v>
      </c>
    </row>
    <row r="1765" spans="1:7" x14ac:dyDescent="0.2">
      <c r="A1765" s="5">
        <v>1704</v>
      </c>
      <c r="B1765" s="1831">
        <f>'Tax Sched 23'!D10</f>
        <v>531179</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2615306</v>
      </c>
      <c r="C1768" s="2" t="s">
        <v>568</v>
      </c>
      <c r="D1768" s="2" t="str">
        <f t="shared" si="26"/>
        <v>Error?</v>
      </c>
    </row>
    <row r="1769" spans="1:7" x14ac:dyDescent="0.2">
      <c r="A1769" s="5">
        <v>1708</v>
      </c>
      <c r="B1769" s="1831">
        <f>'Tax Sched 23'!D12</f>
        <v>531179</v>
      </c>
      <c r="C1769" s="2" t="s">
        <v>568</v>
      </c>
      <c r="D1769" s="2" t="str">
        <f t="shared" si="26"/>
        <v>Error?</v>
      </c>
    </row>
    <row r="1770" spans="1:7" x14ac:dyDescent="0.2">
      <c r="A1770" s="5">
        <v>1709</v>
      </c>
      <c r="B1770" s="1831">
        <f>'Tax Sched 23'!D14</f>
        <v>424929</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57284214</v>
      </c>
      <c r="C1775" s="2" t="s">
        <v>568</v>
      </c>
      <c r="D1775" s="2" t="str">
        <f t="shared" si="26"/>
        <v>Error?</v>
      </c>
    </row>
    <row r="1776" spans="1:7" x14ac:dyDescent="0.2">
      <c r="A1776" s="5">
        <v>1715</v>
      </c>
      <c r="B1776" s="1831">
        <f>'Tax Sched 23'!C4</f>
        <v>25916132</v>
      </c>
      <c r="D1776" s="2" t="str">
        <f t="shared" si="26"/>
        <v>Error?</v>
      </c>
    </row>
    <row r="1777" spans="1:4" x14ac:dyDescent="0.2">
      <c r="A1777" s="5">
        <v>1716</v>
      </c>
      <c r="B1777" s="1831">
        <f>'Tax Sched 23'!C5</f>
        <v>4763995</v>
      </c>
      <c r="D1777" s="2" t="str">
        <f t="shared" si="26"/>
        <v>Error?</v>
      </c>
    </row>
    <row r="1778" spans="1:4" x14ac:dyDescent="0.2">
      <c r="A1778" s="5">
        <v>1717</v>
      </c>
      <c r="B1778" s="1831">
        <f>'Tax Sched 23'!C6</f>
        <v>12368760</v>
      </c>
      <c r="D1778" s="2" t="str">
        <f t="shared" si="26"/>
        <v>Error?</v>
      </c>
    </row>
    <row r="1779" spans="1:4" x14ac:dyDescent="0.2">
      <c r="A1779" s="5">
        <v>1718</v>
      </c>
      <c r="B1779" s="1831">
        <f>'Tax Sched 23'!C7</f>
        <v>1905598</v>
      </c>
      <c r="D1779" s="2" t="str">
        <f t="shared" si="26"/>
        <v>Error?</v>
      </c>
    </row>
    <row r="1780" spans="1:4" x14ac:dyDescent="0.2">
      <c r="A1780" s="5">
        <v>1719</v>
      </c>
      <c r="B1780" s="1831">
        <f>'Tax Sched 23'!C8</f>
        <v>759476</v>
      </c>
      <c r="D1780" s="2" t="str">
        <f t="shared" si="26"/>
        <v>Error?</v>
      </c>
    </row>
    <row r="1781" spans="1:4" x14ac:dyDescent="0.2">
      <c r="A1781" s="5">
        <v>1720</v>
      </c>
      <c r="B1781" s="1831">
        <f>'Tax Sched 23'!C10</f>
        <v>476399</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2383903</v>
      </c>
      <c r="D1784" s="2" t="str">
        <f t="shared" si="26"/>
        <v>Error?</v>
      </c>
    </row>
    <row r="1785" spans="1:4" x14ac:dyDescent="0.2">
      <c r="A1785" s="5">
        <v>1724</v>
      </c>
      <c r="B1785" s="1831">
        <f>'Tax Sched 23'!C12</f>
        <v>476399</v>
      </c>
      <c r="D1785" s="2" t="str">
        <f t="shared" si="26"/>
        <v>Error?</v>
      </c>
    </row>
    <row r="1786" spans="1:4" x14ac:dyDescent="0.2">
      <c r="A1786" s="5">
        <v>1725</v>
      </c>
      <c r="B1786" s="1831">
        <f>'Tax Sched 23'!C14</f>
        <v>381120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51026291</v>
      </c>
      <c r="C1791" s="2" t="s">
        <v>568</v>
      </c>
      <c r="D1791" s="2" t="str">
        <f t="shared" ref="D1791:D1854" si="27">IF(ISBLANK(B1791),"OK",IF(A1791-B1791=0,"OK","Error?"))</f>
        <v>Error?</v>
      </c>
    </row>
    <row r="1792" spans="1:4" x14ac:dyDescent="0.2">
      <c r="A1792" s="5">
        <v>1731</v>
      </c>
      <c r="B1792" s="1831">
        <f>'Tax Sched 23'!F4</f>
        <v>35454796</v>
      </c>
      <c r="C1792" s="2" t="s">
        <v>568</v>
      </c>
      <c r="D1792" s="2" t="str">
        <f t="shared" si="27"/>
        <v>Error?</v>
      </c>
    </row>
    <row r="1793" spans="1:4" x14ac:dyDescent="0.2">
      <c r="A1793" s="5">
        <v>1732</v>
      </c>
      <c r="B1793" s="1831">
        <f>'Tax Sched 23'!F5</f>
        <v>6517426</v>
      </c>
      <c r="C1793" s="2" t="s">
        <v>568</v>
      </c>
      <c r="D1793" s="2" t="str">
        <f t="shared" si="27"/>
        <v>Error?</v>
      </c>
    </row>
    <row r="1794" spans="1:4" x14ac:dyDescent="0.2">
      <c r="A1794" s="5">
        <v>1733</v>
      </c>
      <c r="B1794" s="1831">
        <f>'Tax Sched 23'!F6</f>
        <v>16921192</v>
      </c>
      <c r="C1794" s="2" t="s">
        <v>568</v>
      </c>
      <c r="D1794" s="2" t="str">
        <f t="shared" si="27"/>
        <v>Error?</v>
      </c>
    </row>
    <row r="1795" spans="1:4" x14ac:dyDescent="0.2">
      <c r="A1795" s="5">
        <v>1734</v>
      </c>
      <c r="B1795" s="1831">
        <f>'Tax Sched 23'!F7</f>
        <v>2606970</v>
      </c>
      <c r="C1795" s="2" t="s">
        <v>568</v>
      </c>
      <c r="D1795" s="2" t="str">
        <f t="shared" si="27"/>
        <v>Error?</v>
      </c>
    </row>
    <row r="1796" spans="1:4" x14ac:dyDescent="0.2">
      <c r="A1796" s="5">
        <v>1735</v>
      </c>
      <c r="B1796" s="1831">
        <f>'Tax Sched 23'!F8</f>
        <v>1039008</v>
      </c>
      <c r="C1796" s="2" t="s">
        <v>568</v>
      </c>
      <c r="D1796" s="2" t="str">
        <f t="shared" si="27"/>
        <v>Error?</v>
      </c>
    </row>
    <row r="1797" spans="1:4" x14ac:dyDescent="0.2">
      <c r="A1797" s="5">
        <v>1736</v>
      </c>
      <c r="B1797" s="1831">
        <f>'Tax Sched 23'!F10</f>
        <v>651743</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3261320</v>
      </c>
      <c r="C1800" s="2" t="s">
        <v>568</v>
      </c>
      <c r="D1800" s="2" t="str">
        <f t="shared" si="27"/>
        <v>Error?</v>
      </c>
    </row>
    <row r="1801" spans="1:4" x14ac:dyDescent="0.2">
      <c r="A1801" s="5">
        <v>1740</v>
      </c>
      <c r="B1801" s="1831">
        <f>'Tax Sched 23'!F12</f>
        <v>651743</v>
      </c>
      <c r="C1801" s="2" t="s">
        <v>568</v>
      </c>
      <c r="D1801" s="2" t="str">
        <f t="shared" si="27"/>
        <v>Error?</v>
      </c>
    </row>
    <row r="1802" spans="1:4" x14ac:dyDescent="0.2">
      <c r="A1802" s="5">
        <v>1741</v>
      </c>
      <c r="B1802" s="1831">
        <f>'Tax Sched 23'!F14</f>
        <v>521394</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69806975</v>
      </c>
      <c r="C1807" s="2" t="s">
        <v>568</v>
      </c>
      <c r="D1807" s="2" t="str">
        <f t="shared" si="27"/>
        <v>Error?</v>
      </c>
    </row>
    <row r="1808" spans="1:4" x14ac:dyDescent="0.2">
      <c r="A1808" s="5">
        <v>1747</v>
      </c>
      <c r="B1808" s="1831">
        <f>'Tax Sched 23'!E4</f>
        <v>61370928</v>
      </c>
      <c r="D1808" s="2" t="str">
        <f t="shared" si="27"/>
        <v>Error?</v>
      </c>
    </row>
    <row r="1809" spans="1:4" x14ac:dyDescent="0.2">
      <c r="A1809" s="5">
        <v>1748</v>
      </c>
      <c r="B1809" s="1831">
        <f>'Tax Sched 23'!E5</f>
        <v>11281421</v>
      </c>
      <c r="D1809" s="2" t="str">
        <f t="shared" si="27"/>
        <v>Error?</v>
      </c>
    </row>
    <row r="1810" spans="1:4" x14ac:dyDescent="0.2">
      <c r="A1810" s="5">
        <v>1749</v>
      </c>
      <c r="B1810" s="1831">
        <f>'Tax Sched 23'!E6</f>
        <v>29289952</v>
      </c>
      <c r="D1810" s="2" t="str">
        <f t="shared" si="27"/>
        <v>Error?</v>
      </c>
    </row>
    <row r="1811" spans="1:4" x14ac:dyDescent="0.2">
      <c r="A1811" s="5">
        <v>1750</v>
      </c>
      <c r="B1811" s="1831">
        <f>'Tax Sched 23'!E7</f>
        <v>4512568</v>
      </c>
      <c r="D1811" s="2" t="str">
        <f t="shared" si="27"/>
        <v>Error?</v>
      </c>
    </row>
    <row r="1812" spans="1:4" x14ac:dyDescent="0.2">
      <c r="A1812" s="5">
        <v>1751</v>
      </c>
      <c r="B1812" s="1831">
        <f>'Tax Sched 23'!E8</f>
        <v>1798484</v>
      </c>
      <c r="D1812" s="2" t="str">
        <f t="shared" si="27"/>
        <v>Error?</v>
      </c>
    </row>
    <row r="1813" spans="1:4" x14ac:dyDescent="0.2">
      <c r="A1813" s="5">
        <v>1752</v>
      </c>
      <c r="B1813" s="1831">
        <f>'Tax Sched 23'!E10</f>
        <v>1128142</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5645223</v>
      </c>
      <c r="D1816" s="2" t="str">
        <f t="shared" si="27"/>
        <v>Error?</v>
      </c>
    </row>
    <row r="1817" spans="1:4" x14ac:dyDescent="0.2">
      <c r="A1817" s="5">
        <v>1756</v>
      </c>
      <c r="B1817" s="1831">
        <f>'Tax Sched 23'!E12</f>
        <v>1128142</v>
      </c>
      <c r="D1817" s="2" t="str">
        <f t="shared" si="27"/>
        <v>Error?</v>
      </c>
    </row>
    <row r="1818" spans="1:4" x14ac:dyDescent="0.2">
      <c r="A1818" s="5">
        <v>1757</v>
      </c>
      <c r="B1818" s="1831">
        <f>'Tax Sched 23'!E14</f>
        <v>902514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120833266</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8000000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8000000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8000000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8000000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132726144</v>
      </c>
      <c r="C1939" s="2" t="s">
        <v>568</v>
      </c>
      <c r="D1939" s="2" t="str">
        <f t="shared" si="29"/>
        <v>Error?</v>
      </c>
    </row>
    <row r="1940" spans="1:5" x14ac:dyDescent="0.2">
      <c r="A1940" s="5">
        <v>1879</v>
      </c>
      <c r="B1940" s="1831">
        <f>'Short-Term Long-Term Debt 24'!F49</f>
        <v>29000000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806049</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806049</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806049</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2960561</v>
      </c>
      <c r="D2008" s="2" t="str">
        <f t="shared" si="30"/>
        <v>Error?</v>
      </c>
    </row>
    <row r="2009" spans="1:4" x14ac:dyDescent="0.2">
      <c r="A2009" s="5">
        <v>1948</v>
      </c>
      <c r="B2009" s="1831">
        <f>'Cap Outlay Deprec 26'!C8</f>
        <v>220589038</v>
      </c>
      <c r="D2009" s="2" t="str">
        <f t="shared" si="30"/>
        <v>Error?</v>
      </c>
    </row>
    <row r="2010" spans="1:4" x14ac:dyDescent="0.2">
      <c r="A2010" s="5">
        <v>1949</v>
      </c>
      <c r="B2010" s="1831">
        <f>'Cap Outlay Deprec 26'!C10</f>
        <v>75650440</v>
      </c>
      <c r="D2010" s="2" t="str">
        <f t="shared" si="30"/>
        <v>Error?</v>
      </c>
    </row>
    <row r="2011" spans="1:4" x14ac:dyDescent="0.2">
      <c r="A2011" s="5">
        <v>1950</v>
      </c>
      <c r="B2011" s="1831">
        <f>'Cap Outlay Deprec 26'!C12</f>
        <v>27854670</v>
      </c>
      <c r="D2011" s="2" t="str">
        <f t="shared" si="30"/>
        <v>Error?</v>
      </c>
    </row>
    <row r="2012" spans="1:4" x14ac:dyDescent="0.2">
      <c r="A2012" s="5">
        <v>1951</v>
      </c>
      <c r="B2012" s="1831">
        <f>'Cap Outlay Deprec 26'!C13</f>
        <v>17357430</v>
      </c>
      <c r="D2012" s="2" t="str">
        <f t="shared" si="30"/>
        <v>Error?</v>
      </c>
    </row>
    <row r="2013" spans="1:4" x14ac:dyDescent="0.2">
      <c r="A2013" s="5">
        <v>1952</v>
      </c>
      <c r="B2013" s="1831">
        <f>'Cap Outlay Deprec 26'!C16</f>
        <v>344576973</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64000</v>
      </c>
      <c r="D2015" s="2" t="str">
        <f t="shared" si="30"/>
        <v>Error?</v>
      </c>
    </row>
    <row r="2016" spans="1:4" x14ac:dyDescent="0.2">
      <c r="A2016" s="5">
        <v>1955</v>
      </c>
      <c r="B2016" s="1831">
        <f>'Cap Outlay Deprec 26'!D10</f>
        <v>5132124</v>
      </c>
      <c r="D2016" s="2" t="str">
        <f t="shared" si="30"/>
        <v>Error?</v>
      </c>
    </row>
    <row r="2017" spans="1:4" x14ac:dyDescent="0.2">
      <c r="A2017" s="5">
        <v>1956</v>
      </c>
      <c r="B2017" s="1831">
        <f>'Cap Outlay Deprec 26'!D12</f>
        <v>496823</v>
      </c>
      <c r="D2017" s="2" t="str">
        <f t="shared" si="30"/>
        <v>Error?</v>
      </c>
    </row>
    <row r="2018" spans="1:4" x14ac:dyDescent="0.2">
      <c r="A2018" s="5">
        <v>1957</v>
      </c>
      <c r="B2018" s="1831">
        <f>'Cap Outlay Deprec 26'!D13</f>
        <v>52864</v>
      </c>
      <c r="D2018" s="2" t="str">
        <f t="shared" si="30"/>
        <v>Error?</v>
      </c>
    </row>
    <row r="2019" spans="1:4" x14ac:dyDescent="0.2">
      <c r="A2019" s="5">
        <v>1958</v>
      </c>
      <c r="B2019" s="1831">
        <f>'Cap Outlay Deprec 26'!D16</f>
        <v>7528633</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52000</v>
      </c>
      <c r="D2024" s="2" t="str">
        <f t="shared" si="30"/>
        <v>Error?</v>
      </c>
    </row>
    <row r="2025" spans="1:4" x14ac:dyDescent="0.2">
      <c r="A2025" s="5">
        <v>1964</v>
      </c>
      <c r="B2025" s="1831">
        <f>'Cap Outlay Deprec 26'!E16</f>
        <v>1361803</v>
      </c>
      <c r="C2025" s="2" t="s">
        <v>568</v>
      </c>
      <c r="D2025" s="2" t="str">
        <f t="shared" si="30"/>
        <v>Error?</v>
      </c>
    </row>
    <row r="2026" spans="1:4" x14ac:dyDescent="0.2">
      <c r="A2026" s="5">
        <v>1965</v>
      </c>
      <c r="B2026" s="1831">
        <f>'Cap Outlay Deprec 26'!F5</f>
        <v>2960561</v>
      </c>
      <c r="C2026" s="2" t="s">
        <v>568</v>
      </c>
      <c r="D2026" s="2" t="str">
        <f t="shared" si="30"/>
        <v>Error?</v>
      </c>
    </row>
    <row r="2027" spans="1:4" x14ac:dyDescent="0.2">
      <c r="A2027" s="5">
        <v>1966</v>
      </c>
      <c r="B2027" s="1831">
        <f>'Cap Outlay Deprec 26'!F8</f>
        <v>220653038</v>
      </c>
      <c r="C2027" s="2" t="s">
        <v>568</v>
      </c>
      <c r="D2027" s="2" t="str">
        <f t="shared" si="30"/>
        <v>Error?</v>
      </c>
    </row>
    <row r="2028" spans="1:4" x14ac:dyDescent="0.2">
      <c r="A2028" s="5">
        <v>1967</v>
      </c>
      <c r="B2028" s="1831">
        <f>'Cap Outlay Deprec 26'!F10</f>
        <v>80782564</v>
      </c>
      <c r="C2028" s="2" t="s">
        <v>568</v>
      </c>
      <c r="D2028" s="2" t="str">
        <f t="shared" si="30"/>
        <v>Error?</v>
      </c>
    </row>
    <row r="2029" spans="1:4" x14ac:dyDescent="0.2">
      <c r="A2029" s="5">
        <v>1968</v>
      </c>
      <c r="B2029" s="1831">
        <f>'Cap Outlay Deprec 26'!F12</f>
        <v>28351493</v>
      </c>
      <c r="C2029" s="2" t="s">
        <v>568</v>
      </c>
      <c r="D2029" s="2" t="str">
        <f t="shared" si="30"/>
        <v>Error?</v>
      </c>
    </row>
    <row r="2030" spans="1:4" x14ac:dyDescent="0.2">
      <c r="A2030" s="5">
        <v>1969</v>
      </c>
      <c r="B2030" s="1831">
        <f>'Cap Outlay Deprec 26'!F13</f>
        <v>17358294</v>
      </c>
      <c r="C2030" s="2" t="s">
        <v>568</v>
      </c>
      <c r="D2030" s="2" t="str">
        <f t="shared" si="30"/>
        <v>Error?</v>
      </c>
    </row>
    <row r="2031" spans="1:4" x14ac:dyDescent="0.2">
      <c r="A2031" s="5">
        <v>1970</v>
      </c>
      <c r="B2031" s="1831">
        <f>'Cap Outlay Deprec 26'!F16</f>
        <v>350743803</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85787589</v>
      </c>
      <c r="D2033" s="2" t="str">
        <f t="shared" si="30"/>
        <v>Error?</v>
      </c>
    </row>
    <row r="2034" spans="1:4" x14ac:dyDescent="0.2">
      <c r="A2034" s="5">
        <v>1973</v>
      </c>
      <c r="B2034" s="1831">
        <f>'Cap Outlay Deprec 26'!H10</f>
        <v>34123572</v>
      </c>
      <c r="D2034" s="2" t="str">
        <f t="shared" si="30"/>
        <v>Error?</v>
      </c>
    </row>
    <row r="2035" spans="1:4" x14ac:dyDescent="0.2">
      <c r="A2035" s="5">
        <v>1974</v>
      </c>
      <c r="B2035" s="1831">
        <f>'Cap Outlay Deprec 26'!H12</f>
        <v>18055279</v>
      </c>
      <c r="D2035" s="2" t="str">
        <f t="shared" si="30"/>
        <v>Error?</v>
      </c>
    </row>
    <row r="2036" spans="1:4" x14ac:dyDescent="0.2">
      <c r="A2036" s="5">
        <v>1975</v>
      </c>
      <c r="B2036" s="1831">
        <f>'Cap Outlay Deprec 26'!H13</f>
        <v>13680934</v>
      </c>
      <c r="D2036" s="2" t="str">
        <f t="shared" si="30"/>
        <v>Error?</v>
      </c>
    </row>
    <row r="2037" spans="1:4" x14ac:dyDescent="0.2">
      <c r="A2037" s="5">
        <v>1976</v>
      </c>
      <c r="B2037" s="1831">
        <f>'Cap Outlay Deprec 26'!H16</f>
        <v>151773867</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4282755</v>
      </c>
      <c r="D2039" s="2" t="str">
        <f t="shared" si="30"/>
        <v>Error?</v>
      </c>
    </row>
    <row r="2040" spans="1:4" x14ac:dyDescent="0.2">
      <c r="A2040" s="5">
        <v>1979</v>
      </c>
      <c r="B2040" s="1831">
        <f>'Cap Outlay Deprec 26'!I10</f>
        <v>2335725</v>
      </c>
      <c r="D2040" s="2" t="str">
        <f t="shared" si="30"/>
        <v>Error?</v>
      </c>
    </row>
    <row r="2041" spans="1:4" x14ac:dyDescent="0.2">
      <c r="A2041" s="5">
        <v>1980</v>
      </c>
      <c r="B2041" s="1831">
        <f>'Cap Outlay Deprec 26'!I12</f>
        <v>1116548</v>
      </c>
      <c r="D2041" s="2" t="str">
        <f t="shared" si="30"/>
        <v>Error?</v>
      </c>
    </row>
    <row r="2042" spans="1:4" x14ac:dyDescent="0.2">
      <c r="A2042" s="5">
        <v>1981</v>
      </c>
      <c r="B2042" s="1831">
        <f>'Cap Outlay Deprec 26'!I13</f>
        <v>1050021</v>
      </c>
      <c r="D2042" s="2" t="str">
        <f t="shared" si="30"/>
        <v>Error?</v>
      </c>
    </row>
    <row r="2043" spans="1:4" x14ac:dyDescent="0.2">
      <c r="A2043" s="5">
        <v>1982</v>
      </c>
      <c r="B2043" s="1831">
        <f>'Cap Outlay Deprec 26'!I16</f>
        <v>8788413</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46800</v>
      </c>
      <c r="D2048" s="2" t="str">
        <f t="shared" si="31"/>
        <v>Error?</v>
      </c>
    </row>
    <row r="2049" spans="1:4" x14ac:dyDescent="0.2">
      <c r="A2049" s="5">
        <v>1988</v>
      </c>
      <c r="B2049" s="1831">
        <f>'Cap Outlay Deprec 26'!J16</f>
        <v>46800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90070344</v>
      </c>
      <c r="C2051" s="2" t="s">
        <v>568</v>
      </c>
      <c r="D2051" s="2" t="str">
        <f t="shared" si="31"/>
        <v>Error?</v>
      </c>
    </row>
    <row r="2052" spans="1:4" x14ac:dyDescent="0.2">
      <c r="A2052" s="5">
        <v>1991</v>
      </c>
      <c r="B2052" s="1831">
        <f>'Cap Outlay Deprec 26'!K10</f>
        <v>36459297</v>
      </c>
      <c r="C2052" s="2" t="s">
        <v>568</v>
      </c>
      <c r="D2052" s="2" t="str">
        <f t="shared" si="31"/>
        <v>Error?</v>
      </c>
    </row>
    <row r="2053" spans="1:4" x14ac:dyDescent="0.2">
      <c r="A2053" s="5">
        <v>1992</v>
      </c>
      <c r="B2053" s="1831">
        <f>'Cap Outlay Deprec 26'!K12</f>
        <v>19171827</v>
      </c>
      <c r="C2053" s="2" t="s">
        <v>568</v>
      </c>
      <c r="D2053" s="2" t="str">
        <f t="shared" si="31"/>
        <v>Error?</v>
      </c>
    </row>
    <row r="2054" spans="1:4" x14ac:dyDescent="0.2">
      <c r="A2054" s="5">
        <v>1993</v>
      </c>
      <c r="B2054" s="1831">
        <f>'Cap Outlay Deprec 26'!K13</f>
        <v>14684155</v>
      </c>
      <c r="C2054" s="2" t="s">
        <v>568</v>
      </c>
      <c r="D2054" s="2" t="str">
        <f t="shared" si="31"/>
        <v>Error?</v>
      </c>
    </row>
    <row r="2055" spans="1:4" x14ac:dyDescent="0.2">
      <c r="A2055" s="5">
        <v>1994</v>
      </c>
      <c r="B2055" s="1831">
        <f>'Cap Outlay Deprec 26'!K16</f>
        <v>160515480</v>
      </c>
      <c r="C2055" s="2" t="s">
        <v>568</v>
      </c>
      <c r="D2055" s="2" t="str">
        <f t="shared" si="31"/>
        <v>Error?</v>
      </c>
    </row>
    <row r="2056" spans="1:4" x14ac:dyDescent="0.2">
      <c r="A2056" s="5">
        <v>1995</v>
      </c>
      <c r="B2056" s="1831">
        <f>'Cap Outlay Deprec 26'!L5</f>
        <v>2960561</v>
      </c>
      <c r="C2056" s="2" t="s">
        <v>568</v>
      </c>
      <c r="D2056" s="2" t="str">
        <f t="shared" si="31"/>
        <v>Error?</v>
      </c>
    </row>
    <row r="2057" spans="1:4" x14ac:dyDescent="0.2">
      <c r="A2057" s="5">
        <v>1996</v>
      </c>
      <c r="B2057" s="1831">
        <f>'Cap Outlay Deprec 26'!L8</f>
        <v>130582694</v>
      </c>
      <c r="C2057" s="2" t="s">
        <v>568</v>
      </c>
      <c r="D2057" s="2" t="str">
        <f t="shared" si="31"/>
        <v>Error?</v>
      </c>
    </row>
    <row r="2058" spans="1:4" x14ac:dyDescent="0.2">
      <c r="A2058" s="5">
        <v>1997</v>
      </c>
      <c r="B2058" s="1831">
        <f>'Cap Outlay Deprec 26'!L10</f>
        <v>44323267</v>
      </c>
      <c r="C2058" s="2" t="s">
        <v>568</v>
      </c>
      <c r="D2058" s="2" t="str">
        <f t="shared" si="31"/>
        <v>Error?</v>
      </c>
    </row>
    <row r="2059" spans="1:4" x14ac:dyDescent="0.2">
      <c r="A2059" s="5">
        <v>1998</v>
      </c>
      <c r="B2059" s="1831">
        <f>'Cap Outlay Deprec 26'!L12</f>
        <v>9179666</v>
      </c>
      <c r="C2059" s="2" t="s">
        <v>568</v>
      </c>
      <c r="D2059" s="2" t="str">
        <f t="shared" si="31"/>
        <v>Error?</v>
      </c>
    </row>
    <row r="2060" spans="1:4" x14ac:dyDescent="0.2">
      <c r="A2060" s="5">
        <v>1999</v>
      </c>
      <c r="B2060" s="1831">
        <f>'Cap Outlay Deprec 26'!L13</f>
        <v>2674139</v>
      </c>
      <c r="C2060" s="2" t="s">
        <v>568</v>
      </c>
      <c r="D2060" s="2" t="str">
        <f t="shared" si="31"/>
        <v>Error?</v>
      </c>
    </row>
    <row r="2061" spans="1:4" x14ac:dyDescent="0.2">
      <c r="A2061" s="5">
        <v>2000</v>
      </c>
      <c r="B2061" s="1831">
        <f>'Cap Outlay Deprec 26'!L16</f>
        <v>190228323</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128875</v>
      </c>
      <c r="C2088" s="2" t="s">
        <v>568</v>
      </c>
      <c r="D2088" s="2" t="str">
        <f t="shared" si="31"/>
        <v>Error?</v>
      </c>
    </row>
    <row r="2089" spans="1:4" x14ac:dyDescent="0.2">
      <c r="A2089" s="5">
        <v>2028</v>
      </c>
      <c r="B2089" s="1831">
        <f>'Expenditures 15-22'!K92</f>
        <v>459172</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9882069</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63033163</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24949060</v>
      </c>
      <c r="C2553" s="2" t="s">
        <v>568</v>
      </c>
      <c r="D2553" s="2" t="str">
        <f t="shared" si="38"/>
        <v>Error?</v>
      </c>
    </row>
    <row r="2554" spans="1:4" x14ac:dyDescent="0.2">
      <c r="A2554" s="5">
        <v>2493</v>
      </c>
      <c r="B2554" s="1831">
        <f>'Acct Summary 7-8'!C7</f>
        <v>9034421</v>
      </c>
      <c r="C2554" s="2" t="s">
        <v>568</v>
      </c>
      <c r="D2554" s="2" t="str">
        <f t="shared" si="38"/>
        <v>Error?</v>
      </c>
    </row>
    <row r="2555" spans="1:4" x14ac:dyDescent="0.2">
      <c r="A2555" s="5">
        <v>2494</v>
      </c>
      <c r="B2555" s="1831">
        <f>'Acct Summary 7-8'!C8</f>
        <v>97016644</v>
      </c>
      <c r="C2555" s="2" t="s">
        <v>568</v>
      </c>
      <c r="D2555" s="2" t="str">
        <f t="shared" si="38"/>
        <v>Error?</v>
      </c>
    </row>
    <row r="2556" spans="1:4" x14ac:dyDescent="0.2">
      <c r="A2556" s="5">
        <v>2495</v>
      </c>
      <c r="B2556" s="1831">
        <f>'Acct Summary 7-8'!C12</f>
        <v>83698204</v>
      </c>
      <c r="C2556" s="2" t="s">
        <v>568</v>
      </c>
      <c r="D2556" s="2" t="str">
        <f t="shared" si="38"/>
        <v>Error?</v>
      </c>
    </row>
    <row r="2557" spans="1:4" x14ac:dyDescent="0.2">
      <c r="A2557" s="5">
        <v>2496</v>
      </c>
      <c r="B2557" s="1831">
        <f>'Acct Summary 7-8'!C13</f>
        <v>26433171</v>
      </c>
      <c r="C2557" s="2" t="s">
        <v>568</v>
      </c>
      <c r="D2557" s="2" t="str">
        <f t="shared" si="38"/>
        <v>Error?</v>
      </c>
    </row>
    <row r="2558" spans="1:4" x14ac:dyDescent="0.2">
      <c r="A2558" s="5">
        <v>2497</v>
      </c>
      <c r="B2558" s="1831">
        <f>'Acct Summary 7-8'!C14</f>
        <v>623807</v>
      </c>
      <c r="C2558" s="2" t="s">
        <v>568</v>
      </c>
      <c r="D2558" s="2" t="str">
        <f t="shared" si="38"/>
        <v>Error?</v>
      </c>
    </row>
    <row r="2559" spans="1:4" x14ac:dyDescent="0.2">
      <c r="A2559" s="5">
        <v>2498</v>
      </c>
      <c r="B2559" s="1831">
        <f>'Acct Summary 7-8'!C15</f>
        <v>589257</v>
      </c>
      <c r="C2559" s="2" t="s">
        <v>568</v>
      </c>
      <c r="D2559" s="2" t="str">
        <f t="shared" ref="D2559:D2622" si="39">IF(ISBLANK(B2559),"OK",IF(A2559-B2559=0,"OK","Error?"))</f>
        <v>Error?</v>
      </c>
    </row>
    <row r="2560" spans="1:4" x14ac:dyDescent="0.2">
      <c r="A2560" s="5">
        <v>2499</v>
      </c>
      <c r="B2560" s="1831">
        <f>'Acct Summary 7-8'!C16</f>
        <v>37396</v>
      </c>
      <c r="C2560" s="2" t="s">
        <v>568</v>
      </c>
      <c r="D2560" s="2" t="str">
        <f t="shared" si="39"/>
        <v>Error?</v>
      </c>
    </row>
    <row r="2561" spans="1:4" x14ac:dyDescent="0.2">
      <c r="A2561" s="5">
        <v>2500</v>
      </c>
      <c r="B2561" s="1831">
        <f>'Acct Summary 7-8'!C17</f>
        <v>111381835</v>
      </c>
      <c r="C2561" s="2" t="s">
        <v>568</v>
      </c>
      <c r="D2561" s="2" t="str">
        <f t="shared" si="39"/>
        <v>Error?</v>
      </c>
    </row>
    <row r="2562" spans="1:4" x14ac:dyDescent="0.2">
      <c r="A2562" s="5">
        <v>2501</v>
      </c>
      <c r="B2562" s="1831">
        <f>'Acct Summary 7-8'!C20</f>
        <v>-14365191</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11462345</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11512345</v>
      </c>
      <c r="C2568" s="2" t="s">
        <v>568</v>
      </c>
      <c r="D2568" s="2" t="str">
        <f t="shared" si="39"/>
        <v>Error?</v>
      </c>
    </row>
    <row r="2569" spans="1:4" x14ac:dyDescent="0.2">
      <c r="A2569" s="5">
        <v>2508</v>
      </c>
      <c r="B2569" s="1831">
        <f>'Acct Summary 7-8'!D13</f>
        <v>11943221</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11943221</v>
      </c>
      <c r="C2573" s="2" t="s">
        <v>568</v>
      </c>
      <c r="D2573" s="2" t="str">
        <f t="shared" si="39"/>
        <v>Error?</v>
      </c>
    </row>
    <row r="2574" spans="1:4" x14ac:dyDescent="0.2">
      <c r="A2574" s="5">
        <v>2513</v>
      </c>
      <c r="B2574" s="1831">
        <f>'Acct Summary 7-8'!D20</f>
        <v>-430876</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4056418</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6504360</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10560778</v>
      </c>
      <c r="C2595" s="2" t="s">
        <v>568</v>
      </c>
      <c r="D2595" s="2" t="str">
        <f t="shared" si="39"/>
        <v>Error?</v>
      </c>
    </row>
    <row r="2596" spans="1:4" x14ac:dyDescent="0.2">
      <c r="A2596" s="5">
        <v>2535</v>
      </c>
      <c r="B2596" s="1831">
        <f>'Acct Summary 7-8'!F13</f>
        <v>10261853</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486062</v>
      </c>
      <c r="C2599" s="2" t="s">
        <v>568</v>
      </c>
      <c r="D2599" s="2" t="str">
        <f t="shared" si="39"/>
        <v>Error?</v>
      </c>
    </row>
    <row r="2600" spans="1:4" x14ac:dyDescent="0.2">
      <c r="A2600" s="5">
        <v>2539</v>
      </c>
      <c r="B2600" s="1831">
        <f>'Acct Summary 7-8'!F17</f>
        <v>10747915</v>
      </c>
      <c r="C2600" s="2" t="s">
        <v>568</v>
      </c>
      <c r="D2600" s="2" t="str">
        <f t="shared" si="39"/>
        <v>Error?</v>
      </c>
    </row>
    <row r="2601" spans="1:4" x14ac:dyDescent="0.2">
      <c r="A2601" s="5">
        <v>2540</v>
      </c>
      <c r="B2601" s="1831">
        <f>'Acct Summary 7-8'!F20</f>
        <v>-187137</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4072539</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4072539</v>
      </c>
      <c r="C2606" s="2" t="s">
        <v>568</v>
      </c>
      <c r="D2606" s="2" t="str">
        <f t="shared" si="39"/>
        <v>Error?</v>
      </c>
    </row>
    <row r="2607" spans="1:4" x14ac:dyDescent="0.2">
      <c r="A2607" s="5">
        <v>2546</v>
      </c>
      <c r="B2607" s="1831">
        <f>'Acct Summary 7-8'!G12</f>
        <v>2139379</v>
      </c>
      <c r="C2607" s="2" t="s">
        <v>568</v>
      </c>
      <c r="D2607" s="2" t="str">
        <f t="shared" si="39"/>
        <v>Error?</v>
      </c>
    </row>
    <row r="2608" spans="1:4" x14ac:dyDescent="0.2">
      <c r="A2608" s="5">
        <v>2547</v>
      </c>
      <c r="B2608" s="1831">
        <f>'Acct Summary 7-8'!G13</f>
        <v>2342124</v>
      </c>
      <c r="C2608" s="2" t="s">
        <v>568</v>
      </c>
      <c r="D2608" s="2" t="str">
        <f t="shared" si="39"/>
        <v>Error?</v>
      </c>
    </row>
    <row r="2609" spans="1:4" x14ac:dyDescent="0.2">
      <c r="A2609" s="5">
        <v>2548</v>
      </c>
      <c r="B2609" s="1831">
        <f>'Acct Summary 7-8'!G14</f>
        <v>62361</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4543864</v>
      </c>
      <c r="C2612" s="2" t="s">
        <v>568</v>
      </c>
      <c r="D2612" s="2" t="str">
        <f t="shared" si="39"/>
        <v>Error?</v>
      </c>
    </row>
    <row r="2613" spans="1:4" x14ac:dyDescent="0.2">
      <c r="A2613" s="5">
        <v>2552</v>
      </c>
      <c r="B2613" s="1831">
        <f>'Acct Summary 7-8'!G20</f>
        <v>-471325</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26817224</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26817224</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31320257</v>
      </c>
      <c r="C2634" s="2" t="s">
        <v>568</v>
      </c>
      <c r="D2634" s="2" t="str">
        <f t="shared" si="40"/>
        <v>Error?</v>
      </c>
    </row>
    <row r="2635" spans="1:4" x14ac:dyDescent="0.2">
      <c r="A2635" s="5">
        <v>2574</v>
      </c>
      <c r="B2635" s="1831">
        <f>'Acct Summary 7-8'!E17</f>
        <v>31320257</v>
      </c>
      <c r="C2635" s="2" t="s">
        <v>568</v>
      </c>
      <c r="D2635" s="2" t="str">
        <f t="shared" si="40"/>
        <v>Error?</v>
      </c>
    </row>
    <row r="2636" spans="1:4" x14ac:dyDescent="0.2">
      <c r="A2636" s="5">
        <v>2575</v>
      </c>
      <c r="B2636" s="1831">
        <f>'Acct Summary 7-8'!E20</f>
        <v>-4503033</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0</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246335</v>
      </c>
      <c r="D2718" s="2" t="str">
        <f t="shared" si="41"/>
        <v>Error?</v>
      </c>
    </row>
    <row r="2719" spans="1:4" x14ac:dyDescent="0.2">
      <c r="A2719" s="5">
        <v>2658</v>
      </c>
      <c r="B2719" s="1831">
        <f>'Expenditures 15-22'!D51</f>
        <v>45545</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54</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140</v>
      </c>
      <c r="D2723" s="2" t="str">
        <f t="shared" si="41"/>
        <v>Error?</v>
      </c>
    </row>
    <row r="2724" spans="1:4" x14ac:dyDescent="0.2">
      <c r="A2724" s="5">
        <v>2663</v>
      </c>
      <c r="B2724" s="1831">
        <f>'Expenditures 15-22'!K51</f>
        <v>292074</v>
      </c>
      <c r="C2724" s="2" t="s">
        <v>568</v>
      </c>
      <c r="D2724" s="2" t="str">
        <f t="shared" si="41"/>
        <v>Error?</v>
      </c>
    </row>
    <row r="2725" spans="1:4" x14ac:dyDescent="0.2">
      <c r="A2725" s="5">
        <v>2664</v>
      </c>
      <c r="B2725" s="1831">
        <f>'Expenditures 15-22'!D247</f>
        <v>12648</v>
      </c>
      <c r="D2725" s="2" t="str">
        <f t="shared" si="41"/>
        <v>Error?</v>
      </c>
    </row>
    <row r="2726" spans="1:4" x14ac:dyDescent="0.2">
      <c r="A2726" s="5">
        <v>2665</v>
      </c>
      <c r="B2726" s="1831">
        <f>'Expenditures 15-22'!K247</f>
        <v>12648</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128875</v>
      </c>
      <c r="C2789" s="2" t="s">
        <v>568</v>
      </c>
      <c r="D2789" s="2" t="str">
        <f t="shared" si="42"/>
        <v>Error?</v>
      </c>
    </row>
    <row r="2790" spans="1:4" x14ac:dyDescent="0.2">
      <c r="A2790" s="5">
        <v>2729</v>
      </c>
      <c r="B2790" s="1831">
        <f>'Expenditures 15-22'!E102</f>
        <v>128875</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408672</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36571300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47567754</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1889508</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47567754</v>
      </c>
      <c r="D2912" s="2" t="str">
        <f t="shared" si="44"/>
        <v>Error?</v>
      </c>
    </row>
    <row r="2913" spans="1:4" x14ac:dyDescent="0.2">
      <c r="A2913" s="5">
        <v>2852</v>
      </c>
      <c r="B2913" s="1831">
        <f>'Assets-Liab 5-6'!I41</f>
        <v>47567754</v>
      </c>
      <c r="C2913" s="2" t="s">
        <v>568</v>
      </c>
      <c r="D2913" s="2" t="str">
        <f t="shared" si="44"/>
        <v>Error?</v>
      </c>
    </row>
    <row r="2914" spans="1:4" x14ac:dyDescent="0.2">
      <c r="A2914" s="5">
        <v>2853</v>
      </c>
      <c r="B2914" s="1831">
        <f>'Assets-Liab 5-6'!L33</f>
        <v>1713558</v>
      </c>
      <c r="D2914" s="2" t="str">
        <f t="shared" si="44"/>
        <v>Error?</v>
      </c>
    </row>
    <row r="2915" spans="1:4" x14ac:dyDescent="0.2">
      <c r="A2915" s="10">
        <v>2854</v>
      </c>
      <c r="B2915" s="1831"/>
      <c r="D2915" s="2" t="str">
        <f t="shared" si="44"/>
        <v>OK</v>
      </c>
    </row>
    <row r="2916" spans="1:4" x14ac:dyDescent="0.2">
      <c r="A2916" s="5">
        <v>2855</v>
      </c>
      <c r="B2916" s="1831">
        <f>'Assets-Liab 5-6'!L34</f>
        <v>1713558</v>
      </c>
      <c r="C2916" s="2" t="s">
        <v>568</v>
      </c>
      <c r="D2916" s="2" t="str">
        <f t="shared" si="44"/>
        <v>Error?</v>
      </c>
    </row>
    <row r="2917" spans="1:4" x14ac:dyDescent="0.2">
      <c r="A2917" s="5">
        <v>2856</v>
      </c>
      <c r="B2917" s="1831">
        <f>'Assets-Liab 5-6'!L41</f>
        <v>1889508</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128875</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0</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128875</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1211262</v>
      </c>
      <c r="D3055" s="2" t="str">
        <f t="shared" si="46"/>
        <v>Error?</v>
      </c>
    </row>
    <row r="3056" spans="1:4" x14ac:dyDescent="0.2">
      <c r="A3056" s="5">
        <v>2995</v>
      </c>
      <c r="B3056" s="1831">
        <f>'Expenditures 15-22'!D10</f>
        <v>283281</v>
      </c>
      <c r="D3056" s="2" t="str">
        <f t="shared" si="46"/>
        <v>Error?</v>
      </c>
    </row>
    <row r="3057" spans="1:4" x14ac:dyDescent="0.2">
      <c r="A3057" s="5">
        <v>2996</v>
      </c>
      <c r="B3057" s="1831">
        <f>'Expenditures 15-22'!E10</f>
        <v>271</v>
      </c>
      <c r="D3057" s="2" t="str">
        <f t="shared" si="46"/>
        <v>Error?</v>
      </c>
    </row>
    <row r="3058" spans="1:4" x14ac:dyDescent="0.2">
      <c r="A3058" s="5">
        <v>2997</v>
      </c>
      <c r="B3058" s="1831">
        <f>'Expenditures 15-22'!F10</f>
        <v>440454</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1935268</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16986</v>
      </c>
      <c r="D3064" s="2" t="str">
        <f t="shared" si="46"/>
        <v>Error?</v>
      </c>
    </row>
    <row r="3065" spans="1:4" x14ac:dyDescent="0.2">
      <c r="A3065" s="5">
        <v>3004</v>
      </c>
      <c r="B3065" s="1831">
        <f>'Expenditures 15-22'!K219</f>
        <v>16986</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175950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1216587</v>
      </c>
      <c r="C3225" s="2" t="s">
        <v>568</v>
      </c>
      <c r="D3225" s="2" t="str">
        <f t="shared" si="49"/>
        <v>Error?</v>
      </c>
    </row>
    <row r="3226" spans="1:4" x14ac:dyDescent="0.2">
      <c r="A3226" s="5">
        <v>3165</v>
      </c>
      <c r="B3226" s="1831">
        <f>'Acct Summary 7-8'!I8</f>
        <v>1216587</v>
      </c>
      <c r="C3226" s="2" t="s">
        <v>568</v>
      </c>
      <c r="D3226" s="2" t="str">
        <f t="shared" si="49"/>
        <v>Error?</v>
      </c>
    </row>
    <row r="3227" spans="1:4" x14ac:dyDescent="0.2">
      <c r="A3227" s="5">
        <v>3166</v>
      </c>
      <c r="B3227" s="1831">
        <f>'Acct Summary 7-8'!I20</f>
        <v>1216587</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9882069</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531393</v>
      </c>
      <c r="C3231" s="2" t="s">
        <v>568</v>
      </c>
      <c r="D3231" s="2" t="str">
        <f t="shared" si="49"/>
        <v>Error?</v>
      </c>
    </row>
    <row r="3232" spans="1:4" x14ac:dyDescent="0.2">
      <c r="A3232" s="5">
        <v>3171</v>
      </c>
      <c r="B3232" s="1831">
        <f>'Acct Summary 7-8'!C77</f>
        <v>9350676</v>
      </c>
      <c r="C3232" s="2" t="s">
        <v>568</v>
      </c>
      <c r="D3232" s="2" t="str">
        <f t="shared" si="49"/>
        <v>Error?</v>
      </c>
    </row>
    <row r="3233" spans="1:4" x14ac:dyDescent="0.2">
      <c r="A3233" s="5">
        <v>3172</v>
      </c>
      <c r="B3233" s="1831">
        <f>'Acct Summary 7-8'!C78</f>
        <v>-5014515</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750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670591</v>
      </c>
      <c r="C3237" s="2" t="s">
        <v>568</v>
      </c>
      <c r="D3237" s="2" t="str">
        <f t="shared" si="49"/>
        <v>Error?</v>
      </c>
    </row>
    <row r="3238" spans="1:4" x14ac:dyDescent="0.2">
      <c r="A3238" s="5">
        <v>3177</v>
      </c>
      <c r="B3238" s="1831">
        <f>'Acct Summary 7-8'!D77</f>
        <v>-669841</v>
      </c>
      <c r="C3238" s="2" t="s">
        <v>568</v>
      </c>
      <c r="D3238" s="2" t="str">
        <f t="shared" si="49"/>
        <v>Error?</v>
      </c>
    </row>
    <row r="3239" spans="1:4" x14ac:dyDescent="0.2">
      <c r="A3239" s="5">
        <v>3178</v>
      </c>
      <c r="B3239" s="1831">
        <f>'Acct Summary 7-8'!D78</f>
        <v>-1100717</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1300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1300</v>
      </c>
      <c r="C3255" s="2" t="s">
        <v>568</v>
      </c>
      <c r="D3255" s="2" t="str">
        <f t="shared" si="49"/>
        <v>Error?</v>
      </c>
    </row>
    <row r="3256" spans="1:4" x14ac:dyDescent="0.2">
      <c r="A3256" s="5">
        <v>3195</v>
      </c>
      <c r="B3256" s="1831">
        <f>'Acct Summary 7-8'!F78</f>
        <v>-185837</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-471325</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1201984</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1201984</v>
      </c>
      <c r="C3277" s="2" t="s">
        <v>568</v>
      </c>
      <c r="D3277" s="2" t="str">
        <f t="shared" si="50"/>
        <v>Error?</v>
      </c>
    </row>
    <row r="3278" spans="1:4" x14ac:dyDescent="0.2">
      <c r="A3278" s="5">
        <v>3217</v>
      </c>
      <c r="B3278" s="1831">
        <f>'Acct Summary 7-8'!E78</f>
        <v>-3301049</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0</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29000000</v>
      </c>
      <c r="C3317" s="2" t="s">
        <v>568</v>
      </c>
      <c r="D3317" s="2" t="str">
        <f t="shared" si="50"/>
        <v>Error?</v>
      </c>
    </row>
    <row r="3318" spans="1:4" x14ac:dyDescent="0.2">
      <c r="A3318" s="5">
        <v>3257</v>
      </c>
      <c r="B3318" s="1831">
        <f>'Acct Summary 7-8'!I76</f>
        <v>10045969</v>
      </c>
      <c r="C3318" s="2" t="s">
        <v>568</v>
      </c>
      <c r="D3318" s="2" t="str">
        <f t="shared" si="50"/>
        <v>Error?</v>
      </c>
    </row>
    <row r="3319" spans="1:4" x14ac:dyDescent="0.2">
      <c r="A3319" s="5">
        <v>3258</v>
      </c>
      <c r="B3319" s="1831">
        <f>'Acct Summary 7-8'!I77</f>
        <v>18954031</v>
      </c>
      <c r="C3319" s="2" t="s">
        <v>568</v>
      </c>
      <c r="D3319" s="2" t="str">
        <f t="shared" si="50"/>
        <v>Error?</v>
      </c>
    </row>
    <row r="3320" spans="1:4" x14ac:dyDescent="0.2">
      <c r="A3320" s="5">
        <v>3259</v>
      </c>
      <c r="B3320" s="1831">
        <f>'Acct Summary 7-8'!I78</f>
        <v>20170618</v>
      </c>
      <c r="C3320" s="2" t="s">
        <v>568</v>
      </c>
      <c r="D3320" s="2" t="str">
        <f t="shared" si="50"/>
        <v>Error?</v>
      </c>
    </row>
    <row r="3321" spans="1:4" x14ac:dyDescent="0.2">
      <c r="A3321" s="5">
        <v>3260</v>
      </c>
      <c r="B3321" s="1831">
        <f>'Acct Summary 7-8'!I79</f>
        <v>27397136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47567754</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19160652</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4336360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180773</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314777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4426538</v>
      </c>
      <c r="D3376" s="2" t="str">
        <f t="shared" si="51"/>
        <v>Error?</v>
      </c>
    </row>
    <row r="3377" spans="1:4" x14ac:dyDescent="0.2">
      <c r="A3377" s="5">
        <v>3316</v>
      </c>
      <c r="B3377" s="1831">
        <f>'Expenditures 15-22'!H19</f>
        <v>23080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28445859</v>
      </c>
      <c r="C3380" s="2" t="s">
        <v>568</v>
      </c>
      <c r="D3380" s="2" t="str">
        <f t="shared" si="51"/>
        <v>Error?</v>
      </c>
    </row>
    <row r="3381" spans="1:4" x14ac:dyDescent="0.2">
      <c r="A3381" s="5">
        <v>3320</v>
      </c>
      <c r="B3381" s="1831">
        <f>'Expenditures 15-22'!K19</f>
        <v>23080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656838</v>
      </c>
      <c r="D3387" s="2" t="str">
        <f t="shared" si="51"/>
        <v>Error?</v>
      </c>
    </row>
    <row r="3388" spans="1:4" x14ac:dyDescent="0.2">
      <c r="A3388" s="5">
        <v>3327</v>
      </c>
      <c r="B3388" s="1831">
        <f>'Expenditures 15-22'!D217</f>
        <v>1349459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656838</v>
      </c>
      <c r="C3390" s="2" t="s">
        <v>568</v>
      </c>
      <c r="D3390" s="2" t="str">
        <f t="shared" si="51"/>
        <v>Error?</v>
      </c>
    </row>
    <row r="3391" spans="1:4" x14ac:dyDescent="0.2">
      <c r="A3391" s="5">
        <v>3330</v>
      </c>
      <c r="B3391" s="1831">
        <f>'Expenditures 15-22'!K217</f>
        <v>1349459</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5617141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250377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12476694</v>
      </c>
      <c r="D3417" s="2" t="str">
        <f t="shared" si="52"/>
        <v>Error?</v>
      </c>
    </row>
    <row r="3418" spans="1:4" x14ac:dyDescent="0.2">
      <c r="A3418" s="10">
        <v>3357</v>
      </c>
      <c r="B3418" s="1831"/>
      <c r="D3418" s="2" t="str">
        <f t="shared" si="52"/>
        <v>OK</v>
      </c>
    </row>
    <row r="3419" spans="1:4" x14ac:dyDescent="0.2">
      <c r="A3419" s="5">
        <v>3358</v>
      </c>
      <c r="B3419" s="1831">
        <f>'Assets-Liab 5-6'!F4</f>
        <v>648987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1644045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10767606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1889508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2211702</v>
      </c>
      <c r="C3446" s="2" t="s">
        <v>568</v>
      </c>
      <c r="D3446" s="2" t="str">
        <f t="shared" si="52"/>
        <v>Error?</v>
      </c>
    </row>
    <row r="3447" spans="1:4" x14ac:dyDescent="0.2">
      <c r="A3447" s="5">
        <v>3386</v>
      </c>
      <c r="B3447" s="1831">
        <f>'Tax Sched 23'!D16</f>
        <v>1093592</v>
      </c>
      <c r="C3447" s="2" t="s">
        <v>568</v>
      </c>
      <c r="D3447" s="2" t="str">
        <f t="shared" si="52"/>
        <v>Error?</v>
      </c>
    </row>
    <row r="3448" spans="1:4" x14ac:dyDescent="0.2">
      <c r="A3448" s="5">
        <v>3387</v>
      </c>
      <c r="B3448" s="1831">
        <f>'Tax Sched 23'!C16</f>
        <v>1118110</v>
      </c>
      <c r="D3448" s="2" t="str">
        <f t="shared" si="52"/>
        <v>Error?</v>
      </c>
    </row>
    <row r="3449" spans="1:4" x14ac:dyDescent="0.2">
      <c r="A3449" s="5">
        <v>3388</v>
      </c>
      <c r="B3449" s="1831">
        <f>'Tax Sched 23'!F16</f>
        <v>1529640</v>
      </c>
      <c r="C3449" s="2" t="s">
        <v>568</v>
      </c>
      <c r="D3449" s="2" t="str">
        <f t="shared" si="52"/>
        <v>Error?</v>
      </c>
    </row>
    <row r="3450" spans="1:4" x14ac:dyDescent="0.2">
      <c r="A3450" s="5">
        <v>3389</v>
      </c>
      <c r="B3450" s="1831">
        <f>'Tax Sched 23'!E16</f>
        <v>2647750</v>
      </c>
      <c r="D3450" s="2" t="str">
        <f t="shared" si="52"/>
        <v>Error?</v>
      </c>
    </row>
    <row r="3451" spans="1:4" x14ac:dyDescent="0.2">
      <c r="A3451" s="5">
        <v>3390</v>
      </c>
      <c r="B3451" s="1831">
        <f>'Cap Outlay Deprec 26'!C15</f>
        <v>38341</v>
      </c>
      <c r="D3451" s="2" t="str">
        <f t="shared" si="52"/>
        <v>Error?</v>
      </c>
    </row>
    <row r="3452" spans="1:4" x14ac:dyDescent="0.2">
      <c r="A3452" s="5">
        <v>3391</v>
      </c>
      <c r="B3452" s="1831">
        <f>'Cap Outlay Deprec 26'!D15</f>
        <v>1680134</v>
      </c>
      <c r="D3452" s="2" t="str">
        <f t="shared" si="52"/>
        <v>Error?</v>
      </c>
    </row>
    <row r="3453" spans="1:4" x14ac:dyDescent="0.2">
      <c r="A3453" s="5">
        <v>3392</v>
      </c>
      <c r="B3453" s="1831">
        <f>'Cap Outlay Deprec 26'!E15</f>
        <v>1309803</v>
      </c>
      <c r="D3453" s="2" t="str">
        <f t="shared" si="52"/>
        <v>Error?</v>
      </c>
    </row>
    <row r="3454" spans="1:4" x14ac:dyDescent="0.2">
      <c r="A3454" s="5">
        <v>3393</v>
      </c>
      <c r="B3454" s="1831">
        <f>'Cap Outlay Deprec 26'!F15</f>
        <v>408672</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408672</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750</v>
      </c>
      <c r="D3531" s="2" t="str">
        <f t="shared" si="54"/>
        <v>Error?</v>
      </c>
    </row>
    <row r="3532" spans="1:5" x14ac:dyDescent="0.2">
      <c r="A3532" s="5">
        <v>3471</v>
      </c>
      <c r="B3532" s="1831">
        <f>'Acct Summary 7-8'!F36</f>
        <v>1300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3100239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853835</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3954074</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3954074</v>
      </c>
      <c r="D3567" s="2" t="str">
        <f t="shared" si="54"/>
        <v>Error?</v>
      </c>
    </row>
    <row r="3568" spans="1:4" x14ac:dyDescent="0.2">
      <c r="A3568" s="5">
        <v>3507</v>
      </c>
      <c r="B3568" s="1831">
        <f>'Assets-Liab 5-6'!K41</f>
        <v>3954074</v>
      </c>
      <c r="C3568" s="2" t="s">
        <v>568</v>
      </c>
      <c r="D3568" s="2" t="str">
        <f t="shared" si="54"/>
        <v>Error?</v>
      </c>
    </row>
    <row r="3569" spans="1:4" x14ac:dyDescent="0.2">
      <c r="A3569" s="5">
        <v>3508</v>
      </c>
      <c r="B3569" s="1831">
        <f>'Acct Summary 7-8'!K4</f>
        <v>1197400</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1197400</v>
      </c>
      <c r="C3571" s="2" t="s">
        <v>568</v>
      </c>
      <c r="D3571" s="2" t="str">
        <f t="shared" si="54"/>
        <v>Error?</v>
      </c>
    </row>
    <row r="3572" spans="1:4" x14ac:dyDescent="0.2">
      <c r="A3572" s="5">
        <v>3511</v>
      </c>
      <c r="B3572" s="1831">
        <f>'Acct Summary 7-8'!K13</f>
        <v>5731846</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5731846</v>
      </c>
      <c r="C3575" s="2" t="s">
        <v>568</v>
      </c>
      <c r="D3575" s="2" t="str">
        <f t="shared" si="54"/>
        <v>Error?</v>
      </c>
    </row>
    <row r="3576" spans="1:4" x14ac:dyDescent="0.2">
      <c r="A3576" s="5">
        <v>3515</v>
      </c>
      <c r="B3576" s="1831">
        <f>'Acct Summary 7-8'!K20</f>
        <v>-4534446</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-4534446</v>
      </c>
      <c r="C3588" s="2" t="s">
        <v>568</v>
      </c>
      <c r="D3588" s="2" t="str">
        <f t="shared" si="55"/>
        <v>Error?</v>
      </c>
    </row>
    <row r="3589" spans="1:4" x14ac:dyDescent="0.2">
      <c r="A3589" s="5">
        <v>3528</v>
      </c>
      <c r="B3589" s="1831">
        <f>'Acct Summary 7-8'!K79</f>
        <v>8488520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3954074</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508476</v>
      </c>
      <c r="D3631" s="2" t="str">
        <f t="shared" si="55"/>
        <v>Error?</v>
      </c>
    </row>
    <row r="3632" spans="1:4" x14ac:dyDescent="0.2">
      <c r="A3632" s="5">
        <v>3571</v>
      </c>
      <c r="B3632" s="1831">
        <f>'Expenditures 15-22'!E349</f>
        <v>30612</v>
      </c>
      <c r="D3632" s="2" t="str">
        <f t="shared" si="55"/>
        <v>Error?</v>
      </c>
    </row>
    <row r="3633" spans="1:4" x14ac:dyDescent="0.2">
      <c r="A3633" s="5">
        <v>3572</v>
      </c>
      <c r="B3633" s="1831">
        <f>'Expenditures 15-22'!E350</f>
        <v>539088</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539088</v>
      </c>
      <c r="C3635" s="2" t="s">
        <v>568</v>
      </c>
      <c r="D3635" s="2" t="str">
        <f t="shared" si="55"/>
        <v>Error?</v>
      </c>
    </row>
    <row r="3636" spans="1:4" x14ac:dyDescent="0.2">
      <c r="A3636" s="5">
        <v>3575</v>
      </c>
      <c r="B3636" s="1831">
        <f>'Expenditures 15-22'!E367</f>
        <v>539088</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3667</v>
      </c>
      <c r="D3639" s="2" t="str">
        <f t="shared" si="55"/>
        <v>Error?</v>
      </c>
    </row>
    <row r="3640" spans="1:4" x14ac:dyDescent="0.2">
      <c r="A3640" s="5">
        <v>3579</v>
      </c>
      <c r="B3640" s="1831">
        <f>'Expenditures 15-22'!F350</f>
        <v>3667</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3667</v>
      </c>
      <c r="C3642" s="2" t="s">
        <v>568</v>
      </c>
      <c r="D3642" s="2" t="str">
        <f t="shared" si="55"/>
        <v>Error?</v>
      </c>
    </row>
    <row r="3643" spans="1:4" x14ac:dyDescent="0.2">
      <c r="A3643" s="5">
        <v>3582</v>
      </c>
      <c r="B3643" s="1831">
        <f>'Expenditures 15-22'!F367</f>
        <v>3667</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5189091</v>
      </c>
      <c r="D3646" s="2" t="str">
        <f t="shared" si="55"/>
        <v>Error?</v>
      </c>
    </row>
    <row r="3647" spans="1:4" x14ac:dyDescent="0.2">
      <c r="A3647" s="5">
        <v>3586</v>
      </c>
      <c r="B3647" s="1831">
        <f>'Expenditures 15-22'!G350</f>
        <v>5189091</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5189091</v>
      </c>
      <c r="C3649" s="2" t="s">
        <v>568</v>
      </c>
      <c r="D3649" s="2" t="str">
        <f t="shared" si="56"/>
        <v>Error?</v>
      </c>
    </row>
    <row r="3650" spans="1:4" x14ac:dyDescent="0.2">
      <c r="A3650" s="5">
        <v>3589</v>
      </c>
      <c r="B3650" s="1831">
        <f>'Expenditures 15-22'!G367</f>
        <v>5189091</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508476</v>
      </c>
      <c r="C3668" s="2" t="s">
        <v>568</v>
      </c>
      <c r="D3668" s="2" t="str">
        <f t="shared" si="56"/>
        <v>Error?</v>
      </c>
    </row>
    <row r="3669" spans="1:4" x14ac:dyDescent="0.2">
      <c r="A3669" s="5">
        <v>3608</v>
      </c>
      <c r="B3669" s="1831">
        <f>'Expenditures 15-22'!K349</f>
        <v>5223370</v>
      </c>
      <c r="C3669" s="2" t="s">
        <v>568</v>
      </c>
      <c r="D3669" s="2" t="str">
        <f t="shared" si="56"/>
        <v>Error?</v>
      </c>
    </row>
    <row r="3670" spans="1:4" x14ac:dyDescent="0.2">
      <c r="A3670" s="5">
        <v>3609</v>
      </c>
      <c r="B3670" s="1831">
        <f>'Expenditures 15-22'!K350</f>
        <v>5731846</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5731846</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5731846</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-4534446</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1007578</v>
      </c>
      <c r="C3725" s="2" t="s">
        <v>568</v>
      </c>
      <c r="D3725" s="2" t="str">
        <f t="shared" si="57"/>
        <v>Error?</v>
      </c>
    </row>
    <row r="3726" spans="1:4" x14ac:dyDescent="0.2">
      <c r="A3726" s="5">
        <v>3665</v>
      </c>
      <c r="B3726" s="1831">
        <f>'Tax Sched 23'!D13</f>
        <v>531179</v>
      </c>
      <c r="C3726" s="2" t="s">
        <v>568</v>
      </c>
      <c r="D3726" s="2" t="str">
        <f t="shared" si="57"/>
        <v>Error?</v>
      </c>
    </row>
    <row r="3727" spans="1:4" x14ac:dyDescent="0.2">
      <c r="A3727" s="5">
        <v>3666</v>
      </c>
      <c r="B3727" s="1831">
        <f>'Tax Sched 23'!C13</f>
        <v>476399</v>
      </c>
      <c r="D3727" s="2" t="str">
        <f t="shared" si="57"/>
        <v>Error?</v>
      </c>
    </row>
    <row r="3728" spans="1:4" x14ac:dyDescent="0.2">
      <c r="A3728" s="5">
        <v>3667</v>
      </c>
      <c r="B3728" s="1831">
        <f>'Tax Sched 23'!F13</f>
        <v>651743</v>
      </c>
      <c r="C3728" s="2" t="s">
        <v>568</v>
      </c>
      <c r="D3728" s="2" t="str">
        <f t="shared" si="57"/>
        <v>Error?</v>
      </c>
    </row>
    <row r="3729" spans="1:4" x14ac:dyDescent="0.2">
      <c r="A3729" s="5">
        <v>3668</v>
      </c>
      <c r="B3729" s="1831">
        <f>'Tax Sched 23'!E13</f>
        <v>1128142</v>
      </c>
      <c r="D3729" s="2" t="str">
        <f t="shared" si="57"/>
        <v>Error?</v>
      </c>
    </row>
    <row r="3730" spans="1:4" x14ac:dyDescent="0.2">
      <c r="A3730" s="5">
        <v>3669</v>
      </c>
      <c r="B3730" s="1831">
        <f>'ICR Computation 30'!E10</f>
        <v>6447</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895</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895</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56397782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153414426</v>
      </c>
      <c r="C4122" s="2" t="s">
        <v>568</v>
      </c>
      <c r="D4122" s="2" t="str">
        <f t="shared" si="63"/>
        <v>Error?</v>
      </c>
    </row>
    <row r="4123" spans="1:4" x14ac:dyDescent="0.2">
      <c r="A4123" s="5">
        <v>4062</v>
      </c>
      <c r="B4123" s="1831">
        <f>'Acct Summary 7-8'!D10</f>
        <v>11512345</v>
      </c>
      <c r="C4123" s="2" t="s">
        <v>568</v>
      </c>
      <c r="D4123" s="2" t="str">
        <f t="shared" si="63"/>
        <v>Error?</v>
      </c>
    </row>
    <row r="4124" spans="1:4" x14ac:dyDescent="0.2">
      <c r="A4124" s="5">
        <v>4063</v>
      </c>
      <c r="B4124" s="1831">
        <f>'Acct Summary 7-8'!E10</f>
        <v>26817224</v>
      </c>
      <c r="C4124" s="2" t="s">
        <v>568</v>
      </c>
      <c r="D4124" s="2" t="str">
        <f t="shared" si="63"/>
        <v>Error?</v>
      </c>
    </row>
    <row r="4125" spans="1:4" x14ac:dyDescent="0.2">
      <c r="A4125" s="5">
        <v>4064</v>
      </c>
      <c r="B4125" s="1831">
        <f>'Acct Summary 7-8'!F10</f>
        <v>10560778</v>
      </c>
      <c r="C4125" s="2" t="s">
        <v>568</v>
      </c>
      <c r="D4125" s="2" t="str">
        <f t="shared" si="63"/>
        <v>Error?</v>
      </c>
    </row>
    <row r="4126" spans="1:4" x14ac:dyDescent="0.2">
      <c r="A4126" s="5">
        <v>4065</v>
      </c>
      <c r="B4126" s="1831">
        <f>'Acct Summary 7-8'!G10</f>
        <v>4072539</v>
      </c>
      <c r="C4126" s="2" t="s">
        <v>568</v>
      </c>
      <c r="D4126" s="2" t="str">
        <f t="shared" si="63"/>
        <v>Error?</v>
      </c>
    </row>
    <row r="4127" spans="1:4" x14ac:dyDescent="0.2">
      <c r="A4127" s="5">
        <v>4066</v>
      </c>
      <c r="B4127" s="1831">
        <f>'Acct Summary 7-8'!H10</f>
        <v>0</v>
      </c>
      <c r="C4127" s="2" t="s">
        <v>568</v>
      </c>
      <c r="D4127" s="2" t="str">
        <f t="shared" si="63"/>
        <v>Error?</v>
      </c>
    </row>
    <row r="4128" spans="1:4" x14ac:dyDescent="0.2">
      <c r="A4128" s="5">
        <v>4067</v>
      </c>
      <c r="B4128" s="1831">
        <f>'Acct Summary 7-8'!I10</f>
        <v>1216587</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1197400</v>
      </c>
      <c r="C4130" s="2" t="s">
        <v>568</v>
      </c>
      <c r="D4130" s="2" t="str">
        <f t="shared" si="63"/>
        <v>Error?</v>
      </c>
    </row>
    <row r="4131" spans="1:4" x14ac:dyDescent="0.2">
      <c r="A4131" s="5">
        <v>4070</v>
      </c>
      <c r="B4131" s="1831">
        <f>'Acct Summary 7-8'!C18</f>
        <v>56397782</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167779617</v>
      </c>
      <c r="C4136" s="2" t="s">
        <v>568</v>
      </c>
      <c r="D4136" s="2" t="str">
        <f t="shared" si="63"/>
        <v>Error?</v>
      </c>
    </row>
    <row r="4137" spans="1:4" x14ac:dyDescent="0.2">
      <c r="A4137" s="5">
        <v>4076</v>
      </c>
      <c r="B4137" s="1831">
        <f>'Acct Summary 7-8'!D19</f>
        <v>11943221</v>
      </c>
      <c r="C4137" s="2" t="s">
        <v>568</v>
      </c>
      <c r="D4137" s="2" t="str">
        <f t="shared" si="63"/>
        <v>Error?</v>
      </c>
    </row>
    <row r="4138" spans="1:4" x14ac:dyDescent="0.2">
      <c r="A4138" s="5">
        <v>4077</v>
      </c>
      <c r="B4138" s="1831">
        <f>'Acct Summary 7-8'!E19</f>
        <v>31320257</v>
      </c>
      <c r="C4138" s="2" t="s">
        <v>568</v>
      </c>
      <c r="D4138" s="2" t="str">
        <f t="shared" si="63"/>
        <v>Error?</v>
      </c>
    </row>
    <row r="4139" spans="1:4" x14ac:dyDescent="0.2">
      <c r="A4139" s="5">
        <v>4078</v>
      </c>
      <c r="B4139" s="1831">
        <f>'Acct Summary 7-8'!F19</f>
        <v>10747915</v>
      </c>
      <c r="C4139" s="2" t="s">
        <v>568</v>
      </c>
      <c r="D4139" s="2" t="str">
        <f t="shared" si="63"/>
        <v>Error?</v>
      </c>
    </row>
    <row r="4140" spans="1:4" x14ac:dyDescent="0.2">
      <c r="A4140" s="5">
        <v>4079</v>
      </c>
      <c r="B4140" s="1831">
        <f>'Acct Summary 7-8'!G19</f>
        <v>4543864</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5731846</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134294916</v>
      </c>
      <c r="C4171" s="2" t="s">
        <v>568</v>
      </c>
      <c r="D4171" s="2" t="str">
        <f t="shared" si="64"/>
        <v>Error?</v>
      </c>
    </row>
    <row r="4172" spans="1:4" x14ac:dyDescent="0.2">
      <c r="A4172" s="5">
        <v>4111</v>
      </c>
      <c r="B4172" s="1831">
        <f>'Short-Term Long-Term Debt 24'!J49</f>
        <v>121818222</v>
      </c>
      <c r="C4172" s="2" t="s">
        <v>568</v>
      </c>
      <c r="D4172" s="2" t="str">
        <f t="shared" si="64"/>
        <v>Error?</v>
      </c>
    </row>
    <row r="4173" spans="1:4" x14ac:dyDescent="0.2">
      <c r="A4173" s="5">
        <v>4112</v>
      </c>
      <c r="B4173" s="1831">
        <f>'Short-Term Long-Term Debt 24'!H49</f>
        <v>27431228</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427775</v>
      </c>
      <c r="D4210" s="2" t="str">
        <f t="shared" si="64"/>
        <v>Error?</v>
      </c>
    </row>
    <row r="4211" spans="1:4" x14ac:dyDescent="0.2">
      <c r="A4211" s="5">
        <v>4150</v>
      </c>
      <c r="B4211" s="1831">
        <f>'Expenditures 15-22'!K206</f>
        <v>427775</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1895</v>
      </c>
    </row>
    <row r="4236" spans="1:5" x14ac:dyDescent="0.2">
      <c r="A4236" s="10">
        <v>4175</v>
      </c>
      <c r="B4236" s="1831"/>
      <c r="D4236" s="2" t="str">
        <f t="shared" si="65"/>
        <v>OK</v>
      </c>
      <c r="E4236" s="4" t="s">
        <v>1895</v>
      </c>
    </row>
    <row r="4237" spans="1:5" x14ac:dyDescent="0.2">
      <c r="A4237" s="10">
        <v>4176</v>
      </c>
      <c r="B4237" s="1831"/>
      <c r="D4237" s="2" t="str">
        <f t="shared" si="65"/>
        <v>OK</v>
      </c>
      <c r="E4237" s="4" t="s">
        <v>1895</v>
      </c>
    </row>
    <row r="4238" spans="1:5" x14ac:dyDescent="0.2">
      <c r="A4238" s="10">
        <v>4177</v>
      </c>
      <c r="B4238" s="1831"/>
      <c r="D4238" s="2" t="str">
        <f t="shared" si="65"/>
        <v>OK</v>
      </c>
      <c r="E4238" s="4" t="s">
        <v>1895</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2720</v>
      </c>
      <c r="C4265" s="2" t="s">
        <v>568</v>
      </c>
      <c r="D4265" s="2" t="str">
        <f t="shared" si="65"/>
        <v>Error?</v>
      </c>
      <c r="E4265" s="125"/>
    </row>
    <row r="4266" spans="1:5" x14ac:dyDescent="0.2">
      <c r="A4266" s="12">
        <v>4205</v>
      </c>
      <c r="B4266" s="1831">
        <f>('FP Info 3'!F10)*100000</f>
        <v>500</v>
      </c>
      <c r="C4266" s="2" t="s">
        <v>568</v>
      </c>
      <c r="D4266" s="2" t="str">
        <f t="shared" si="65"/>
        <v>Error?</v>
      </c>
      <c r="E4266" s="125"/>
    </row>
    <row r="4267" spans="1:5" x14ac:dyDescent="0.2">
      <c r="A4267" s="12">
        <v>4206</v>
      </c>
      <c r="B4267" s="1831">
        <f>('FP Info 3'!H10)*100000</f>
        <v>200</v>
      </c>
      <c r="C4267" s="2" t="s">
        <v>568</v>
      </c>
      <c r="D4267" s="2" t="str">
        <f t="shared" si="65"/>
        <v>Error?</v>
      </c>
      <c r="E4267" s="125"/>
    </row>
    <row r="4268" spans="1:5" x14ac:dyDescent="0.2">
      <c r="A4268" s="12">
        <v>4207</v>
      </c>
      <c r="B4268" s="1831">
        <f>('FP Info 3'!J10)*100000</f>
        <v>3420</v>
      </c>
      <c r="C4268" s="2" t="s">
        <v>568</v>
      </c>
      <c r="D4268" s="2" t="str">
        <f t="shared" si="65"/>
        <v>Error?</v>
      </c>
    </row>
    <row r="4269" spans="1:5" x14ac:dyDescent="0.2">
      <c r="A4269" s="12">
        <v>4208</v>
      </c>
      <c r="B4269" s="1831">
        <f>'FP Info 3'!J16</f>
        <v>54089353</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297040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183210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243433</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1895</v>
      </c>
    </row>
    <row r="4400" spans="1:5" x14ac:dyDescent="0.2">
      <c r="A4400" s="10">
        <v>4339</v>
      </c>
      <c r="B4400" s="1831"/>
      <c r="D4400" s="2" t="str">
        <f t="shared" si="67"/>
        <v>OK</v>
      </c>
      <c r="E4400" s="4" t="s">
        <v>1895</v>
      </c>
    </row>
    <row r="4401" spans="1:5" x14ac:dyDescent="0.2">
      <c r="A4401" s="10">
        <v>4340</v>
      </c>
      <c r="B4401" s="1831"/>
      <c r="D4401" s="2" t="str">
        <f t="shared" si="67"/>
        <v>OK</v>
      </c>
      <c r="E4401" s="4" t="s">
        <v>1895</v>
      </c>
    </row>
    <row r="4402" spans="1:5" x14ac:dyDescent="0.2">
      <c r="A4402" s="10">
        <v>4341</v>
      </c>
      <c r="B4402" s="1831"/>
      <c r="D4402" s="2" t="str">
        <f t="shared" si="67"/>
        <v>OK</v>
      </c>
      <c r="E4402" s="4" t="s">
        <v>1895</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60251</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358418</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132407</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132782</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2299341054</v>
      </c>
      <c r="D4995" s="2" t="str">
        <f t="shared" si="77"/>
        <v>Error?</v>
      </c>
    </row>
    <row r="4996" spans="1:4" x14ac:dyDescent="0.2">
      <c r="A4996" s="12">
        <v>4935</v>
      </c>
      <c r="B4996" s="1831">
        <f>'FP Info 3'!H31</f>
        <v>317309065.45200002</v>
      </c>
      <c r="D4996" s="2" t="str">
        <f t="shared" si="77"/>
        <v>Error?</v>
      </c>
    </row>
    <row r="4997" spans="1:4" x14ac:dyDescent="0.2">
      <c r="A4997" s="12">
        <v>4936</v>
      </c>
      <c r="B4997" s="1831">
        <f>'FP Info 3'!H37</f>
        <v>134294916</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372804</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54813514</v>
      </c>
      <c r="D5061" s="2" t="str">
        <f t="shared" si="78"/>
        <v>Error?</v>
      </c>
    </row>
    <row r="5062" spans="1:4" x14ac:dyDescent="0.2">
      <c r="A5062" s="10">
        <v>5001</v>
      </c>
      <c r="B5062" s="1831"/>
      <c r="D5062" s="2" t="str">
        <f t="shared" si="78"/>
        <v>OK</v>
      </c>
    </row>
    <row r="5063" spans="1:4" x14ac:dyDescent="0.2">
      <c r="A5063" s="5">
        <v>5002</v>
      </c>
      <c r="B5063" s="1831">
        <f>'Revenues 9-14'!C7</f>
        <v>806049</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55992367</v>
      </c>
      <c r="C5066" s="2" t="s">
        <v>568</v>
      </c>
      <c r="D5066" s="2" t="str">
        <f t="shared" si="78"/>
        <v>Error?</v>
      </c>
    </row>
    <row r="5067" spans="1:4" x14ac:dyDescent="0.2">
      <c r="A5067" s="5">
        <v>5006</v>
      </c>
      <c r="B5067" s="1831">
        <f>'Revenues 9-14'!C14</f>
        <v>63560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1797172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1860732</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170996</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170996</v>
      </c>
      <c r="C5087" s="2" t="s">
        <v>568</v>
      </c>
      <c r="D5087" s="2" t="str">
        <f t="shared" si="78"/>
        <v>Error?</v>
      </c>
    </row>
    <row r="5088" spans="1:4" x14ac:dyDescent="0.2">
      <c r="A5088" s="5">
        <v>5027</v>
      </c>
      <c r="B5088" s="1831">
        <f>'Revenues 9-14'!C65</f>
        <v>58197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58197</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20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68085</v>
      </c>
      <c r="D5095" s="2" t="str">
        <f t="shared" si="78"/>
        <v>Error?</v>
      </c>
    </row>
    <row r="5096" spans="1:4" x14ac:dyDescent="0.2">
      <c r="A5096" s="5">
        <v>5035</v>
      </c>
      <c r="B5096" s="1831">
        <f>'Revenues 9-14'!C75</f>
        <v>2450078</v>
      </c>
      <c r="C5096" s="2" t="s">
        <v>568</v>
      </c>
      <c r="D5096" s="2" t="str">
        <f t="shared" si="78"/>
        <v>Error?</v>
      </c>
    </row>
    <row r="5097" spans="1:4" x14ac:dyDescent="0.2">
      <c r="A5097" s="5">
        <v>5036</v>
      </c>
      <c r="B5097" s="1831">
        <f>'Revenues 9-14'!C77</f>
        <v>118055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677269</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795324</v>
      </c>
      <c r="C5102" s="2" t="s">
        <v>568</v>
      </c>
      <c r="D5102" s="2" t="str">
        <f t="shared" si="78"/>
        <v>Error?</v>
      </c>
    </row>
    <row r="5103" spans="1:4" x14ac:dyDescent="0.2">
      <c r="A5103" s="5">
        <v>5042</v>
      </c>
      <c r="B5103" s="1831">
        <f>'Revenues 9-14'!C84</f>
        <v>1057678</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131</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394</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1058203</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354862</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70745</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33830</v>
      </c>
      <c r="D5118" s="2" t="str">
        <f t="shared" si="78"/>
        <v>Error?</v>
      </c>
    </row>
    <row r="5119" spans="1:4" x14ac:dyDescent="0.2">
      <c r="A5119" s="5">
        <v>5058</v>
      </c>
      <c r="B5119" s="1831">
        <f>'Revenues 9-14'!C107</f>
        <v>114357</v>
      </c>
      <c r="D5119" s="2" t="str">
        <f t="shared" ref="D5119:D5182" si="79">IF(ISBLANK(B5119),"OK",IF(A5119-B5119=0,"OK","Error?"))</f>
        <v>Error?</v>
      </c>
    </row>
    <row r="5120" spans="1:4" x14ac:dyDescent="0.2">
      <c r="A5120" s="5">
        <v>5059</v>
      </c>
      <c r="B5120" s="1831">
        <f>'Revenues 9-14'!C108</f>
        <v>647266</v>
      </c>
      <c r="C5120" s="2" t="s">
        <v>568</v>
      </c>
      <c r="D5120" s="2" t="str">
        <f t="shared" si="79"/>
        <v>Error?</v>
      </c>
    </row>
    <row r="5121" spans="1:4" x14ac:dyDescent="0.2">
      <c r="A5121" s="5">
        <v>5060</v>
      </c>
      <c r="B5121" s="1831">
        <f>'Revenues 9-14'!C109</f>
        <v>63033163</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21178328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21178328</v>
      </c>
      <c r="C5132" s="2" t="s">
        <v>568</v>
      </c>
      <c r="D5132" s="2" t="str">
        <f t="shared" si="79"/>
        <v>Error?</v>
      </c>
    </row>
    <row r="5133" spans="1:4" x14ac:dyDescent="0.2">
      <c r="A5133" s="5">
        <v>5072</v>
      </c>
      <c r="B5133" s="1831">
        <f>'Revenues 9-14'!C125</f>
        <v>1540058</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284668</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1824726</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25180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235939</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235939</v>
      </c>
      <c r="C5165" s="2" t="s">
        <v>568</v>
      </c>
      <c r="D5165" s="2" t="str">
        <f t="shared" si="79"/>
        <v>Error?</v>
      </c>
    </row>
    <row r="5166" spans="1:4" x14ac:dyDescent="0.2">
      <c r="A5166" s="10">
        <v>5105</v>
      </c>
      <c r="B5166" s="1831"/>
      <c r="D5166" s="2" t="str">
        <f t="shared" si="79"/>
        <v>OK</v>
      </c>
    </row>
    <row r="5167" spans="1:4" x14ac:dyDescent="0.2">
      <c r="A5167" s="5">
        <v>5106</v>
      </c>
      <c r="B5167" s="1831">
        <f>'Revenues 9-14'!C146</f>
        <v>32943</v>
      </c>
      <c r="D5167" s="2" t="str">
        <f t="shared" si="79"/>
        <v>Error?</v>
      </c>
    </row>
    <row r="5168" spans="1:4" x14ac:dyDescent="0.2">
      <c r="A5168" s="5">
        <v>5107</v>
      </c>
      <c r="B5168" s="1831">
        <f>'Revenues 9-14'!C148</f>
        <v>38169</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1481368</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1895</v>
      </c>
    </row>
    <row r="5200" spans="1:5" x14ac:dyDescent="0.2">
      <c r="A5200" s="10">
        <v>5139</v>
      </c>
      <c r="B5200" s="1831"/>
      <c r="D5200" s="2" t="str">
        <f t="shared" si="80"/>
        <v>OK</v>
      </c>
      <c r="E5200" s="4" t="s">
        <v>1895</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3770732</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24949060</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1480452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441710</v>
      </c>
      <c r="D5241" s="2" t="str">
        <f t="shared" si="80"/>
        <v>Error?</v>
      </c>
    </row>
    <row r="5242" spans="1:4" x14ac:dyDescent="0.2">
      <c r="A5242" s="5">
        <v>5181</v>
      </c>
      <c r="B5242" s="1831">
        <f>'Revenues 9-14'!C194</f>
        <v>157567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2079729</v>
      </c>
      <c r="C5246" s="2" t="s">
        <v>568</v>
      </c>
      <c r="D5246" s="2" t="str">
        <f t="shared" si="80"/>
        <v>Error?</v>
      </c>
    </row>
    <row r="5247" spans="1:4" x14ac:dyDescent="0.2">
      <c r="A5247" s="5">
        <v>5186</v>
      </c>
      <c r="B5247" s="1831">
        <f>'Revenues 9-14'!C200</f>
        <v>1789300</v>
      </c>
      <c r="D5247" s="2" t="str">
        <f t="shared" ref="D5247:D5310" si="81">IF(ISBLANK(B5247),"OK",IF(A5247-B5247=0,"OK","Error?"))</f>
        <v>Error?</v>
      </c>
    </row>
    <row r="5248" spans="1:4" x14ac:dyDescent="0.2">
      <c r="A5248" s="5">
        <v>5187</v>
      </c>
      <c r="B5248" s="1831">
        <f>'Revenues 9-14'!C201</f>
        <v>91316</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1895</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2177656</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64690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2778760</v>
      </c>
      <c r="D5278" s="2" t="str">
        <f t="shared" si="81"/>
        <v>Error?</v>
      </c>
    </row>
    <row r="5279" spans="1:4" x14ac:dyDescent="0.2">
      <c r="A5279" s="5">
        <v>5218</v>
      </c>
      <c r="B5279" s="1831">
        <f>'Revenues 9-14'!C214</f>
        <v>762026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3605476</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1895</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9034421</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9034421</v>
      </c>
      <c r="C5326" s="2" t="s">
        <v>568</v>
      </c>
      <c r="D5326" s="2" t="str">
        <f t="shared" si="82"/>
        <v>Error?</v>
      </c>
    </row>
    <row r="5327" spans="1:5" x14ac:dyDescent="0.2">
      <c r="A5327" s="5">
        <v>5266</v>
      </c>
      <c r="B5327" s="1831">
        <f>'Revenues 9-14'!C268</f>
        <v>97016644</v>
      </c>
      <c r="C5327" s="2" t="s">
        <v>568</v>
      </c>
      <c r="D5327" s="2" t="str">
        <f t="shared" si="82"/>
        <v>Error?</v>
      </c>
    </row>
    <row r="5328" spans="1:5" x14ac:dyDescent="0.2">
      <c r="A5328" s="5">
        <v>5267</v>
      </c>
      <c r="B5328" s="1831">
        <f>'Revenues 9-14'!D5</f>
        <v>10075984</v>
      </c>
      <c r="D5328" s="2" t="str">
        <f t="shared" si="82"/>
        <v>Error?</v>
      </c>
    </row>
    <row r="5329" spans="1:4" x14ac:dyDescent="0.2">
      <c r="A5329" s="10">
        <v>5268</v>
      </c>
      <c r="B5329" s="1831"/>
      <c r="D5329" s="2" t="str">
        <f t="shared" si="82"/>
        <v>OK</v>
      </c>
    </row>
    <row r="5330" spans="1:4" x14ac:dyDescent="0.2">
      <c r="A5330" s="5">
        <v>5269</v>
      </c>
      <c r="B5330" s="1831">
        <f>'Revenues 9-14'!D6</f>
        <v>634774</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10710758</v>
      </c>
      <c r="C5334" s="2" t="s">
        <v>568</v>
      </c>
      <c r="D5334" s="2" t="str">
        <f t="shared" si="82"/>
        <v>Error?</v>
      </c>
    </row>
    <row r="5335" spans="1:4" x14ac:dyDescent="0.2">
      <c r="A5335" s="5">
        <v>5274</v>
      </c>
      <c r="B5335" s="1831">
        <f>'Revenues 9-14'!D14</f>
        <v>12158</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12158</v>
      </c>
      <c r="C5339" s="2" t="s">
        <v>568</v>
      </c>
      <c r="D5339" s="2" t="str">
        <f t="shared" si="82"/>
        <v>Error?</v>
      </c>
    </row>
    <row r="5340" spans="1:4" x14ac:dyDescent="0.2">
      <c r="A5340" s="5">
        <v>5279</v>
      </c>
      <c r="B5340" s="1831">
        <f>'Revenues 9-14'!D65</f>
        <v>10177</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10177</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73283</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460239</v>
      </c>
      <c r="D5354" s="2" t="str">
        <f t="shared" si="82"/>
        <v>Error?</v>
      </c>
    </row>
    <row r="5355" spans="1:4" x14ac:dyDescent="0.2">
      <c r="A5355" s="5">
        <v>5294</v>
      </c>
      <c r="B5355" s="1831">
        <f>'Revenues 9-14'!D108</f>
        <v>729252</v>
      </c>
      <c r="C5355" s="2" t="s">
        <v>568</v>
      </c>
      <c r="D5355" s="2" t="str">
        <f t="shared" si="82"/>
        <v>Error?</v>
      </c>
    </row>
    <row r="5356" spans="1:4" x14ac:dyDescent="0.2">
      <c r="A5356" s="5">
        <v>5295</v>
      </c>
      <c r="B5356" s="1831">
        <f>'Revenues 9-14'!D109</f>
        <v>11462345</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1895</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11512345</v>
      </c>
      <c r="C5508" s="2" t="s">
        <v>568</v>
      </c>
      <c r="D5508" s="2" t="str">
        <f t="shared" si="85"/>
        <v>Error?</v>
      </c>
    </row>
    <row r="5509" spans="1:4" x14ac:dyDescent="0.2">
      <c r="A5509" s="5">
        <v>5448</v>
      </c>
      <c r="B5509" s="1831">
        <f>'Revenues 9-14'!E5</f>
        <v>26687987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26687987</v>
      </c>
      <c r="C5513" s="2" t="s">
        <v>568</v>
      </c>
      <c r="D5513" s="2" t="str">
        <f t="shared" si="85"/>
        <v>Error?</v>
      </c>
    </row>
    <row r="5514" spans="1:4" x14ac:dyDescent="0.2">
      <c r="A5514" s="5">
        <v>5453</v>
      </c>
      <c r="B5514" s="1831">
        <f>'Revenues 9-14'!E14</f>
        <v>30832</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30832</v>
      </c>
      <c r="C5518" s="2" t="s">
        <v>568</v>
      </c>
      <c r="D5518" s="2" t="str">
        <f t="shared" si="85"/>
        <v>Error?</v>
      </c>
    </row>
    <row r="5519" spans="1:4" x14ac:dyDescent="0.2">
      <c r="A5519" s="5">
        <v>5458</v>
      </c>
      <c r="B5519" s="1831">
        <f>'Revenues 9-14'!E65</f>
        <v>98405</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98405</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26817224</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26817224</v>
      </c>
      <c r="C5552" s="2" t="s">
        <v>568</v>
      </c>
      <c r="D5552" s="2" t="str">
        <f t="shared" si="85"/>
        <v>Error?</v>
      </c>
    </row>
    <row r="5553" spans="1:4" x14ac:dyDescent="0.2">
      <c r="A5553" s="5">
        <v>5492</v>
      </c>
      <c r="B5553" s="1831">
        <f>'Revenues 9-14'!F5</f>
        <v>4030363</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4030363</v>
      </c>
      <c r="C5557" s="2" t="s">
        <v>568</v>
      </c>
      <c r="D5557" s="2" t="str">
        <f t="shared" si="85"/>
        <v>Error?</v>
      </c>
    </row>
    <row r="5558" spans="1:4" x14ac:dyDescent="0.2">
      <c r="A5558" s="5">
        <v>5497</v>
      </c>
      <c r="B5558" s="1831">
        <f>'Revenues 9-14'!F14</f>
        <v>4575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4575</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15112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15112</v>
      </c>
      <c r="C5582" s="2" t="s">
        <v>568</v>
      </c>
      <c r="D5582" s="2" t="str">
        <f t="shared" si="86"/>
        <v>Error?</v>
      </c>
    </row>
    <row r="5583" spans="1:4" x14ac:dyDescent="0.2">
      <c r="A5583" s="5">
        <v>5522</v>
      </c>
      <c r="B5583" s="1831">
        <f>'Revenues 9-14'!F96</f>
        <v>150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1800</v>
      </c>
      <c r="D5585" s="2" t="str">
        <f t="shared" si="86"/>
        <v>Error?</v>
      </c>
    </row>
    <row r="5586" spans="1:4" x14ac:dyDescent="0.2">
      <c r="A5586" s="5">
        <v>5525</v>
      </c>
      <c r="B5586" s="1831">
        <f>'Revenues 9-14'!F107</f>
        <v>4418</v>
      </c>
      <c r="D5586" s="2" t="str">
        <f t="shared" si="86"/>
        <v>Error?</v>
      </c>
    </row>
    <row r="5587" spans="1:4" x14ac:dyDescent="0.2">
      <c r="A5587" s="5">
        <v>5526</v>
      </c>
      <c r="B5587" s="1831">
        <f>'Revenues 9-14'!F108</f>
        <v>6368</v>
      </c>
      <c r="C5587" s="2" t="s">
        <v>568</v>
      </c>
      <c r="D5587" s="2" t="str">
        <f t="shared" si="86"/>
        <v>Error?</v>
      </c>
    </row>
    <row r="5588" spans="1:4" x14ac:dyDescent="0.2">
      <c r="A5588" s="5">
        <v>5527</v>
      </c>
      <c r="B5588" s="1831">
        <f>'Revenues 9-14'!F109</f>
        <v>4056418</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2601331</v>
      </c>
      <c r="D5615" s="2" t="str">
        <f t="shared" si="86"/>
        <v>Error?</v>
      </c>
    </row>
    <row r="5616" spans="1:4" x14ac:dyDescent="0.2">
      <c r="A5616" s="10">
        <v>5555</v>
      </c>
      <c r="B5616" s="1831"/>
      <c r="D5616" s="2" t="str">
        <f t="shared" si="86"/>
        <v>OK</v>
      </c>
    </row>
    <row r="5617" spans="1:5" x14ac:dyDescent="0.2">
      <c r="A5617" s="5">
        <v>5556</v>
      </c>
      <c r="B5617" s="1831">
        <f>'Revenues 9-14'!F153</f>
        <v>3903029</v>
      </c>
      <c r="D5617" s="2" t="str">
        <f t="shared" si="86"/>
        <v>Error?</v>
      </c>
    </row>
    <row r="5618" spans="1:5" x14ac:dyDescent="0.2">
      <c r="A5618" s="5">
        <v>5557</v>
      </c>
      <c r="B5618" s="1831">
        <f>'Revenues 9-14'!F155</f>
        <v>6504360</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1895</v>
      </c>
    </row>
    <row r="5631" spans="1:5" x14ac:dyDescent="0.2">
      <c r="A5631" s="10">
        <v>5570</v>
      </c>
      <c r="B5631" s="1831"/>
      <c r="D5631" s="2" t="str">
        <f t="shared" ref="D5631:D5694" si="87">IF(ISBLANK(B5631),"OK",IF(A5631-B5631=0,"OK","Error?"))</f>
        <v>OK</v>
      </c>
      <c r="E5631" s="4" t="s">
        <v>1895</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6504360</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6504360</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1895</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1895</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10560778</v>
      </c>
      <c r="C5720" s="2" t="s">
        <v>568</v>
      </c>
      <c r="D5720" s="2" t="str">
        <f t="shared" si="88"/>
        <v>Error?</v>
      </c>
    </row>
    <row r="5721" spans="1:4" x14ac:dyDescent="0.2">
      <c r="A5721" s="5">
        <v>5660</v>
      </c>
      <c r="B5721" s="1831">
        <f>'Revenues 9-14'!G5</f>
        <v>1662963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2211702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3874665</v>
      </c>
      <c r="C5725" s="2" t="s">
        <v>568</v>
      </c>
      <c r="D5725" s="2" t="str">
        <f t="shared" si="88"/>
        <v>Error?</v>
      </c>
    </row>
    <row r="5726" spans="1:4" x14ac:dyDescent="0.2">
      <c r="A5726" s="5">
        <v>5665</v>
      </c>
      <c r="B5726" s="1831">
        <f>'Revenues 9-14'!G14</f>
        <v>4300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179915</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184215</v>
      </c>
      <c r="C5730" s="2" t="s">
        <v>568</v>
      </c>
      <c r="D5730" s="2" t="str">
        <f t="shared" si="88"/>
        <v>Error?</v>
      </c>
    </row>
    <row r="5731" spans="1:4" x14ac:dyDescent="0.2">
      <c r="A5731" s="5">
        <v>5670</v>
      </c>
      <c r="B5731" s="1831">
        <f>'Revenues 9-14'!G65</f>
        <v>13659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13659</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1895</v>
      </c>
    </row>
    <row r="5768" spans="1:5" x14ac:dyDescent="0.2">
      <c r="A5768" s="10">
        <v>5707</v>
      </c>
      <c r="B5768" s="1831"/>
      <c r="D5768" s="2" t="str">
        <f t="shared" si="89"/>
        <v>OK</v>
      </c>
      <c r="E5768" s="4" t="s">
        <v>1895</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1895</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1895</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4072539</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0</v>
      </c>
      <c r="C5915" s="2" t="s">
        <v>568</v>
      </c>
      <c r="D5915" s="2" t="str">
        <f t="shared" si="91"/>
        <v>Error?</v>
      </c>
    </row>
    <row r="5916" spans="1:4" x14ac:dyDescent="0.2">
      <c r="A5916" s="5">
        <v>5855</v>
      </c>
      <c r="B5916" s="1831">
        <f>'Revenues 9-14'!I5</f>
        <v>1007578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1007578</v>
      </c>
      <c r="C5918" s="2" t="s">
        <v>568</v>
      </c>
      <c r="D5918" s="2" t="str">
        <f t="shared" si="91"/>
        <v>Error?</v>
      </c>
    </row>
    <row r="5919" spans="1:4" x14ac:dyDescent="0.2">
      <c r="A5919" s="5">
        <v>5858</v>
      </c>
      <c r="B5919" s="1831">
        <f>'Revenues 9-14'!I14</f>
        <v>1144</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1144</v>
      </c>
      <c r="C5923" s="2" t="s">
        <v>568</v>
      </c>
      <c r="D5923" s="2" t="str">
        <f t="shared" si="91"/>
        <v>Error?</v>
      </c>
    </row>
    <row r="5924" spans="1:4" x14ac:dyDescent="0.2">
      <c r="A5924" s="5">
        <v>5863</v>
      </c>
      <c r="B5924" s="1831">
        <f>'Revenues 9-14'!I65</f>
        <v>207865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207865</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1216587</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1007578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1007578</v>
      </c>
      <c r="C5987" s="2" t="s">
        <v>568</v>
      </c>
      <c r="D5987" s="2" t="str">
        <f t="shared" si="92"/>
        <v>Error?</v>
      </c>
    </row>
    <row r="5988" spans="1:4" x14ac:dyDescent="0.2">
      <c r="A5988" s="5">
        <v>5927</v>
      </c>
      <c r="B5988" s="1831">
        <f>'Revenues 9-14'!K14</f>
        <v>1144</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1144</v>
      </c>
      <c r="C5992" s="2" t="s">
        <v>568</v>
      </c>
      <c r="D5992" s="2" t="str">
        <f t="shared" si="92"/>
        <v>Error?</v>
      </c>
    </row>
    <row r="5993" spans="1:4" x14ac:dyDescent="0.2">
      <c r="A5993" s="5">
        <v>5932</v>
      </c>
      <c r="B5993" s="1831">
        <f>'Revenues 9-14'!K65</f>
        <v>188678</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188678</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1197400</v>
      </c>
      <c r="C6023" s="2" t="s">
        <v>568</v>
      </c>
      <c r="D6023" s="2" t="str">
        <f t="shared" si="93"/>
        <v>Error?</v>
      </c>
    </row>
    <row r="6024" spans="1:5" x14ac:dyDescent="0.2">
      <c r="A6024" s="5">
        <v>5963</v>
      </c>
      <c r="B6024" s="1831">
        <f>'Revenues 9-14'!G109</f>
        <v>4072539</v>
      </c>
      <c r="C6024" s="2" t="s">
        <v>568</v>
      </c>
      <c r="D6024" s="2" t="str">
        <f t="shared" si="93"/>
        <v>Error?</v>
      </c>
    </row>
    <row r="6025" spans="1:5" x14ac:dyDescent="0.2">
      <c r="A6025" s="5">
        <v>5964</v>
      </c>
      <c r="B6025" s="1831">
        <f>'Revenues 9-14'!H109</f>
        <v>0</v>
      </c>
      <c r="C6025" s="2" t="s">
        <v>568</v>
      </c>
      <c r="D6025" s="2" t="str">
        <f t="shared" si="93"/>
        <v>Error?</v>
      </c>
    </row>
    <row r="6026" spans="1:5" x14ac:dyDescent="0.2">
      <c r="A6026" s="5">
        <v>5965</v>
      </c>
      <c r="B6026" s="1831">
        <f>'Revenues 9-14'!I109</f>
        <v>1216587</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1197400</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2381973</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291114</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11695</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228848</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5094</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228848</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228848</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-228848</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5024620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5024620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5024620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5709571</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5709571</v>
      </c>
      <c r="D6229" s="2" t="str">
        <f t="shared" si="96"/>
        <v>Error?</v>
      </c>
      <c r="E6229" s="2" t="s">
        <v>189</v>
      </c>
    </row>
    <row r="6230" spans="1:5" x14ac:dyDescent="0.2">
      <c r="A6230">
        <v>6169</v>
      </c>
      <c r="B6230" s="1831">
        <f>'Acct Summary 7-8'!J20</f>
        <v>-684951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513453</v>
      </c>
      <c r="D6240" s="2" t="str">
        <f t="shared" si="96"/>
        <v>Error?</v>
      </c>
      <c r="E6240" s="2" t="s">
        <v>189</v>
      </c>
    </row>
    <row r="6241" spans="1:5" x14ac:dyDescent="0.2">
      <c r="A6241">
        <v>6180</v>
      </c>
      <c r="B6241" s="1831">
        <f>'Acct Summary 7-8'!D54</f>
        <v>645000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17940</v>
      </c>
      <c r="D6243" s="2" t="str">
        <f t="shared" si="96"/>
        <v>Error?</v>
      </c>
      <c r="E6243" s="2" t="s">
        <v>189</v>
      </c>
    </row>
    <row r="6244" spans="1:5" x14ac:dyDescent="0.2">
      <c r="A6244">
        <v>6183</v>
      </c>
      <c r="B6244" s="1831">
        <f>'Acct Summary 7-8'!D58</f>
        <v>25591</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163900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-684951</v>
      </c>
      <c r="D6263" s="2" t="str">
        <f t="shared" si="96"/>
        <v>Error?</v>
      </c>
      <c r="E6263" s="2" t="s">
        <v>189</v>
      </c>
    </row>
    <row r="6264" spans="1:5" x14ac:dyDescent="0.2">
      <c r="A6264">
        <v>6203</v>
      </c>
      <c r="B6264" s="1831">
        <f>'Acct Summary 7-8'!J79</f>
        <v>456103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-228848</v>
      </c>
      <c r="D6266" s="2" t="str">
        <f t="shared" si="96"/>
        <v>Error?</v>
      </c>
      <c r="E6266" s="2" t="s">
        <v>189</v>
      </c>
    </row>
    <row r="6267" spans="1:5" x14ac:dyDescent="0.2">
      <c r="A6267">
        <v>6206</v>
      </c>
      <c r="B6267" s="1831">
        <f>'Acct Summary 7-8'!C82</f>
        <v>-5014515</v>
      </c>
      <c r="D6267" s="2" t="str">
        <f t="shared" si="96"/>
        <v>Error?</v>
      </c>
      <c r="E6267" s="2" t="s">
        <v>189</v>
      </c>
    </row>
    <row r="6268" spans="1:5" x14ac:dyDescent="0.2">
      <c r="A6268">
        <v>6207</v>
      </c>
      <c r="B6268" s="1831">
        <f>'Acct Summary 7-8'!D82</f>
        <v>-1100717</v>
      </c>
      <c r="D6268" s="2" t="str">
        <f t="shared" si="96"/>
        <v>Error?</v>
      </c>
      <c r="E6268" s="2" t="s">
        <v>189</v>
      </c>
    </row>
    <row r="6269" spans="1:5" x14ac:dyDescent="0.2">
      <c r="A6269">
        <v>6208</v>
      </c>
      <c r="B6269" s="1831">
        <f>'Acct Summary 7-8'!E82</f>
        <v>-3301049</v>
      </c>
      <c r="D6269" s="2" t="str">
        <f t="shared" si="96"/>
        <v>Error?</v>
      </c>
      <c r="E6269" s="2" t="s">
        <v>189</v>
      </c>
    </row>
    <row r="6270" spans="1:5" x14ac:dyDescent="0.2">
      <c r="A6270">
        <v>6209</v>
      </c>
      <c r="B6270" s="1831">
        <f>'Acct Summary 7-8'!F82</f>
        <v>-185837</v>
      </c>
      <c r="D6270" s="2" t="str">
        <f t="shared" si="96"/>
        <v>Error?</v>
      </c>
      <c r="E6270" s="2" t="s">
        <v>189</v>
      </c>
    </row>
    <row r="6271" spans="1:5" x14ac:dyDescent="0.2">
      <c r="A6271">
        <v>6210</v>
      </c>
      <c r="B6271" s="1831">
        <f>'Acct Summary 7-8'!G82</f>
        <v>-471325</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20170618</v>
      </c>
      <c r="D6273" s="2" t="str">
        <f t="shared" si="97"/>
        <v>Error?</v>
      </c>
      <c r="E6273" s="2" t="s">
        <v>189</v>
      </c>
    </row>
    <row r="6274" spans="1:5" x14ac:dyDescent="0.2">
      <c r="A6274">
        <v>6213</v>
      </c>
      <c r="B6274" s="1831">
        <f>'Acct Summary 7-8'!J82</f>
        <v>-684951</v>
      </c>
      <c r="D6274" s="2" t="str">
        <f t="shared" si="97"/>
        <v>Error?</v>
      </c>
      <c r="E6274" s="2" t="s">
        <v>189</v>
      </c>
    </row>
    <row r="6275" spans="1:5" x14ac:dyDescent="0.2">
      <c r="A6275">
        <v>6214</v>
      </c>
      <c r="B6275" s="1831">
        <f>'Acct Summary 7-8'!K82</f>
        <v>-4534446</v>
      </c>
      <c r="D6275" s="2" t="str">
        <f t="shared" si="97"/>
        <v>Error?</v>
      </c>
      <c r="E6275" s="2" t="s">
        <v>189</v>
      </c>
    </row>
    <row r="6276" spans="1:5" x14ac:dyDescent="0.2">
      <c r="A6276">
        <v>6215</v>
      </c>
      <c r="B6276" s="1831">
        <f>'Acct Summary 7-8'!C83</f>
        <v>-0.89190775554561486</v>
      </c>
      <c r="D6276" s="2" t="str">
        <f t="shared" si="97"/>
        <v>Error?</v>
      </c>
      <c r="E6276" s="2" t="s">
        <v>189</v>
      </c>
    </row>
    <row r="6277" spans="1:5" x14ac:dyDescent="0.2">
      <c r="A6277">
        <v>6216</v>
      </c>
      <c r="B6277" s="1831">
        <f>'Acct Summary 7-8'!D83</f>
        <v>-4.3962384723836454</v>
      </c>
      <c r="D6277" s="2" t="str">
        <f t="shared" si="97"/>
        <v>Error?</v>
      </c>
      <c r="E6277" s="2" t="s">
        <v>189</v>
      </c>
    </row>
    <row r="6278" spans="1:5" x14ac:dyDescent="0.2">
      <c r="A6278">
        <v>6217</v>
      </c>
      <c r="B6278" s="1831">
        <f>'Acct Summary 7-8'!E83</f>
        <v>-0.2645772189331565</v>
      </c>
      <c r="D6278" s="2" t="str">
        <f t="shared" si="97"/>
        <v>Error?</v>
      </c>
      <c r="E6278" s="2" t="s">
        <v>189</v>
      </c>
    </row>
    <row r="6279" spans="1:5" x14ac:dyDescent="0.2">
      <c r="A6279">
        <v>6218</v>
      </c>
      <c r="B6279" s="1831">
        <f>'Acct Summary 7-8'!F83</f>
        <v>-0.28634934135814738</v>
      </c>
      <c r="D6279" s="2" t="str">
        <f t="shared" si="97"/>
        <v>Error?</v>
      </c>
      <c r="E6279" s="2" t="s">
        <v>189</v>
      </c>
    </row>
    <row r="6280" spans="1:5" x14ac:dyDescent="0.2">
      <c r="A6280">
        <v>6219</v>
      </c>
      <c r="B6280" s="1831">
        <f>'Acct Summary 7-8'!G83</f>
        <v>-0.28668619167966813</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0.424039739189704</v>
      </c>
      <c r="D6282" s="2" t="str">
        <f t="shared" si="97"/>
        <v>Error?</v>
      </c>
      <c r="E6282" s="2" t="s">
        <v>189</v>
      </c>
    </row>
    <row r="6283" spans="1:5" x14ac:dyDescent="0.2">
      <c r="A6283">
        <v>6222</v>
      </c>
      <c r="B6283" s="1831">
        <f>'Acct Summary 7-8'!J83</f>
        <v>2.99303904775222</v>
      </c>
      <c r="D6283" s="2" t="str">
        <f t="shared" si="97"/>
        <v>Error?</v>
      </c>
      <c r="E6283" s="2" t="s">
        <v>189</v>
      </c>
    </row>
    <row r="6284" spans="1:5" x14ac:dyDescent="0.2">
      <c r="A6284">
        <v>6223</v>
      </c>
      <c r="B6284" s="1831">
        <f>'Acct Summary 7-8'!K83</f>
        <v>-1.146778234297082</v>
      </c>
      <c r="D6284" s="2" t="str">
        <f t="shared" si="97"/>
        <v>Error?</v>
      </c>
      <c r="E6284" s="2" t="s">
        <v>189</v>
      </c>
    </row>
    <row r="6285" spans="1:5" x14ac:dyDescent="0.2">
      <c r="A6285">
        <v>6224</v>
      </c>
      <c r="B6285" s="1831">
        <f>'Acct Summary 7-8'!E37</f>
        <v>1158453</v>
      </c>
      <c r="D6285" s="2" t="str">
        <f t="shared" si="97"/>
        <v>Error?</v>
      </c>
      <c r="E6285" s="2" t="s">
        <v>189</v>
      </c>
    </row>
    <row r="6286" spans="1:5" x14ac:dyDescent="0.2">
      <c r="A6286">
        <v>6225</v>
      </c>
      <c r="B6286" s="1831">
        <f>'Acct Summary 7-8'!E38</f>
        <v>43531</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4999209</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4999209</v>
      </c>
      <c r="D6301" s="2" t="str">
        <f t="shared" si="97"/>
        <v>Error?</v>
      </c>
      <c r="E6301" s="2" t="s">
        <v>189</v>
      </c>
    </row>
    <row r="6302" spans="1:5" x14ac:dyDescent="0.2">
      <c r="A6302">
        <v>6241</v>
      </c>
      <c r="B6302" s="1831">
        <f>'Revenues 9-14'!J14</f>
        <v>5631</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5631</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7877</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7877</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65376</v>
      </c>
      <c r="D6339" s="2" t="str">
        <f t="shared" si="98"/>
        <v>Error?</v>
      </c>
      <c r="E6339" s="2" t="s">
        <v>189</v>
      </c>
    </row>
    <row r="6340" spans="1:5" x14ac:dyDescent="0.2">
      <c r="A6340">
        <v>6279</v>
      </c>
      <c r="B6340" s="1831">
        <f>'Revenues 9-14'!C102</f>
        <v>8096</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11903</v>
      </c>
      <c r="D6350" s="2" t="str">
        <f t="shared" si="98"/>
        <v>Error?</v>
      </c>
      <c r="E6350" s="2" t="s">
        <v>189</v>
      </c>
    </row>
    <row r="6351" spans="1:5" x14ac:dyDescent="0.2">
      <c r="A6351">
        <v>6290</v>
      </c>
      <c r="B6351" s="1831">
        <f>'Revenues 9-14'!J108</f>
        <v>11903</v>
      </c>
      <c r="D6351" s="2" t="str">
        <f t="shared" si="98"/>
        <v>Error?</v>
      </c>
      <c r="E6351" s="2" t="s">
        <v>189</v>
      </c>
    </row>
    <row r="6352" spans="1:5" x14ac:dyDescent="0.2">
      <c r="A6352">
        <v>6291</v>
      </c>
      <c r="B6352" s="1831">
        <f>'Revenues 9-14'!J109</f>
        <v>5024620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25180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1894</v>
      </c>
    </row>
    <row r="6383" spans="1:6" x14ac:dyDescent="0.2">
      <c r="A6383" s="126">
        <v>6322</v>
      </c>
      <c r="B6383" s="1831"/>
      <c r="D6383" s="2" t="str">
        <f t="shared" si="98"/>
        <v>OK</v>
      </c>
      <c r="E6383" s="2" t="s">
        <v>189</v>
      </c>
      <c r="F6383" s="1" t="s">
        <v>1894</v>
      </c>
    </row>
    <row r="6384" spans="1:6" x14ac:dyDescent="0.2">
      <c r="A6384" s="126">
        <v>6323</v>
      </c>
      <c r="B6384" s="1831"/>
      <c r="D6384" s="2" t="str">
        <f t="shared" si="98"/>
        <v>OK</v>
      </c>
      <c r="E6384" s="2" t="s">
        <v>189</v>
      </c>
      <c r="F6384" s="1" t="s">
        <v>1894</v>
      </c>
    </row>
    <row r="6385" spans="1:6" x14ac:dyDescent="0.2">
      <c r="A6385" s="126">
        <v>6324</v>
      </c>
      <c r="B6385" s="1831"/>
      <c r="D6385" s="2" t="str">
        <f t="shared" si="98"/>
        <v>OK</v>
      </c>
      <c r="E6385" s="2" t="s">
        <v>189</v>
      </c>
      <c r="F6385" s="1" t="s">
        <v>1894</v>
      </c>
    </row>
    <row r="6386" spans="1:6" x14ac:dyDescent="0.2">
      <c r="A6386" s="126">
        <v>6325</v>
      </c>
      <c r="B6386" s="1831"/>
      <c r="D6386" s="2" t="str">
        <f t="shared" si="98"/>
        <v>OK</v>
      </c>
      <c r="E6386" s="2" t="s">
        <v>189</v>
      </c>
      <c r="F6386" s="1" t="s">
        <v>1894</v>
      </c>
    </row>
    <row r="6387" spans="1:6" x14ac:dyDescent="0.2">
      <c r="A6387" s="126">
        <v>6326</v>
      </c>
      <c r="B6387" s="1831"/>
      <c r="D6387" s="2" t="str">
        <f t="shared" si="98"/>
        <v>OK</v>
      </c>
      <c r="E6387" s="2" t="s">
        <v>189</v>
      </c>
      <c r="F6387" s="1" t="s">
        <v>1894</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1894</v>
      </c>
    </row>
    <row r="6411" spans="1:6" x14ac:dyDescent="0.2">
      <c r="A6411" s="126">
        <v>6350</v>
      </c>
      <c r="B6411" s="1831"/>
      <c r="D6411" s="2" t="str">
        <f t="shared" si="99"/>
        <v>OK</v>
      </c>
      <c r="E6411" s="2" t="s">
        <v>189</v>
      </c>
      <c r="F6411" s="1" t="s">
        <v>1894</v>
      </c>
    </row>
    <row r="6412" spans="1:6" x14ac:dyDescent="0.2">
      <c r="A6412" s="126">
        <v>6351</v>
      </c>
      <c r="B6412" s="1831"/>
      <c r="D6412" s="2" t="str">
        <f t="shared" si="99"/>
        <v>OK</v>
      </c>
      <c r="E6412" s="2" t="s">
        <v>189</v>
      </c>
      <c r="F6412" s="1" t="s">
        <v>1894</v>
      </c>
    </row>
    <row r="6413" spans="1:6" x14ac:dyDescent="0.2">
      <c r="A6413" s="126">
        <v>6352</v>
      </c>
      <c r="B6413" s="1831"/>
      <c r="D6413" s="2" t="str">
        <f t="shared" si="99"/>
        <v>OK</v>
      </c>
      <c r="E6413" s="2" t="s">
        <v>189</v>
      </c>
      <c r="F6413" s="1" t="s">
        <v>1894</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1990</v>
      </c>
    </row>
    <row r="6417" spans="1:5" x14ac:dyDescent="0.2">
      <c r="A6417" s="126">
        <v>6356</v>
      </c>
      <c r="B6417" s="1831"/>
      <c r="D6417" s="2" t="str">
        <f t="shared" si="99"/>
        <v>OK</v>
      </c>
      <c r="E6417" s="4" t="s">
        <v>1990</v>
      </c>
    </row>
    <row r="6418" spans="1:5" x14ac:dyDescent="0.2">
      <c r="A6418" s="126">
        <v>6357</v>
      </c>
      <c r="B6418" s="1831"/>
      <c r="D6418" s="2" t="str">
        <f t="shared" si="99"/>
        <v>OK</v>
      </c>
      <c r="E6418" s="4" t="s">
        <v>1990</v>
      </c>
    </row>
    <row r="6419" spans="1:5" x14ac:dyDescent="0.2">
      <c r="A6419" s="126">
        <v>6358</v>
      </c>
      <c r="B6419" s="1831"/>
      <c r="D6419" s="2" t="str">
        <f t="shared" si="99"/>
        <v>OK</v>
      </c>
      <c r="E6419" s="4" t="s">
        <v>1990</v>
      </c>
    </row>
    <row r="6420" spans="1:5" x14ac:dyDescent="0.2">
      <c r="A6420" s="126">
        <v>6359</v>
      </c>
      <c r="B6420" s="1831"/>
      <c r="D6420" s="2" t="str">
        <f t="shared" si="99"/>
        <v>OK</v>
      </c>
      <c r="E6420" s="4" t="s">
        <v>1990</v>
      </c>
    </row>
    <row r="6421" spans="1:5" x14ac:dyDescent="0.2">
      <c r="A6421" s="126">
        <v>6360</v>
      </c>
      <c r="B6421" s="1831"/>
      <c r="D6421" s="2" t="str">
        <f t="shared" si="99"/>
        <v>OK</v>
      </c>
      <c r="E6421" s="4" t="s">
        <v>1990</v>
      </c>
    </row>
    <row r="6422" spans="1:5" x14ac:dyDescent="0.2">
      <c r="A6422" s="126">
        <v>6361</v>
      </c>
      <c r="B6422" s="1831"/>
      <c r="D6422" s="2" t="str">
        <f t="shared" si="99"/>
        <v>OK</v>
      </c>
      <c r="E6422" s="4" t="s">
        <v>1990</v>
      </c>
    </row>
    <row r="6423" spans="1:5" x14ac:dyDescent="0.2">
      <c r="A6423" s="126">
        <v>6362</v>
      </c>
      <c r="B6423" s="1831"/>
      <c r="D6423" s="2" t="str">
        <f t="shared" si="99"/>
        <v>OK</v>
      </c>
      <c r="E6423" s="4" t="s">
        <v>1990</v>
      </c>
    </row>
    <row r="6424" spans="1:5" x14ac:dyDescent="0.2">
      <c r="A6424" s="126">
        <v>6363</v>
      </c>
      <c r="B6424" s="1831"/>
      <c r="D6424" s="2" t="str">
        <f t="shared" si="99"/>
        <v>OK</v>
      </c>
      <c r="E6424" s="4" t="s">
        <v>1990</v>
      </c>
    </row>
    <row r="6425" spans="1:5" x14ac:dyDescent="0.2">
      <c r="A6425" s="126">
        <v>6364</v>
      </c>
      <c r="B6425" s="1831"/>
      <c r="D6425" s="2" t="str">
        <f t="shared" si="99"/>
        <v>OK</v>
      </c>
      <c r="E6425" s="4" t="s">
        <v>1990</v>
      </c>
    </row>
    <row r="6426" spans="1:5" x14ac:dyDescent="0.2">
      <c r="A6426" s="126">
        <v>6365</v>
      </c>
      <c r="B6426" s="1831"/>
      <c r="D6426" s="2" t="str">
        <f t="shared" si="99"/>
        <v>OK</v>
      </c>
      <c r="E6426" s="4" t="s">
        <v>1990</v>
      </c>
    </row>
    <row r="6427" spans="1:5" x14ac:dyDescent="0.2">
      <c r="A6427" s="126">
        <v>6366</v>
      </c>
      <c r="B6427" s="1831"/>
      <c r="D6427" s="2" t="str">
        <f t="shared" si="99"/>
        <v>OK</v>
      </c>
      <c r="E6427" s="4" t="s">
        <v>1990</v>
      </c>
    </row>
    <row r="6428" spans="1:5" x14ac:dyDescent="0.2">
      <c r="A6428" s="126">
        <v>6367</v>
      </c>
      <c r="B6428" s="1831"/>
      <c r="D6428" s="2" t="str">
        <f t="shared" si="99"/>
        <v>OK</v>
      </c>
      <c r="E6428" s="4" t="s">
        <v>1990</v>
      </c>
    </row>
    <row r="6429" spans="1:5" x14ac:dyDescent="0.2">
      <c r="A6429" s="126">
        <v>6368</v>
      </c>
      <c r="B6429" s="1831"/>
      <c r="D6429" s="2" t="str">
        <f t="shared" si="99"/>
        <v>OK</v>
      </c>
      <c r="E6429" s="4" t="s">
        <v>1990</v>
      </c>
    </row>
    <row r="6430" spans="1:5" x14ac:dyDescent="0.2">
      <c r="A6430" s="126">
        <v>6369</v>
      </c>
      <c r="B6430" s="1831"/>
      <c r="D6430" s="2" t="str">
        <f t="shared" si="99"/>
        <v>OK</v>
      </c>
      <c r="E6430" s="4" t="s">
        <v>1990</v>
      </c>
    </row>
    <row r="6431" spans="1:5" x14ac:dyDescent="0.2">
      <c r="A6431" s="126">
        <v>6370</v>
      </c>
      <c r="B6431" s="1831"/>
      <c r="D6431" s="2" t="str">
        <f t="shared" si="99"/>
        <v>OK</v>
      </c>
      <c r="E6431" s="4" t="s">
        <v>1990</v>
      </c>
    </row>
    <row r="6432" spans="1:5" x14ac:dyDescent="0.2">
      <c r="A6432" s="126">
        <v>6371</v>
      </c>
      <c r="B6432" s="1831"/>
      <c r="D6432" s="2" t="str">
        <f t="shared" si="99"/>
        <v>OK</v>
      </c>
      <c r="E6432" s="4" t="s">
        <v>1990</v>
      </c>
    </row>
    <row r="6433" spans="1:5" x14ac:dyDescent="0.2">
      <c r="A6433" s="126">
        <v>6372</v>
      </c>
      <c r="B6433" s="1831"/>
      <c r="D6433" s="2" t="str">
        <f t="shared" si="99"/>
        <v>OK</v>
      </c>
      <c r="E6433" s="4" t="s">
        <v>1990</v>
      </c>
    </row>
    <row r="6434" spans="1:5" x14ac:dyDescent="0.2">
      <c r="A6434" s="126">
        <v>6373</v>
      </c>
      <c r="B6434" s="1831"/>
      <c r="D6434" s="2" t="str">
        <f t="shared" si="99"/>
        <v>OK</v>
      </c>
      <c r="E6434" s="4" t="s">
        <v>1990</v>
      </c>
    </row>
    <row r="6435" spans="1:5" x14ac:dyDescent="0.2">
      <c r="A6435" s="126">
        <v>6374</v>
      </c>
      <c r="B6435" s="1831"/>
      <c r="D6435" s="2" t="str">
        <f t="shared" si="99"/>
        <v>OK</v>
      </c>
      <c r="E6435" s="4" t="s">
        <v>1990</v>
      </c>
    </row>
    <row r="6436" spans="1:5" x14ac:dyDescent="0.2">
      <c r="A6436" s="126">
        <v>6375</v>
      </c>
      <c r="B6436" s="1831"/>
      <c r="D6436" s="2" t="str">
        <f t="shared" si="99"/>
        <v>OK</v>
      </c>
      <c r="E6436" s="4" t="s">
        <v>1990</v>
      </c>
    </row>
    <row r="6437" spans="1:5" x14ac:dyDescent="0.2">
      <c r="A6437" s="126">
        <v>6376</v>
      </c>
      <c r="B6437" s="1831"/>
      <c r="D6437" s="2" t="str">
        <f t="shared" si="99"/>
        <v>OK</v>
      </c>
      <c r="E6437" s="4" t="s">
        <v>1990</v>
      </c>
    </row>
    <row r="6438" spans="1:5" x14ac:dyDescent="0.2">
      <c r="A6438" s="126">
        <v>6377</v>
      </c>
      <c r="B6438" s="1831"/>
      <c r="D6438" s="2" t="str">
        <f t="shared" si="99"/>
        <v>OK</v>
      </c>
      <c r="E6438" s="4" t="s">
        <v>1990</v>
      </c>
    </row>
    <row r="6439" spans="1:5" x14ac:dyDescent="0.2">
      <c r="A6439" s="126">
        <v>6378</v>
      </c>
      <c r="B6439" s="1831"/>
      <c r="D6439" s="2" t="str">
        <f t="shared" si="99"/>
        <v>OK</v>
      </c>
      <c r="E6439" s="4" t="s">
        <v>1990</v>
      </c>
    </row>
    <row r="6440" spans="1:5" x14ac:dyDescent="0.2">
      <c r="A6440" s="126">
        <v>6379</v>
      </c>
      <c r="B6440" s="1831"/>
      <c r="D6440" s="2" t="str">
        <f t="shared" si="99"/>
        <v>OK</v>
      </c>
      <c r="E6440" s="4" t="s">
        <v>1990</v>
      </c>
    </row>
    <row r="6441" spans="1:5" x14ac:dyDescent="0.2">
      <c r="A6441" s="126">
        <v>6380</v>
      </c>
      <c r="B6441" s="1831"/>
      <c r="D6441" s="2" t="str">
        <f t="shared" si="99"/>
        <v>OK</v>
      </c>
      <c r="E6441" s="4" t="s">
        <v>1990</v>
      </c>
    </row>
    <row r="6442" spans="1:5" x14ac:dyDescent="0.2">
      <c r="A6442" s="126">
        <v>6381</v>
      </c>
      <c r="B6442" s="1831"/>
      <c r="D6442" s="2" t="str">
        <f t="shared" si="99"/>
        <v>OK</v>
      </c>
      <c r="E6442" s="4" t="s">
        <v>1990</v>
      </c>
    </row>
    <row r="6443" spans="1:5" x14ac:dyDescent="0.2">
      <c r="A6443" s="126">
        <v>6382</v>
      </c>
      <c r="B6443" s="1831"/>
      <c r="D6443" s="2" t="str">
        <f t="shared" si="99"/>
        <v>OK</v>
      </c>
      <c r="E6443" s="4" t="s">
        <v>1990</v>
      </c>
    </row>
    <row r="6444" spans="1:5" x14ac:dyDescent="0.2">
      <c r="A6444" s="126">
        <v>6383</v>
      </c>
      <c r="B6444" s="1831"/>
      <c r="D6444" s="2" t="str">
        <f t="shared" si="99"/>
        <v>OK</v>
      </c>
      <c r="E6444" s="4" t="s">
        <v>1990</v>
      </c>
    </row>
    <row r="6445" spans="1:5" x14ac:dyDescent="0.2">
      <c r="A6445" s="126">
        <v>6384</v>
      </c>
      <c r="B6445" s="1831"/>
      <c r="D6445" s="2" t="str">
        <f t="shared" si="99"/>
        <v>OK</v>
      </c>
      <c r="E6445" s="4" t="s">
        <v>1990</v>
      </c>
    </row>
    <row r="6446" spans="1:5" x14ac:dyDescent="0.2">
      <c r="A6446" s="126">
        <v>6385</v>
      </c>
      <c r="B6446" s="1831"/>
      <c r="D6446" s="2" t="str">
        <f t="shared" si="99"/>
        <v>OK</v>
      </c>
      <c r="E6446" s="4" t="s">
        <v>1990</v>
      </c>
    </row>
    <row r="6447" spans="1:5" x14ac:dyDescent="0.2">
      <c r="A6447" s="126">
        <v>6386</v>
      </c>
      <c r="B6447" s="1831"/>
      <c r="D6447" s="2" t="str">
        <f t="shared" si="99"/>
        <v>OK</v>
      </c>
      <c r="E6447" s="4" t="s">
        <v>1990</v>
      </c>
    </row>
    <row r="6448" spans="1:5" x14ac:dyDescent="0.2">
      <c r="A6448" s="126">
        <v>6387</v>
      </c>
      <c r="B6448" s="1831"/>
      <c r="D6448" s="2" t="str">
        <f t="shared" si="99"/>
        <v>OK</v>
      </c>
      <c r="E6448" s="4" t="s">
        <v>1990</v>
      </c>
    </row>
    <row r="6449" spans="1:5" x14ac:dyDescent="0.2">
      <c r="A6449" s="126">
        <v>6388</v>
      </c>
      <c r="B6449" s="1831"/>
      <c r="D6449" s="2" t="str">
        <f t="shared" si="99"/>
        <v>OK</v>
      </c>
      <c r="E6449" s="4" t="s">
        <v>1990</v>
      </c>
    </row>
    <row r="6450" spans="1:5" x14ac:dyDescent="0.2">
      <c r="A6450" s="126">
        <v>6389</v>
      </c>
      <c r="B6450" s="1831"/>
      <c r="D6450" s="2" t="str">
        <f t="shared" si="99"/>
        <v>OK</v>
      </c>
      <c r="E6450" s="4" t="s">
        <v>1990</v>
      </c>
    </row>
    <row r="6451" spans="1:5" x14ac:dyDescent="0.2">
      <c r="A6451" s="126">
        <v>6390</v>
      </c>
      <c r="B6451" s="1831"/>
      <c r="D6451" s="2" t="str">
        <f t="shared" si="99"/>
        <v>OK</v>
      </c>
      <c r="E6451" s="4" t="s">
        <v>1990</v>
      </c>
    </row>
    <row r="6452" spans="1:5" x14ac:dyDescent="0.2">
      <c r="A6452" s="126">
        <v>6391</v>
      </c>
      <c r="B6452" s="1831"/>
      <c r="D6452" s="2" t="str">
        <f t="shared" si="99"/>
        <v>OK</v>
      </c>
      <c r="E6452" s="4" t="s">
        <v>1990</v>
      </c>
    </row>
    <row r="6453" spans="1:5" x14ac:dyDescent="0.2">
      <c r="A6453" s="126">
        <v>6392</v>
      </c>
      <c r="B6453" s="1831"/>
      <c r="D6453" s="2" t="str">
        <f t="shared" si="99"/>
        <v>OK</v>
      </c>
      <c r="E6453" s="4" t="s">
        <v>1990</v>
      </c>
    </row>
    <row r="6454" spans="1:5" x14ac:dyDescent="0.2">
      <c r="A6454" s="126">
        <v>6393</v>
      </c>
      <c r="B6454" s="1831"/>
      <c r="D6454" s="2" t="str">
        <f t="shared" si="99"/>
        <v>OK</v>
      </c>
      <c r="E6454" s="4" t="s">
        <v>1990</v>
      </c>
    </row>
    <row r="6455" spans="1:5" x14ac:dyDescent="0.2">
      <c r="A6455" s="126">
        <v>6394</v>
      </c>
      <c r="B6455" s="1831"/>
      <c r="D6455" s="2" t="str">
        <f t="shared" si="99"/>
        <v>OK</v>
      </c>
      <c r="E6455" s="4" t="s">
        <v>1990</v>
      </c>
    </row>
    <row r="6456" spans="1:5" x14ac:dyDescent="0.2">
      <c r="A6456" s="126">
        <v>6395</v>
      </c>
      <c r="B6456" s="1831"/>
      <c r="D6456" s="2" t="str">
        <f t="shared" si="99"/>
        <v>OK</v>
      </c>
      <c r="E6456" s="4" t="s">
        <v>1990</v>
      </c>
    </row>
    <row r="6457" spans="1:5" x14ac:dyDescent="0.2">
      <c r="A6457" s="126">
        <v>6396</v>
      </c>
      <c r="B6457" s="1831"/>
      <c r="D6457" s="2" t="str">
        <f t="shared" si="99"/>
        <v>OK</v>
      </c>
      <c r="E6457" s="4" t="s">
        <v>1990</v>
      </c>
    </row>
    <row r="6458" spans="1:5" x14ac:dyDescent="0.2">
      <c r="A6458" s="126">
        <v>6397</v>
      </c>
      <c r="B6458" s="1831"/>
      <c r="D6458" s="2" t="str">
        <f t="shared" si="99"/>
        <v>OK</v>
      </c>
      <c r="E6458" s="4" t="s">
        <v>1990</v>
      </c>
    </row>
    <row r="6459" spans="1:5" x14ac:dyDescent="0.2">
      <c r="A6459" s="126">
        <v>6398</v>
      </c>
      <c r="B6459" s="1831"/>
      <c r="D6459" s="2" t="str">
        <f t="shared" si="99"/>
        <v>OK</v>
      </c>
      <c r="E6459" s="4" t="s">
        <v>1990</v>
      </c>
    </row>
    <row r="6460" spans="1:5" x14ac:dyDescent="0.2">
      <c r="A6460" s="126">
        <v>6399</v>
      </c>
      <c r="B6460" s="1831"/>
      <c r="D6460" s="2" t="str">
        <f t="shared" si="99"/>
        <v>OK</v>
      </c>
      <c r="E6460" s="4" t="s">
        <v>1990</v>
      </c>
    </row>
    <row r="6461" spans="1:5" x14ac:dyDescent="0.2">
      <c r="A6461" s="126">
        <v>6400</v>
      </c>
      <c r="B6461" s="1831"/>
      <c r="D6461" s="2" t="str">
        <f t="shared" si="99"/>
        <v>OK</v>
      </c>
      <c r="E6461" s="4" t="s">
        <v>1990</v>
      </c>
    </row>
    <row r="6462" spans="1:5" x14ac:dyDescent="0.2">
      <c r="A6462" s="126">
        <v>6401</v>
      </c>
      <c r="B6462" s="1831"/>
      <c r="D6462" s="2" t="str">
        <f t="shared" si="99"/>
        <v>OK</v>
      </c>
      <c r="E6462" s="4" t="s">
        <v>1990</v>
      </c>
    </row>
    <row r="6463" spans="1:5" x14ac:dyDescent="0.2">
      <c r="A6463" s="126">
        <v>6402</v>
      </c>
      <c r="B6463" s="1831"/>
      <c r="D6463" s="2" t="str">
        <f t="shared" ref="D6463:D6526" si="100">IF(ISBLANK(B6463),"OK",IF(A6463-B6463=0,"OK","Error?"))</f>
        <v>OK</v>
      </c>
      <c r="E6463" s="4" t="s">
        <v>1990</v>
      </c>
    </row>
    <row r="6464" spans="1:5" x14ac:dyDescent="0.2">
      <c r="A6464" s="126">
        <v>6403</v>
      </c>
      <c r="B6464" s="1831"/>
      <c r="D6464" s="2" t="str">
        <f t="shared" si="100"/>
        <v>OK</v>
      </c>
      <c r="E6464" s="4" t="s">
        <v>1990</v>
      </c>
    </row>
    <row r="6465" spans="1:5" x14ac:dyDescent="0.2">
      <c r="A6465" s="126">
        <v>6404</v>
      </c>
      <c r="B6465" s="1831"/>
      <c r="D6465" s="2" t="str">
        <f t="shared" si="100"/>
        <v>OK</v>
      </c>
      <c r="E6465" s="4" t="s">
        <v>1990</v>
      </c>
    </row>
    <row r="6466" spans="1:5" x14ac:dyDescent="0.2">
      <c r="A6466" s="126">
        <v>6405</v>
      </c>
      <c r="B6466" s="1831"/>
      <c r="D6466" s="2" t="str">
        <f t="shared" si="100"/>
        <v>OK</v>
      </c>
      <c r="E6466" s="4" t="s">
        <v>1990</v>
      </c>
    </row>
    <row r="6467" spans="1:5" x14ac:dyDescent="0.2">
      <c r="A6467" s="126">
        <v>6406</v>
      </c>
      <c r="B6467" s="1831"/>
      <c r="D6467" s="2" t="str">
        <f t="shared" si="100"/>
        <v>OK</v>
      </c>
      <c r="E6467" s="4" t="s">
        <v>1990</v>
      </c>
    </row>
    <row r="6468" spans="1:5" x14ac:dyDescent="0.2">
      <c r="A6468" s="126">
        <v>6407</v>
      </c>
      <c r="B6468" s="1831"/>
      <c r="D6468" s="2" t="str">
        <f t="shared" si="100"/>
        <v>OK</v>
      </c>
      <c r="E6468" s="4" t="s">
        <v>1990</v>
      </c>
    </row>
    <row r="6469" spans="1:5" x14ac:dyDescent="0.2">
      <c r="A6469" s="126">
        <v>6408</v>
      </c>
      <c r="B6469" s="1831"/>
      <c r="D6469" s="2" t="str">
        <f t="shared" si="100"/>
        <v>OK</v>
      </c>
      <c r="E6469" s="4" t="s">
        <v>1990</v>
      </c>
    </row>
    <row r="6470" spans="1:5" x14ac:dyDescent="0.2">
      <c r="A6470" s="126">
        <v>6409</v>
      </c>
      <c r="B6470" s="1831"/>
      <c r="D6470" s="2" t="str">
        <f t="shared" si="100"/>
        <v>OK</v>
      </c>
      <c r="E6470" s="4" t="s">
        <v>1990</v>
      </c>
    </row>
    <row r="6471" spans="1:5" x14ac:dyDescent="0.2">
      <c r="A6471" s="126">
        <v>6410</v>
      </c>
      <c r="B6471" s="1831"/>
      <c r="D6471" s="2" t="str">
        <f t="shared" si="100"/>
        <v>OK</v>
      </c>
      <c r="E6471" s="4" t="s">
        <v>1990</v>
      </c>
    </row>
    <row r="6472" spans="1:5" x14ac:dyDescent="0.2">
      <c r="A6472" s="126">
        <v>6411</v>
      </c>
      <c r="B6472" s="1831"/>
      <c r="D6472" s="2" t="str">
        <f t="shared" si="100"/>
        <v>OK</v>
      </c>
      <c r="E6472" s="4" t="s">
        <v>1990</v>
      </c>
    </row>
    <row r="6473" spans="1:5" x14ac:dyDescent="0.2">
      <c r="A6473" s="126">
        <v>6412</v>
      </c>
      <c r="B6473" s="1831"/>
      <c r="D6473" s="2" t="str">
        <f t="shared" si="100"/>
        <v>OK</v>
      </c>
      <c r="E6473" s="4" t="s">
        <v>1990</v>
      </c>
    </row>
    <row r="6474" spans="1:5" x14ac:dyDescent="0.2">
      <c r="A6474" s="126">
        <v>6413</v>
      </c>
      <c r="B6474" s="1831"/>
      <c r="D6474" s="2" t="str">
        <f t="shared" si="100"/>
        <v>OK</v>
      </c>
      <c r="E6474" s="4" t="s">
        <v>1990</v>
      </c>
    </row>
    <row r="6475" spans="1:5" x14ac:dyDescent="0.2">
      <c r="A6475" s="126">
        <v>6414</v>
      </c>
      <c r="B6475" s="1831"/>
      <c r="D6475" s="2" t="str">
        <f t="shared" si="100"/>
        <v>OK</v>
      </c>
      <c r="E6475" s="4" t="s">
        <v>1990</v>
      </c>
    </row>
    <row r="6476" spans="1:5" x14ac:dyDescent="0.2">
      <c r="A6476" s="126">
        <v>6415</v>
      </c>
      <c r="B6476" s="1831"/>
      <c r="D6476" s="2" t="str">
        <f t="shared" si="100"/>
        <v>OK</v>
      </c>
      <c r="E6476" s="4" t="s">
        <v>1990</v>
      </c>
    </row>
    <row r="6477" spans="1:5" x14ac:dyDescent="0.2">
      <c r="A6477" s="126">
        <v>6416</v>
      </c>
      <c r="B6477" s="1831"/>
      <c r="D6477" s="2" t="str">
        <f t="shared" si="100"/>
        <v>OK</v>
      </c>
      <c r="E6477" s="4" t="s">
        <v>1990</v>
      </c>
    </row>
    <row r="6478" spans="1:5" x14ac:dyDescent="0.2">
      <c r="A6478" s="126">
        <v>6417</v>
      </c>
      <c r="B6478" s="1831"/>
      <c r="D6478" s="2" t="str">
        <f t="shared" si="100"/>
        <v>OK</v>
      </c>
      <c r="E6478" s="4" t="s">
        <v>1990</v>
      </c>
    </row>
    <row r="6479" spans="1:5" x14ac:dyDescent="0.2">
      <c r="A6479" s="126">
        <v>6418</v>
      </c>
      <c r="B6479" s="1831"/>
      <c r="D6479" s="2" t="str">
        <f t="shared" si="100"/>
        <v>OK</v>
      </c>
      <c r="E6479" s="4" t="s">
        <v>1990</v>
      </c>
    </row>
    <row r="6480" spans="1:5" x14ac:dyDescent="0.2">
      <c r="A6480" s="126">
        <v>6419</v>
      </c>
      <c r="B6480" s="1831"/>
      <c r="D6480" s="2" t="str">
        <f t="shared" si="100"/>
        <v>OK</v>
      </c>
      <c r="E6480" s="4" t="s">
        <v>1990</v>
      </c>
    </row>
    <row r="6481" spans="1:5" x14ac:dyDescent="0.2">
      <c r="A6481" s="126">
        <v>6420</v>
      </c>
      <c r="B6481" s="1831"/>
      <c r="D6481" s="2" t="str">
        <f t="shared" si="100"/>
        <v>OK</v>
      </c>
      <c r="E6481" s="4" t="s">
        <v>1990</v>
      </c>
    </row>
    <row r="6482" spans="1:5" x14ac:dyDescent="0.2">
      <c r="A6482" s="126">
        <v>6421</v>
      </c>
      <c r="B6482" s="1831"/>
      <c r="D6482" s="2" t="str">
        <f t="shared" si="100"/>
        <v>OK</v>
      </c>
      <c r="E6482" s="4" t="s">
        <v>1990</v>
      </c>
    </row>
    <row r="6483" spans="1:5" x14ac:dyDescent="0.2">
      <c r="A6483" s="126">
        <v>6422</v>
      </c>
      <c r="B6483" s="1831"/>
      <c r="D6483" s="2" t="str">
        <f t="shared" si="100"/>
        <v>OK</v>
      </c>
      <c r="E6483" s="4" t="s">
        <v>1990</v>
      </c>
    </row>
    <row r="6484" spans="1:5" x14ac:dyDescent="0.2">
      <c r="A6484" s="126">
        <v>6423</v>
      </c>
      <c r="B6484" s="1831"/>
      <c r="D6484" s="2" t="str">
        <f t="shared" si="100"/>
        <v>OK</v>
      </c>
      <c r="E6484" s="4" t="s">
        <v>1990</v>
      </c>
    </row>
    <row r="6485" spans="1:5" x14ac:dyDescent="0.2">
      <c r="A6485" s="126">
        <v>6424</v>
      </c>
      <c r="B6485" s="1831"/>
      <c r="D6485" s="2" t="str">
        <f t="shared" si="100"/>
        <v>OK</v>
      </c>
      <c r="E6485" s="4" t="s">
        <v>1990</v>
      </c>
    </row>
    <row r="6486" spans="1:5" x14ac:dyDescent="0.2">
      <c r="A6486" s="126">
        <v>6425</v>
      </c>
      <c r="B6486" s="1831"/>
      <c r="D6486" s="2" t="str">
        <f t="shared" si="100"/>
        <v>OK</v>
      </c>
      <c r="E6486" s="4" t="s">
        <v>1990</v>
      </c>
    </row>
    <row r="6487" spans="1:5" x14ac:dyDescent="0.2">
      <c r="A6487" s="126">
        <v>6426</v>
      </c>
      <c r="B6487" s="1831"/>
      <c r="D6487" s="2" t="str">
        <f t="shared" si="100"/>
        <v>OK</v>
      </c>
      <c r="E6487" s="4" t="s">
        <v>1990</v>
      </c>
    </row>
    <row r="6488" spans="1:5" x14ac:dyDescent="0.2">
      <c r="A6488" s="126">
        <v>6427</v>
      </c>
      <c r="B6488" s="1831"/>
      <c r="D6488" s="2" t="str">
        <f t="shared" si="100"/>
        <v>OK</v>
      </c>
      <c r="E6488" s="4" t="s">
        <v>1990</v>
      </c>
    </row>
    <row r="6489" spans="1:5" x14ac:dyDescent="0.2">
      <c r="A6489" s="126">
        <v>6428</v>
      </c>
      <c r="B6489" s="1831"/>
      <c r="D6489" s="2" t="str">
        <f t="shared" si="100"/>
        <v>OK</v>
      </c>
      <c r="E6489" s="4" t="s">
        <v>1990</v>
      </c>
    </row>
    <row r="6490" spans="1:5" x14ac:dyDescent="0.2">
      <c r="A6490" s="126">
        <v>6429</v>
      </c>
      <c r="B6490" s="1831"/>
      <c r="D6490" s="2" t="str">
        <f t="shared" si="100"/>
        <v>OK</v>
      </c>
      <c r="E6490" s="4" t="s">
        <v>1990</v>
      </c>
    </row>
    <row r="6491" spans="1:5" x14ac:dyDescent="0.2">
      <c r="A6491" s="126">
        <v>6430</v>
      </c>
      <c r="B6491" s="1831"/>
      <c r="D6491" s="2" t="str">
        <f t="shared" si="100"/>
        <v>OK</v>
      </c>
      <c r="E6491" s="4" t="s">
        <v>1990</v>
      </c>
    </row>
    <row r="6492" spans="1:5" x14ac:dyDescent="0.2">
      <c r="A6492" s="126">
        <v>6431</v>
      </c>
      <c r="B6492" s="1831"/>
      <c r="D6492" s="2" t="str">
        <f t="shared" si="100"/>
        <v>OK</v>
      </c>
      <c r="E6492" s="4" t="s">
        <v>1990</v>
      </c>
    </row>
    <row r="6493" spans="1:5" x14ac:dyDescent="0.2">
      <c r="A6493" s="126">
        <v>6432</v>
      </c>
      <c r="B6493" s="1831"/>
      <c r="D6493" s="2" t="str">
        <f t="shared" si="100"/>
        <v>OK</v>
      </c>
      <c r="E6493" s="4" t="s">
        <v>1990</v>
      </c>
    </row>
    <row r="6494" spans="1:5" x14ac:dyDescent="0.2">
      <c r="A6494" s="126">
        <v>6433</v>
      </c>
      <c r="B6494" s="1831"/>
      <c r="D6494" s="2" t="str">
        <f t="shared" si="100"/>
        <v>OK</v>
      </c>
      <c r="E6494" s="4" t="s">
        <v>1990</v>
      </c>
    </row>
    <row r="6495" spans="1:5" x14ac:dyDescent="0.2">
      <c r="A6495" s="126">
        <v>6434</v>
      </c>
      <c r="B6495" s="1831"/>
      <c r="D6495" s="2" t="str">
        <f t="shared" si="100"/>
        <v>OK</v>
      </c>
      <c r="E6495" s="4" t="s">
        <v>1990</v>
      </c>
    </row>
    <row r="6496" spans="1:5" x14ac:dyDescent="0.2">
      <c r="A6496" s="126">
        <v>6435</v>
      </c>
      <c r="B6496" s="1831"/>
      <c r="D6496" s="2" t="str">
        <f t="shared" si="100"/>
        <v>OK</v>
      </c>
      <c r="E6496" s="4" t="s">
        <v>1990</v>
      </c>
    </row>
    <row r="6497" spans="1:5" x14ac:dyDescent="0.2">
      <c r="A6497" s="126">
        <v>6436</v>
      </c>
      <c r="B6497" s="1831"/>
      <c r="D6497" s="2" t="str">
        <f t="shared" si="100"/>
        <v>OK</v>
      </c>
      <c r="E6497" s="4" t="s">
        <v>1990</v>
      </c>
    </row>
    <row r="6498" spans="1:5" x14ac:dyDescent="0.2">
      <c r="A6498" s="126">
        <v>6437</v>
      </c>
      <c r="B6498" s="1831"/>
      <c r="D6498" s="2" t="str">
        <f t="shared" si="100"/>
        <v>OK</v>
      </c>
      <c r="E6498" s="4" t="s">
        <v>1990</v>
      </c>
    </row>
    <row r="6499" spans="1:5" x14ac:dyDescent="0.2">
      <c r="A6499" s="126">
        <v>6438</v>
      </c>
      <c r="B6499" s="1831"/>
      <c r="D6499" s="2" t="str">
        <f t="shared" si="100"/>
        <v>OK</v>
      </c>
      <c r="E6499" s="4" t="s">
        <v>1990</v>
      </c>
    </row>
    <row r="6500" spans="1:5" x14ac:dyDescent="0.2">
      <c r="A6500" s="126">
        <v>6439</v>
      </c>
      <c r="B6500" s="1831"/>
      <c r="D6500" s="2" t="str">
        <f t="shared" si="100"/>
        <v>OK</v>
      </c>
      <c r="E6500" s="4" t="s">
        <v>1990</v>
      </c>
    </row>
    <row r="6501" spans="1:5" x14ac:dyDescent="0.2">
      <c r="A6501" s="126">
        <v>6440</v>
      </c>
      <c r="B6501" s="1831"/>
      <c r="D6501" s="2" t="str">
        <f t="shared" si="100"/>
        <v>OK</v>
      </c>
      <c r="E6501" s="4" t="s">
        <v>1990</v>
      </c>
    </row>
    <row r="6502" spans="1:5" x14ac:dyDescent="0.2">
      <c r="A6502" s="126">
        <v>6441</v>
      </c>
      <c r="B6502" s="1831"/>
      <c r="D6502" s="2" t="str">
        <f t="shared" si="100"/>
        <v>OK</v>
      </c>
      <c r="E6502" s="4" t="s">
        <v>1990</v>
      </c>
    </row>
    <row r="6503" spans="1:5" x14ac:dyDescent="0.2">
      <c r="A6503" s="126">
        <v>6442</v>
      </c>
      <c r="B6503" s="1831"/>
      <c r="D6503" s="2" t="str">
        <f t="shared" si="100"/>
        <v>OK</v>
      </c>
      <c r="E6503" s="4" t="s">
        <v>1990</v>
      </c>
    </row>
    <row r="6504" spans="1:5" x14ac:dyDescent="0.2">
      <c r="A6504" s="126">
        <v>6443</v>
      </c>
      <c r="B6504" s="1831"/>
      <c r="D6504" s="2" t="str">
        <f t="shared" si="100"/>
        <v>OK</v>
      </c>
      <c r="E6504" s="4" t="s">
        <v>1990</v>
      </c>
    </row>
    <row r="6505" spans="1:5" x14ac:dyDescent="0.2">
      <c r="A6505" s="126">
        <v>6444</v>
      </c>
      <c r="B6505" s="1831"/>
      <c r="D6505" s="2" t="str">
        <f t="shared" si="100"/>
        <v>OK</v>
      </c>
      <c r="E6505" s="4" t="s">
        <v>1990</v>
      </c>
    </row>
    <row r="6506" spans="1:5" x14ac:dyDescent="0.2">
      <c r="A6506" s="126">
        <v>6445</v>
      </c>
      <c r="B6506" s="1831"/>
      <c r="D6506" s="2" t="str">
        <f t="shared" si="100"/>
        <v>OK</v>
      </c>
      <c r="E6506" s="4" t="s">
        <v>1990</v>
      </c>
    </row>
    <row r="6507" spans="1:5" x14ac:dyDescent="0.2">
      <c r="A6507" s="126">
        <v>6446</v>
      </c>
      <c r="B6507" s="1831"/>
      <c r="D6507" s="2" t="str">
        <f t="shared" si="100"/>
        <v>OK</v>
      </c>
      <c r="E6507" s="4" t="s">
        <v>1990</v>
      </c>
    </row>
    <row r="6508" spans="1:5" x14ac:dyDescent="0.2">
      <c r="A6508" s="126">
        <v>6447</v>
      </c>
      <c r="B6508" s="1831"/>
      <c r="D6508" s="2" t="str">
        <f t="shared" si="100"/>
        <v>OK</v>
      </c>
      <c r="E6508" s="4" t="s">
        <v>1990</v>
      </c>
    </row>
    <row r="6509" spans="1:5" x14ac:dyDescent="0.2">
      <c r="A6509" s="126">
        <v>6448</v>
      </c>
      <c r="B6509" s="1831"/>
      <c r="D6509" s="2" t="str">
        <f t="shared" si="100"/>
        <v>OK</v>
      </c>
      <c r="E6509" s="4" t="s">
        <v>1990</v>
      </c>
    </row>
    <row r="6510" spans="1:5" x14ac:dyDescent="0.2">
      <c r="A6510" s="126">
        <v>6449</v>
      </c>
      <c r="B6510" s="1831"/>
      <c r="D6510" s="2" t="str">
        <f t="shared" si="100"/>
        <v>OK</v>
      </c>
      <c r="E6510" s="4" t="s">
        <v>1990</v>
      </c>
    </row>
    <row r="6511" spans="1:5" x14ac:dyDescent="0.2">
      <c r="A6511" s="126">
        <v>6450</v>
      </c>
      <c r="B6511" s="1831"/>
      <c r="D6511" s="2" t="str">
        <f t="shared" si="100"/>
        <v>OK</v>
      </c>
      <c r="E6511" s="4" t="s">
        <v>1990</v>
      </c>
    </row>
    <row r="6512" spans="1:5" x14ac:dyDescent="0.2">
      <c r="A6512" s="126">
        <v>6451</v>
      </c>
      <c r="B6512" s="1831"/>
      <c r="D6512" s="2" t="str">
        <f t="shared" si="100"/>
        <v>OK</v>
      </c>
      <c r="E6512" s="4" t="s">
        <v>1990</v>
      </c>
    </row>
    <row r="6513" spans="1:5" x14ac:dyDescent="0.2">
      <c r="A6513" s="126">
        <v>6452</v>
      </c>
      <c r="B6513" s="1831"/>
      <c r="D6513" s="2" t="str">
        <f t="shared" si="100"/>
        <v>OK</v>
      </c>
      <c r="E6513" s="4" t="s">
        <v>1990</v>
      </c>
    </row>
    <row r="6514" spans="1:5" x14ac:dyDescent="0.2">
      <c r="A6514" s="126">
        <v>6453</v>
      </c>
      <c r="B6514" s="1831"/>
      <c r="D6514" s="2" t="str">
        <f t="shared" si="100"/>
        <v>OK</v>
      </c>
      <c r="E6514" s="4" t="s">
        <v>1990</v>
      </c>
    </row>
    <row r="6515" spans="1:5" x14ac:dyDescent="0.2">
      <c r="A6515" s="126">
        <v>6454</v>
      </c>
      <c r="B6515" s="1831"/>
      <c r="D6515" s="2" t="str">
        <f t="shared" si="100"/>
        <v>OK</v>
      </c>
      <c r="E6515" s="4" t="s">
        <v>1990</v>
      </c>
    </row>
    <row r="6516" spans="1:5" x14ac:dyDescent="0.2">
      <c r="A6516" s="126">
        <v>6455</v>
      </c>
      <c r="B6516" s="1831"/>
      <c r="D6516" s="2" t="str">
        <f t="shared" si="100"/>
        <v>OK</v>
      </c>
      <c r="E6516" s="4" t="s">
        <v>1990</v>
      </c>
    </row>
    <row r="6517" spans="1:5" x14ac:dyDescent="0.2">
      <c r="A6517" s="126">
        <v>6456</v>
      </c>
      <c r="B6517" s="1831"/>
      <c r="D6517" s="2" t="str">
        <f t="shared" si="100"/>
        <v>OK</v>
      </c>
      <c r="E6517" s="4" t="s">
        <v>1990</v>
      </c>
    </row>
    <row r="6518" spans="1:5" x14ac:dyDescent="0.2">
      <c r="A6518" s="126">
        <v>6457</v>
      </c>
      <c r="B6518" s="1831"/>
      <c r="D6518" s="2" t="str">
        <f t="shared" si="100"/>
        <v>OK</v>
      </c>
      <c r="E6518" s="4" t="s">
        <v>1990</v>
      </c>
    </row>
    <row r="6519" spans="1:5" x14ac:dyDescent="0.2">
      <c r="A6519" s="126">
        <v>6458</v>
      </c>
      <c r="B6519" s="1831"/>
      <c r="D6519" s="2" t="str">
        <f t="shared" si="100"/>
        <v>OK</v>
      </c>
      <c r="E6519" s="4" t="s">
        <v>1990</v>
      </c>
    </row>
    <row r="6520" spans="1:5" x14ac:dyDescent="0.2">
      <c r="A6520" s="126">
        <v>6459</v>
      </c>
      <c r="B6520" s="1831"/>
      <c r="D6520" s="2" t="str">
        <f t="shared" si="100"/>
        <v>OK</v>
      </c>
      <c r="E6520" s="4" t="s">
        <v>1990</v>
      </c>
    </row>
    <row r="6521" spans="1:5" x14ac:dyDescent="0.2">
      <c r="A6521" s="126">
        <v>6460</v>
      </c>
      <c r="B6521" s="1831"/>
      <c r="D6521" s="2" t="str">
        <f t="shared" si="100"/>
        <v>OK</v>
      </c>
      <c r="E6521" s="4" t="s">
        <v>1990</v>
      </c>
    </row>
    <row r="6522" spans="1:5" x14ac:dyDescent="0.2">
      <c r="A6522" s="126">
        <v>6461</v>
      </c>
      <c r="B6522" s="1831"/>
      <c r="D6522" s="2" t="str">
        <f t="shared" si="100"/>
        <v>OK</v>
      </c>
      <c r="E6522" s="4" t="s">
        <v>1990</v>
      </c>
    </row>
    <row r="6523" spans="1:5" x14ac:dyDescent="0.2">
      <c r="A6523" s="126">
        <v>6462</v>
      </c>
      <c r="B6523" s="1831"/>
      <c r="D6523" s="2" t="str">
        <f t="shared" si="100"/>
        <v>OK</v>
      </c>
      <c r="E6523" s="4" t="s">
        <v>1990</v>
      </c>
    </row>
    <row r="6524" spans="1:5" x14ac:dyDescent="0.2">
      <c r="A6524" s="126">
        <v>6463</v>
      </c>
      <c r="B6524" s="1831"/>
      <c r="D6524" s="2" t="str">
        <f t="shared" si="100"/>
        <v>OK</v>
      </c>
      <c r="E6524" s="4" t="s">
        <v>1990</v>
      </c>
    </row>
    <row r="6525" spans="1:5" x14ac:dyDescent="0.2">
      <c r="A6525" s="126">
        <v>6464</v>
      </c>
      <c r="B6525" s="1831"/>
      <c r="D6525" s="2" t="str">
        <f t="shared" si="100"/>
        <v>OK</v>
      </c>
      <c r="E6525" s="4" t="s">
        <v>1990</v>
      </c>
    </row>
    <row r="6526" spans="1:5" x14ac:dyDescent="0.2">
      <c r="A6526" s="126">
        <v>6465</v>
      </c>
      <c r="B6526" s="1831"/>
      <c r="D6526" s="2" t="str">
        <f t="shared" si="100"/>
        <v>OK</v>
      </c>
      <c r="E6526" s="4" t="s">
        <v>1990</v>
      </c>
    </row>
    <row r="6527" spans="1:5" x14ac:dyDescent="0.2">
      <c r="A6527" s="126">
        <v>6466</v>
      </c>
      <c r="B6527" s="1831"/>
      <c r="D6527" s="2" t="str">
        <f t="shared" ref="D6527:D6590" si="101">IF(ISBLANK(B6527),"OK",IF(A6527-B6527=0,"OK","Error?"))</f>
        <v>OK</v>
      </c>
      <c r="E6527" s="4" t="s">
        <v>1990</v>
      </c>
    </row>
    <row r="6528" spans="1:5" x14ac:dyDescent="0.2">
      <c r="A6528" s="126">
        <v>6467</v>
      </c>
      <c r="B6528" s="1831"/>
      <c r="D6528" s="2" t="str">
        <f t="shared" si="101"/>
        <v>OK</v>
      </c>
      <c r="E6528" s="4" t="s">
        <v>1990</v>
      </c>
    </row>
    <row r="6529" spans="1:5" x14ac:dyDescent="0.2">
      <c r="A6529" s="126">
        <v>6468</v>
      </c>
      <c r="B6529" s="1831"/>
      <c r="D6529" s="2" t="str">
        <f t="shared" si="101"/>
        <v>OK</v>
      </c>
      <c r="E6529" s="4" t="s">
        <v>1990</v>
      </c>
    </row>
    <row r="6530" spans="1:5" x14ac:dyDescent="0.2">
      <c r="A6530" s="126">
        <v>6469</v>
      </c>
      <c r="B6530" s="1831"/>
      <c r="D6530" s="2" t="str">
        <f t="shared" si="101"/>
        <v>OK</v>
      </c>
      <c r="E6530" s="4" t="s">
        <v>1990</v>
      </c>
    </row>
    <row r="6531" spans="1:5" x14ac:dyDescent="0.2">
      <c r="A6531" s="126">
        <v>6470</v>
      </c>
      <c r="B6531" s="1831"/>
      <c r="D6531" s="2" t="str">
        <f t="shared" si="101"/>
        <v>OK</v>
      </c>
      <c r="E6531" s="4" t="s">
        <v>1990</v>
      </c>
    </row>
    <row r="6532" spans="1:5" x14ac:dyDescent="0.2">
      <c r="A6532" s="126">
        <v>6471</v>
      </c>
      <c r="B6532" s="1831"/>
      <c r="D6532" s="2" t="str">
        <f t="shared" si="101"/>
        <v>OK</v>
      </c>
      <c r="E6532" s="4" t="s">
        <v>1990</v>
      </c>
    </row>
    <row r="6533" spans="1:5" x14ac:dyDescent="0.2">
      <c r="A6533" s="126">
        <v>6472</v>
      </c>
      <c r="B6533" s="1831"/>
      <c r="D6533" s="2" t="str">
        <f t="shared" si="101"/>
        <v>OK</v>
      </c>
      <c r="E6533" s="4" t="s">
        <v>1990</v>
      </c>
    </row>
    <row r="6534" spans="1:5" x14ac:dyDescent="0.2">
      <c r="A6534" s="126">
        <v>6473</v>
      </c>
      <c r="B6534" s="1831"/>
      <c r="D6534" s="2" t="str">
        <f t="shared" si="101"/>
        <v>OK</v>
      </c>
      <c r="E6534" s="4" t="s">
        <v>1990</v>
      </c>
    </row>
    <row r="6535" spans="1:5" x14ac:dyDescent="0.2">
      <c r="A6535" s="126">
        <v>6474</v>
      </c>
      <c r="B6535" s="1831"/>
      <c r="D6535" s="2" t="str">
        <f t="shared" si="101"/>
        <v>OK</v>
      </c>
      <c r="E6535" s="4" t="s">
        <v>1990</v>
      </c>
    </row>
    <row r="6536" spans="1:5" x14ac:dyDescent="0.2">
      <c r="A6536" s="126">
        <v>6475</v>
      </c>
      <c r="B6536" s="1831"/>
      <c r="D6536" s="2" t="str">
        <f t="shared" si="101"/>
        <v>OK</v>
      </c>
      <c r="E6536" s="4" t="s">
        <v>1990</v>
      </c>
    </row>
    <row r="6537" spans="1:5" x14ac:dyDescent="0.2">
      <c r="A6537" s="126">
        <v>6476</v>
      </c>
      <c r="B6537" s="1831"/>
      <c r="D6537" s="2" t="str">
        <f t="shared" si="101"/>
        <v>OK</v>
      </c>
      <c r="E6537" s="4" t="s">
        <v>1990</v>
      </c>
    </row>
    <row r="6538" spans="1:5" x14ac:dyDescent="0.2">
      <c r="A6538" s="126">
        <v>6477</v>
      </c>
      <c r="B6538" s="1831"/>
      <c r="D6538" s="2" t="str">
        <f t="shared" si="101"/>
        <v>OK</v>
      </c>
      <c r="E6538" s="4" t="s">
        <v>1990</v>
      </c>
    </row>
    <row r="6539" spans="1:5" x14ac:dyDescent="0.2">
      <c r="A6539" s="126">
        <v>6478</v>
      </c>
      <c r="B6539" s="1831"/>
      <c r="D6539" s="2" t="str">
        <f t="shared" si="101"/>
        <v>OK</v>
      </c>
      <c r="E6539" s="4" t="s">
        <v>1990</v>
      </c>
    </row>
    <row r="6540" spans="1:5" x14ac:dyDescent="0.2">
      <c r="A6540" s="126">
        <v>6479</v>
      </c>
      <c r="B6540" s="1831"/>
      <c r="D6540" s="2" t="str">
        <f t="shared" si="101"/>
        <v>OK</v>
      </c>
      <c r="E6540" s="4" t="s">
        <v>1990</v>
      </c>
    </row>
    <row r="6541" spans="1:5" x14ac:dyDescent="0.2">
      <c r="A6541" s="126">
        <v>6480</v>
      </c>
      <c r="B6541" s="1831"/>
      <c r="D6541" s="2" t="str">
        <f t="shared" si="101"/>
        <v>OK</v>
      </c>
      <c r="E6541" s="4" t="s">
        <v>1990</v>
      </c>
    </row>
    <row r="6542" spans="1:5" x14ac:dyDescent="0.2">
      <c r="A6542" s="126">
        <v>6481</v>
      </c>
      <c r="B6542" s="1831"/>
      <c r="D6542" s="2" t="str">
        <f t="shared" si="101"/>
        <v>OK</v>
      </c>
      <c r="E6542" s="4" t="s">
        <v>1990</v>
      </c>
    </row>
    <row r="6543" spans="1:5" x14ac:dyDescent="0.2">
      <c r="A6543" s="126">
        <v>6482</v>
      </c>
      <c r="B6543" s="1831"/>
      <c r="D6543" s="2" t="str">
        <f t="shared" si="101"/>
        <v>OK</v>
      </c>
      <c r="E6543" s="4" t="s">
        <v>1990</v>
      </c>
    </row>
    <row r="6544" spans="1:5" x14ac:dyDescent="0.2">
      <c r="A6544" s="126">
        <v>6483</v>
      </c>
      <c r="B6544" s="1831"/>
      <c r="D6544" s="2" t="str">
        <f t="shared" si="101"/>
        <v>OK</v>
      </c>
      <c r="E6544" s="4" t="s">
        <v>1990</v>
      </c>
    </row>
    <row r="6545" spans="1:5" x14ac:dyDescent="0.2">
      <c r="A6545" s="126">
        <v>6484</v>
      </c>
      <c r="B6545" s="1831"/>
      <c r="D6545" s="2" t="str">
        <f t="shared" si="101"/>
        <v>OK</v>
      </c>
      <c r="E6545" s="4" t="s">
        <v>1990</v>
      </c>
    </row>
    <row r="6546" spans="1:5" x14ac:dyDescent="0.2">
      <c r="A6546" s="126">
        <v>6485</v>
      </c>
      <c r="B6546" s="1831"/>
      <c r="D6546" s="2" t="str">
        <f t="shared" si="101"/>
        <v>OK</v>
      </c>
      <c r="E6546" s="4" t="s">
        <v>1990</v>
      </c>
    </row>
    <row r="6547" spans="1:5" x14ac:dyDescent="0.2">
      <c r="A6547" s="126">
        <v>6486</v>
      </c>
      <c r="B6547" s="1831"/>
      <c r="D6547" s="2" t="str">
        <f t="shared" si="101"/>
        <v>OK</v>
      </c>
      <c r="E6547" s="4" t="s">
        <v>1990</v>
      </c>
    </row>
    <row r="6548" spans="1:5" x14ac:dyDescent="0.2">
      <c r="A6548" s="126">
        <v>6487</v>
      </c>
      <c r="B6548" s="1831"/>
      <c r="D6548" s="2" t="str">
        <f t="shared" si="101"/>
        <v>OK</v>
      </c>
      <c r="E6548" s="4" t="s">
        <v>1990</v>
      </c>
    </row>
    <row r="6549" spans="1:5" x14ac:dyDescent="0.2">
      <c r="A6549" s="126">
        <v>6488</v>
      </c>
      <c r="B6549" s="1831"/>
      <c r="D6549" s="2" t="str">
        <f t="shared" si="101"/>
        <v>OK</v>
      </c>
      <c r="E6549" s="4" t="s">
        <v>1990</v>
      </c>
    </row>
    <row r="6550" spans="1:5" x14ac:dyDescent="0.2">
      <c r="A6550" s="126">
        <v>6489</v>
      </c>
      <c r="B6550" s="1831"/>
      <c r="D6550" s="2" t="str">
        <f t="shared" si="101"/>
        <v>OK</v>
      </c>
      <c r="E6550" s="4" t="s">
        <v>1990</v>
      </c>
    </row>
    <row r="6551" spans="1:5" x14ac:dyDescent="0.2">
      <c r="A6551" s="126">
        <v>6490</v>
      </c>
      <c r="B6551" s="1831"/>
      <c r="D6551" s="2" t="str">
        <f t="shared" si="101"/>
        <v>OK</v>
      </c>
      <c r="E6551" s="4" t="s">
        <v>1990</v>
      </c>
    </row>
    <row r="6552" spans="1:5" x14ac:dyDescent="0.2">
      <c r="A6552" s="126">
        <v>6491</v>
      </c>
      <c r="B6552" s="1831"/>
      <c r="D6552" s="2" t="str">
        <f t="shared" si="101"/>
        <v>OK</v>
      </c>
      <c r="E6552" s="4" t="s">
        <v>1990</v>
      </c>
    </row>
    <row r="6553" spans="1:5" x14ac:dyDescent="0.2">
      <c r="A6553" s="126">
        <v>6492</v>
      </c>
      <c r="B6553" s="1831"/>
      <c r="D6553" s="2" t="str">
        <f t="shared" si="101"/>
        <v>OK</v>
      </c>
      <c r="E6553" s="4" t="s">
        <v>1990</v>
      </c>
    </row>
    <row r="6554" spans="1:5" x14ac:dyDescent="0.2">
      <c r="A6554" s="126">
        <v>6493</v>
      </c>
      <c r="B6554" s="1831"/>
      <c r="D6554" s="2" t="str">
        <f t="shared" si="101"/>
        <v>OK</v>
      </c>
      <c r="E6554" s="4" t="s">
        <v>1990</v>
      </c>
    </row>
    <row r="6555" spans="1:5" x14ac:dyDescent="0.2">
      <c r="A6555" s="126">
        <v>6494</v>
      </c>
      <c r="B6555" s="1831"/>
      <c r="D6555" s="2" t="str">
        <f t="shared" si="101"/>
        <v>OK</v>
      </c>
      <c r="E6555" s="4" t="s">
        <v>1990</v>
      </c>
    </row>
    <row r="6556" spans="1:5" x14ac:dyDescent="0.2">
      <c r="A6556" s="126">
        <v>6495</v>
      </c>
      <c r="B6556" s="1831"/>
      <c r="D6556" s="2" t="str">
        <f t="shared" si="101"/>
        <v>OK</v>
      </c>
      <c r="E6556" s="4" t="s">
        <v>1990</v>
      </c>
    </row>
    <row r="6557" spans="1:5" x14ac:dyDescent="0.2">
      <c r="A6557" s="126">
        <v>6496</v>
      </c>
      <c r="B6557" s="1831"/>
      <c r="D6557" s="2" t="str">
        <f t="shared" si="101"/>
        <v>OK</v>
      </c>
      <c r="E6557" s="4" t="s">
        <v>1990</v>
      </c>
    </row>
    <row r="6558" spans="1:5" x14ac:dyDescent="0.2">
      <c r="A6558" s="126">
        <v>6497</v>
      </c>
      <c r="B6558" s="1831"/>
      <c r="D6558" s="2" t="str">
        <f t="shared" si="101"/>
        <v>OK</v>
      </c>
      <c r="E6558" s="4" t="s">
        <v>1990</v>
      </c>
    </row>
    <row r="6559" spans="1:5" x14ac:dyDescent="0.2">
      <c r="A6559" s="126">
        <v>6498</v>
      </c>
      <c r="B6559" s="1831"/>
      <c r="D6559" s="2" t="str">
        <f t="shared" si="101"/>
        <v>OK</v>
      </c>
      <c r="E6559" s="4" t="s">
        <v>1990</v>
      </c>
    </row>
    <row r="6560" spans="1:5" x14ac:dyDescent="0.2">
      <c r="A6560" s="126">
        <v>6499</v>
      </c>
      <c r="B6560" s="1831"/>
      <c r="D6560" s="2" t="str">
        <f t="shared" si="101"/>
        <v>OK</v>
      </c>
      <c r="E6560" s="4" t="s">
        <v>1990</v>
      </c>
    </row>
    <row r="6561" spans="1:5" x14ac:dyDescent="0.2">
      <c r="A6561" s="126">
        <v>6500</v>
      </c>
      <c r="B6561" s="1831"/>
      <c r="D6561" s="2" t="str">
        <f t="shared" si="101"/>
        <v>OK</v>
      </c>
      <c r="E6561" s="4" t="s">
        <v>1990</v>
      </c>
    </row>
    <row r="6562" spans="1:5" x14ac:dyDescent="0.2">
      <c r="A6562" s="126">
        <v>6501</v>
      </c>
      <c r="B6562" s="1831"/>
      <c r="D6562" s="2" t="str">
        <f t="shared" si="101"/>
        <v>OK</v>
      </c>
      <c r="E6562" s="4" t="s">
        <v>1990</v>
      </c>
    </row>
    <row r="6563" spans="1:5" x14ac:dyDescent="0.2">
      <c r="A6563" s="126">
        <v>6502</v>
      </c>
      <c r="B6563" s="1831"/>
      <c r="D6563" s="2" t="str">
        <f t="shared" si="101"/>
        <v>OK</v>
      </c>
      <c r="E6563" s="4" t="s">
        <v>1990</v>
      </c>
    </row>
    <row r="6564" spans="1:5" x14ac:dyDescent="0.2">
      <c r="A6564" s="126">
        <v>6503</v>
      </c>
      <c r="B6564" s="1831"/>
      <c r="D6564" s="2" t="str">
        <f t="shared" si="101"/>
        <v>OK</v>
      </c>
      <c r="E6564" s="4" t="s">
        <v>1990</v>
      </c>
    </row>
    <row r="6565" spans="1:5" x14ac:dyDescent="0.2">
      <c r="A6565" s="126">
        <v>6504</v>
      </c>
      <c r="B6565" s="1831"/>
      <c r="D6565" s="2" t="str">
        <f t="shared" si="101"/>
        <v>OK</v>
      </c>
      <c r="E6565" s="4" t="s">
        <v>1990</v>
      </c>
    </row>
    <row r="6566" spans="1:5" x14ac:dyDescent="0.2">
      <c r="A6566" s="126">
        <v>6505</v>
      </c>
      <c r="B6566" s="1831"/>
      <c r="D6566" s="2" t="str">
        <f t="shared" si="101"/>
        <v>OK</v>
      </c>
      <c r="E6566" s="4" t="s">
        <v>1990</v>
      </c>
    </row>
    <row r="6567" spans="1:5" x14ac:dyDescent="0.2">
      <c r="A6567" s="126">
        <v>6506</v>
      </c>
      <c r="B6567" s="1831"/>
      <c r="D6567" s="2" t="str">
        <f t="shared" si="101"/>
        <v>OK</v>
      </c>
      <c r="E6567" s="4" t="s">
        <v>1990</v>
      </c>
    </row>
    <row r="6568" spans="1:5" x14ac:dyDescent="0.2">
      <c r="A6568" s="126">
        <v>6507</v>
      </c>
      <c r="B6568" s="1831"/>
      <c r="D6568" s="2" t="str">
        <f t="shared" si="101"/>
        <v>OK</v>
      </c>
      <c r="E6568" s="4" t="s">
        <v>1990</v>
      </c>
    </row>
    <row r="6569" spans="1:5" x14ac:dyDescent="0.2">
      <c r="A6569" s="126">
        <v>6508</v>
      </c>
      <c r="B6569" s="1831"/>
      <c r="D6569" s="2" t="str">
        <f t="shared" si="101"/>
        <v>OK</v>
      </c>
      <c r="E6569" s="4" t="s">
        <v>1990</v>
      </c>
    </row>
    <row r="6570" spans="1:5" x14ac:dyDescent="0.2">
      <c r="A6570" s="126">
        <v>6509</v>
      </c>
      <c r="B6570" s="1831"/>
      <c r="D6570" s="2" t="str">
        <f t="shared" si="101"/>
        <v>OK</v>
      </c>
      <c r="E6570" s="4" t="s">
        <v>1990</v>
      </c>
    </row>
    <row r="6571" spans="1:5" x14ac:dyDescent="0.2">
      <c r="A6571" s="126">
        <v>6510</v>
      </c>
      <c r="B6571" s="1831"/>
      <c r="D6571" s="2" t="str">
        <f t="shared" si="101"/>
        <v>OK</v>
      </c>
      <c r="E6571" s="4" t="s">
        <v>1990</v>
      </c>
    </row>
    <row r="6572" spans="1:5" x14ac:dyDescent="0.2">
      <c r="A6572" s="126">
        <v>6511</v>
      </c>
      <c r="B6572" s="1831"/>
      <c r="D6572" s="2" t="str">
        <f t="shared" si="101"/>
        <v>OK</v>
      </c>
      <c r="E6572" s="4" t="s">
        <v>1990</v>
      </c>
    </row>
    <row r="6573" spans="1:5" x14ac:dyDescent="0.2">
      <c r="A6573" s="126">
        <v>6512</v>
      </c>
      <c r="B6573" s="1831"/>
      <c r="D6573" s="2" t="str">
        <f t="shared" si="101"/>
        <v>OK</v>
      </c>
      <c r="E6573" s="4" t="s">
        <v>1990</v>
      </c>
    </row>
    <row r="6574" spans="1:5" x14ac:dyDescent="0.2">
      <c r="A6574" s="126">
        <v>6513</v>
      </c>
      <c r="B6574" s="1831"/>
      <c r="D6574" s="2" t="str">
        <f t="shared" si="101"/>
        <v>OK</v>
      </c>
      <c r="E6574" s="4" t="s">
        <v>1990</v>
      </c>
    </row>
    <row r="6575" spans="1:5" x14ac:dyDescent="0.2">
      <c r="A6575" s="126">
        <v>6514</v>
      </c>
      <c r="B6575" s="1831"/>
      <c r="D6575" s="2" t="str">
        <f t="shared" si="101"/>
        <v>OK</v>
      </c>
      <c r="E6575" s="4" t="s">
        <v>1990</v>
      </c>
    </row>
    <row r="6576" spans="1:5" x14ac:dyDescent="0.2">
      <c r="A6576" s="126">
        <v>6515</v>
      </c>
      <c r="B6576" s="1831"/>
      <c r="D6576" s="2" t="str">
        <f t="shared" si="101"/>
        <v>OK</v>
      </c>
      <c r="E6576" s="4" t="s">
        <v>1990</v>
      </c>
    </row>
    <row r="6577" spans="1:5" x14ac:dyDescent="0.2">
      <c r="A6577" s="126">
        <v>6516</v>
      </c>
      <c r="B6577" s="1831"/>
      <c r="D6577" s="2" t="str">
        <f t="shared" si="101"/>
        <v>OK</v>
      </c>
      <c r="E6577" s="4" t="s">
        <v>1990</v>
      </c>
    </row>
    <row r="6578" spans="1:5" x14ac:dyDescent="0.2">
      <c r="A6578" s="126">
        <v>6517</v>
      </c>
      <c r="B6578" s="1831"/>
      <c r="D6578" s="2" t="str">
        <f t="shared" si="101"/>
        <v>OK</v>
      </c>
      <c r="E6578" s="4" t="s">
        <v>1990</v>
      </c>
    </row>
    <row r="6579" spans="1:5" x14ac:dyDescent="0.2">
      <c r="A6579" s="126">
        <v>6518</v>
      </c>
      <c r="B6579" s="1831"/>
      <c r="D6579" s="2" t="str">
        <f t="shared" si="101"/>
        <v>OK</v>
      </c>
      <c r="E6579" s="4" t="s">
        <v>1990</v>
      </c>
    </row>
    <row r="6580" spans="1:5" x14ac:dyDescent="0.2">
      <c r="A6580" s="126">
        <v>6519</v>
      </c>
      <c r="B6580" s="1831"/>
      <c r="D6580" s="2" t="str">
        <f t="shared" si="101"/>
        <v>OK</v>
      </c>
      <c r="E6580" s="4" t="s">
        <v>1990</v>
      </c>
    </row>
    <row r="6581" spans="1:5" x14ac:dyDescent="0.2">
      <c r="A6581" s="126">
        <v>6520</v>
      </c>
      <c r="B6581" s="1831"/>
      <c r="D6581" s="2" t="str">
        <f t="shared" si="101"/>
        <v>OK</v>
      </c>
      <c r="E6581" s="4" t="s">
        <v>1990</v>
      </c>
    </row>
    <row r="6582" spans="1:5" x14ac:dyDescent="0.2">
      <c r="A6582" s="126">
        <v>6521</v>
      </c>
      <c r="B6582" s="1831"/>
      <c r="D6582" s="2" t="str">
        <f t="shared" si="101"/>
        <v>OK</v>
      </c>
      <c r="E6582" s="4" t="s">
        <v>1990</v>
      </c>
    </row>
    <row r="6583" spans="1:5" x14ac:dyDescent="0.2">
      <c r="A6583" s="126">
        <v>6522</v>
      </c>
      <c r="B6583" s="1831"/>
      <c r="D6583" s="2" t="str">
        <f t="shared" si="101"/>
        <v>OK</v>
      </c>
      <c r="E6583" s="4" t="s">
        <v>1990</v>
      </c>
    </row>
    <row r="6584" spans="1:5" x14ac:dyDescent="0.2">
      <c r="A6584" s="126">
        <v>6523</v>
      </c>
      <c r="B6584" s="1831"/>
      <c r="D6584" s="2" t="str">
        <f t="shared" si="101"/>
        <v>OK</v>
      </c>
      <c r="E6584" s="4" t="s">
        <v>1990</v>
      </c>
    </row>
    <row r="6585" spans="1:5" x14ac:dyDescent="0.2">
      <c r="A6585" s="126">
        <v>6524</v>
      </c>
      <c r="B6585" s="1831"/>
      <c r="D6585" s="2" t="str">
        <f t="shared" si="101"/>
        <v>OK</v>
      </c>
      <c r="E6585" s="4" t="s">
        <v>1990</v>
      </c>
    </row>
    <row r="6586" spans="1:5" x14ac:dyDescent="0.2">
      <c r="A6586" s="126">
        <v>6525</v>
      </c>
      <c r="B6586" s="1831"/>
      <c r="D6586" s="2" t="str">
        <f t="shared" si="101"/>
        <v>OK</v>
      </c>
      <c r="E6586" s="4" t="s">
        <v>1990</v>
      </c>
    </row>
    <row r="6587" spans="1:5" x14ac:dyDescent="0.2">
      <c r="A6587" s="126">
        <v>6526</v>
      </c>
      <c r="B6587" s="1831"/>
      <c r="D6587" s="2" t="str">
        <f t="shared" si="101"/>
        <v>OK</v>
      </c>
      <c r="E6587" s="4" t="s">
        <v>1990</v>
      </c>
    </row>
    <row r="6588" spans="1:5" x14ac:dyDescent="0.2">
      <c r="A6588" s="126">
        <v>6527</v>
      </c>
      <c r="B6588" s="1831"/>
      <c r="D6588" s="2" t="str">
        <f t="shared" si="101"/>
        <v>OK</v>
      </c>
      <c r="E6588" s="4" t="s">
        <v>1990</v>
      </c>
    </row>
    <row r="6589" spans="1:5" x14ac:dyDescent="0.2">
      <c r="A6589" s="126">
        <v>6528</v>
      </c>
      <c r="B6589" s="1831"/>
      <c r="D6589" s="2" t="str">
        <f t="shared" si="101"/>
        <v>OK</v>
      </c>
      <c r="E6589" s="4" t="s">
        <v>1990</v>
      </c>
    </row>
    <row r="6590" spans="1:5" x14ac:dyDescent="0.2">
      <c r="A6590" s="126">
        <v>6529</v>
      </c>
      <c r="B6590" s="1831"/>
      <c r="D6590" s="2" t="str">
        <f t="shared" si="101"/>
        <v>OK</v>
      </c>
      <c r="E6590" s="4" t="s">
        <v>1990</v>
      </c>
    </row>
    <row r="6591" spans="1:5" x14ac:dyDescent="0.2">
      <c r="A6591" s="126">
        <v>6530</v>
      </c>
      <c r="B6591" s="1831"/>
      <c r="D6591" s="2" t="str">
        <f t="shared" ref="D6591:D6654" si="102">IF(ISBLANK(B6591),"OK",IF(A6591-B6591=0,"OK","Error?"))</f>
        <v>OK</v>
      </c>
      <c r="E6591" s="4" t="s">
        <v>1990</v>
      </c>
    </row>
    <row r="6592" spans="1:5" x14ac:dyDescent="0.2">
      <c r="A6592" s="126">
        <v>6531</v>
      </c>
      <c r="B6592" s="1831"/>
      <c r="D6592" s="2" t="str">
        <f t="shared" si="102"/>
        <v>OK</v>
      </c>
      <c r="E6592" s="4" t="s">
        <v>1990</v>
      </c>
    </row>
    <row r="6593" spans="1:5" x14ac:dyDescent="0.2">
      <c r="A6593" s="126">
        <v>6532</v>
      </c>
      <c r="B6593" s="1831"/>
      <c r="D6593" s="2" t="str">
        <f t="shared" si="102"/>
        <v>OK</v>
      </c>
      <c r="E6593" s="4" t="s">
        <v>1990</v>
      </c>
    </row>
    <row r="6594" spans="1:5" x14ac:dyDescent="0.2">
      <c r="A6594" s="126">
        <v>6533</v>
      </c>
      <c r="B6594" s="1831"/>
      <c r="D6594" s="2" t="str">
        <f t="shared" si="102"/>
        <v>OK</v>
      </c>
      <c r="E6594" s="4" t="s">
        <v>1990</v>
      </c>
    </row>
    <row r="6595" spans="1:5" x14ac:dyDescent="0.2">
      <c r="A6595" s="126">
        <v>6534</v>
      </c>
      <c r="B6595" s="1831"/>
      <c r="D6595" s="2" t="str">
        <f t="shared" si="102"/>
        <v>OK</v>
      </c>
      <c r="E6595" s="4" t="s">
        <v>1990</v>
      </c>
    </row>
    <row r="6596" spans="1:5" x14ac:dyDescent="0.2">
      <c r="A6596" s="126">
        <v>6535</v>
      </c>
      <c r="B6596" s="1831"/>
      <c r="D6596" s="2" t="str">
        <f t="shared" si="102"/>
        <v>OK</v>
      </c>
      <c r="E6596" s="4" t="s">
        <v>1990</v>
      </c>
    </row>
    <row r="6597" spans="1:5" x14ac:dyDescent="0.2">
      <c r="A6597" s="126">
        <v>6536</v>
      </c>
      <c r="B6597" s="1831"/>
      <c r="D6597" s="2" t="str">
        <f t="shared" si="102"/>
        <v>OK</v>
      </c>
      <c r="E6597" s="4" t="s">
        <v>1990</v>
      </c>
    </row>
    <row r="6598" spans="1:5" x14ac:dyDescent="0.2">
      <c r="A6598" s="126">
        <v>6537</v>
      </c>
      <c r="B6598" s="1831"/>
      <c r="D6598" s="2" t="str">
        <f t="shared" si="102"/>
        <v>OK</v>
      </c>
      <c r="E6598" s="4" t="s">
        <v>1990</v>
      </c>
    </row>
    <row r="6599" spans="1:5" x14ac:dyDescent="0.2">
      <c r="A6599" s="126">
        <v>6538</v>
      </c>
      <c r="B6599" s="1831"/>
      <c r="D6599" s="2" t="str">
        <f t="shared" si="102"/>
        <v>OK</v>
      </c>
      <c r="E6599" s="4" t="s">
        <v>1990</v>
      </c>
    </row>
    <row r="6600" spans="1:5" x14ac:dyDescent="0.2">
      <c r="A6600" s="126">
        <v>6539</v>
      </c>
      <c r="B6600" s="1831"/>
      <c r="D6600" s="2" t="str">
        <f t="shared" si="102"/>
        <v>OK</v>
      </c>
      <c r="E6600" s="4" t="s">
        <v>1990</v>
      </c>
    </row>
    <row r="6601" spans="1:5" x14ac:dyDescent="0.2">
      <c r="A6601" s="126">
        <v>6540</v>
      </c>
      <c r="B6601" s="1831"/>
      <c r="D6601" s="2" t="str">
        <f t="shared" si="102"/>
        <v>OK</v>
      </c>
      <c r="E6601" s="4" t="s">
        <v>1990</v>
      </c>
    </row>
    <row r="6602" spans="1:5" x14ac:dyDescent="0.2">
      <c r="A6602" s="126">
        <v>6541</v>
      </c>
      <c r="B6602" s="1831"/>
      <c r="D6602" s="2" t="str">
        <f t="shared" si="102"/>
        <v>OK</v>
      </c>
      <c r="E6602" s="4" t="s">
        <v>1990</v>
      </c>
    </row>
    <row r="6603" spans="1:5" x14ac:dyDescent="0.2">
      <c r="A6603" s="126">
        <v>6542</v>
      </c>
      <c r="B6603" s="1831"/>
      <c r="D6603" s="2" t="str">
        <f t="shared" si="102"/>
        <v>OK</v>
      </c>
      <c r="E6603" s="4" t="s">
        <v>1990</v>
      </c>
    </row>
    <row r="6604" spans="1:5" x14ac:dyDescent="0.2">
      <c r="A6604" s="126">
        <v>6543</v>
      </c>
      <c r="B6604" s="1831"/>
      <c r="D6604" s="2" t="str">
        <f t="shared" si="102"/>
        <v>OK</v>
      </c>
      <c r="E6604" s="4" t="s">
        <v>1990</v>
      </c>
    </row>
    <row r="6605" spans="1:5" x14ac:dyDescent="0.2">
      <c r="A6605" s="126">
        <v>6544</v>
      </c>
      <c r="B6605" s="1831"/>
      <c r="D6605" s="2" t="str">
        <f t="shared" si="102"/>
        <v>OK</v>
      </c>
      <c r="E6605" s="4" t="s">
        <v>1990</v>
      </c>
    </row>
    <row r="6606" spans="1:5" x14ac:dyDescent="0.2">
      <c r="A6606" s="126">
        <v>6545</v>
      </c>
      <c r="B6606" s="1831"/>
      <c r="D6606" s="2" t="str">
        <f t="shared" si="102"/>
        <v>OK</v>
      </c>
      <c r="E6606" s="4" t="s">
        <v>1990</v>
      </c>
    </row>
    <row r="6607" spans="1:5" x14ac:dyDescent="0.2">
      <c r="A6607" s="126">
        <v>6546</v>
      </c>
      <c r="B6607" s="1831"/>
      <c r="D6607" s="2" t="str">
        <f t="shared" si="102"/>
        <v>OK</v>
      </c>
      <c r="E6607" s="4" t="s">
        <v>1990</v>
      </c>
    </row>
    <row r="6608" spans="1:5" x14ac:dyDescent="0.2">
      <c r="A6608" s="126">
        <v>6547</v>
      </c>
      <c r="B6608" s="1831"/>
      <c r="D6608" s="2" t="str">
        <f t="shared" si="102"/>
        <v>OK</v>
      </c>
      <c r="E6608" s="4" t="s">
        <v>1990</v>
      </c>
    </row>
    <row r="6609" spans="1:5" x14ac:dyDescent="0.2">
      <c r="A6609" s="126">
        <v>6548</v>
      </c>
      <c r="B6609" s="1831"/>
      <c r="D6609" s="2" t="str">
        <f t="shared" si="102"/>
        <v>OK</v>
      </c>
      <c r="E6609" s="4" t="s">
        <v>1990</v>
      </c>
    </row>
    <row r="6610" spans="1:5" x14ac:dyDescent="0.2">
      <c r="A6610" s="126">
        <v>6549</v>
      </c>
      <c r="B6610" s="1831"/>
      <c r="D6610" s="2" t="str">
        <f t="shared" si="102"/>
        <v>OK</v>
      </c>
      <c r="E6610" s="4" t="s">
        <v>1990</v>
      </c>
    </row>
    <row r="6611" spans="1:5" x14ac:dyDescent="0.2">
      <c r="A6611" s="126">
        <v>6550</v>
      </c>
      <c r="B6611" s="1831"/>
      <c r="D6611" s="2" t="str">
        <f t="shared" si="102"/>
        <v>OK</v>
      </c>
      <c r="E6611" s="4" t="s">
        <v>1990</v>
      </c>
    </row>
    <row r="6612" spans="1:5" x14ac:dyDescent="0.2">
      <c r="A6612" s="126">
        <v>6551</v>
      </c>
      <c r="B6612" s="1831"/>
      <c r="D6612" s="2" t="str">
        <f t="shared" si="102"/>
        <v>OK</v>
      </c>
      <c r="E6612" s="4" t="s">
        <v>1990</v>
      </c>
    </row>
    <row r="6613" spans="1:5" x14ac:dyDescent="0.2">
      <c r="A6613" s="126">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1894</v>
      </c>
    </row>
    <row r="6842" spans="1:5" x14ac:dyDescent="0.2">
      <c r="A6842" s="126">
        <v>6781</v>
      </c>
      <c r="B6842" s="1831"/>
      <c r="D6842" s="2" t="str">
        <f t="shared" si="105"/>
        <v>OK</v>
      </c>
      <c r="E6842" s="1" t="s">
        <v>1894</v>
      </c>
    </row>
    <row r="6843" spans="1:5" x14ac:dyDescent="0.2">
      <c r="A6843" s="126">
        <v>6782</v>
      </c>
      <c r="B6843" s="1831"/>
      <c r="D6843" s="2" t="str">
        <f t="shared" si="105"/>
        <v>OK</v>
      </c>
      <c r="E6843" s="1" t="s">
        <v>1894</v>
      </c>
    </row>
    <row r="6844" spans="1:5" x14ac:dyDescent="0.2">
      <c r="A6844">
        <v>6783</v>
      </c>
      <c r="B6844" s="1831">
        <f>'Expenditures 15-22'!I5</f>
        <v>34754</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26759</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1234423</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13323</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61513</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1074</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1074</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11421</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11421</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18437</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18437</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8596</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8596</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39528</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459172</v>
      </c>
      <c r="D6987" s="2" t="str">
        <f t="shared" si="108"/>
        <v>Error?</v>
      </c>
    </row>
    <row r="6988" spans="1:4" x14ac:dyDescent="0.2">
      <c r="A6988">
        <v>6927</v>
      </c>
      <c r="B6988" s="1831">
        <f>'Expenditures 15-22'!K88</f>
        <v>459172</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459172</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1210</v>
      </c>
      <c r="D7009" s="2" t="str">
        <f t="shared" si="108"/>
        <v>Error?</v>
      </c>
    </row>
    <row r="7010" spans="1:4" x14ac:dyDescent="0.2">
      <c r="A7010">
        <v>6949</v>
      </c>
      <c r="B7010" s="1831">
        <f>'Expenditures 15-22'!K99</f>
        <v>1210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1210</v>
      </c>
      <c r="D7012" s="2" t="str">
        <f t="shared" si="108"/>
        <v>Error?</v>
      </c>
    </row>
    <row r="7013" spans="1:4" x14ac:dyDescent="0.2">
      <c r="A7013">
        <v>6952</v>
      </c>
      <c r="B7013" s="1831">
        <f>'Expenditures 15-22'!K100</f>
        <v>1210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37396</v>
      </c>
      <c r="D7018" s="2" t="str">
        <f t="shared" si="108"/>
        <v>Error?</v>
      </c>
    </row>
    <row r="7019" spans="1:4" x14ac:dyDescent="0.2">
      <c r="A7019">
        <v>6958</v>
      </c>
      <c r="B7019" s="1831">
        <f>'Expenditures 15-22'!K112</f>
        <v>37396</v>
      </c>
      <c r="D7019" s="2" t="str">
        <f t="shared" si="108"/>
        <v>Error?</v>
      </c>
    </row>
    <row r="7020" spans="1:4" x14ac:dyDescent="0.2">
      <c r="A7020">
        <v>6959</v>
      </c>
      <c r="B7020" s="1831">
        <f>'Expenditures 15-22'!I114</f>
        <v>101041</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40908</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40908</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40908</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5709571</v>
      </c>
      <c r="D7042" s="2" t="str">
        <f t="shared" si="109"/>
        <v>Error?</v>
      </c>
    </row>
    <row r="7043" spans="1:5" x14ac:dyDescent="0.2">
      <c r="A7043">
        <v>6982</v>
      </c>
      <c r="B7043" s="1831">
        <f>'Revenues 9-14'!H9</f>
        <v>0</v>
      </c>
      <c r="D7043" s="2" t="str">
        <f t="shared" si="109"/>
        <v>Error?</v>
      </c>
    </row>
    <row r="7044" spans="1:5" x14ac:dyDescent="0.2">
      <c r="A7044">
        <v>6983</v>
      </c>
      <c r="B7044" s="1831">
        <f>'Revenues 9-14'!D106</f>
        <v>195730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40908</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5024620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85183</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85183</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58287</v>
      </c>
      <c r="D7067" s="2" t="str">
        <f t="shared" si="109"/>
        <v>Error?</v>
      </c>
    </row>
    <row r="7068" spans="1:4" x14ac:dyDescent="0.2">
      <c r="A7068">
        <v>7007</v>
      </c>
      <c r="B7068" s="1831">
        <f>'Expenditures 15-22'!K205</f>
        <v>58287</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85183</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57080</v>
      </c>
      <c r="D7075" s="2" t="str">
        <f t="shared" si="109"/>
        <v>Error?</v>
      </c>
    </row>
    <row r="7076" spans="1:4" x14ac:dyDescent="0.2">
      <c r="A7076">
        <v>7015</v>
      </c>
      <c r="B7076" s="1831">
        <f>'Expenditures 15-22'!K218</f>
        <v>57080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183</v>
      </c>
      <c r="D7079" s="2" t="str">
        <f t="shared" si="109"/>
        <v>Error?</v>
      </c>
    </row>
    <row r="7080" spans="1:4" x14ac:dyDescent="0.2">
      <c r="A7080">
        <v>7019</v>
      </c>
      <c r="B7080" s="1831">
        <f>'Expenditures 15-22'!K226</f>
        <v>183</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211</v>
      </c>
      <c r="D7093" s="2" t="str">
        <f t="shared" si="109"/>
        <v>Error?</v>
      </c>
    </row>
    <row r="7094" spans="1:4" x14ac:dyDescent="0.2">
      <c r="A7094">
        <v>7033</v>
      </c>
      <c r="B7094" s="1831">
        <f>'Expenditures 15-22'!K254</f>
        <v>211</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42233</v>
      </c>
      <c r="D7097" s="2" t="str">
        <f t="shared" si="109"/>
        <v>Error?</v>
      </c>
    </row>
    <row r="7098" spans="1:4" x14ac:dyDescent="0.2">
      <c r="A7098">
        <v>7037</v>
      </c>
      <c r="B7098" s="1831">
        <f>'Expenditures 15-22'!K256</f>
        <v>42233</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591709</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591709</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7875</v>
      </c>
      <c r="D7157" s="2" t="str">
        <f t="shared" si="110"/>
        <v>Error?</v>
      </c>
    </row>
    <row r="7158" spans="1:4" x14ac:dyDescent="0.2">
      <c r="A7158">
        <v>7097</v>
      </c>
      <c r="B7158" s="1831">
        <f>'Expenditures 15-22'!G323</f>
        <v>5152</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13027</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1175</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1175</v>
      </c>
      <c r="D7171" s="2" t="str">
        <f t="shared" si="111"/>
        <v>Error?</v>
      </c>
    </row>
    <row r="7172" spans="1:4" x14ac:dyDescent="0.2">
      <c r="A7172">
        <v>7111</v>
      </c>
      <c r="B7172" s="1831">
        <f>'Expenditures 15-22'!C325</f>
        <v>2433526</v>
      </c>
      <c r="D7172" s="2" t="str">
        <f t="shared" si="111"/>
        <v>Error?</v>
      </c>
    </row>
    <row r="7173" spans="1:4" x14ac:dyDescent="0.2">
      <c r="A7173">
        <v>7112</v>
      </c>
      <c r="B7173" s="1831">
        <f>'Expenditures 15-22'!D325</f>
        <v>336</v>
      </c>
      <c r="D7173" s="2" t="str">
        <f t="shared" si="111"/>
        <v>Error?</v>
      </c>
    </row>
    <row r="7174" spans="1:4" x14ac:dyDescent="0.2">
      <c r="A7174">
        <v>7113</v>
      </c>
      <c r="B7174" s="1831">
        <f>'Expenditures 15-22'!E325</f>
        <v>1127149</v>
      </c>
      <c r="D7174" s="2" t="str">
        <f t="shared" si="111"/>
        <v>Error?</v>
      </c>
    </row>
    <row r="7175" spans="1:4" x14ac:dyDescent="0.2">
      <c r="A7175">
        <v>7114</v>
      </c>
      <c r="B7175" s="1831">
        <f>'Expenditures 15-22'!F325</f>
        <v>102514</v>
      </c>
      <c r="D7175" s="2" t="str">
        <f t="shared" si="111"/>
        <v>Error?</v>
      </c>
    </row>
    <row r="7176" spans="1:4" x14ac:dyDescent="0.2">
      <c r="A7176">
        <v>7115</v>
      </c>
      <c r="B7176" s="1831">
        <f>'Expenditures 15-22'!G325</f>
        <v>158720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45410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3867655</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208031</v>
      </c>
      <c r="D7190" s="2" t="str">
        <f t="shared" si="111"/>
        <v>Error?</v>
      </c>
    </row>
    <row r="7191" spans="1:4" x14ac:dyDescent="0.2">
      <c r="A7191">
        <v>7130</v>
      </c>
      <c r="B7191" s="1831">
        <f>'Expenditures 15-22'!D327</f>
        <v>25912</v>
      </c>
      <c r="D7191" s="2" t="str">
        <f t="shared" si="111"/>
        <v>Error?</v>
      </c>
    </row>
    <row r="7192" spans="1:4" x14ac:dyDescent="0.2">
      <c r="A7192">
        <v>7131</v>
      </c>
      <c r="B7192" s="1831">
        <f>'Expenditures 15-22'!E327</f>
        <v>70772</v>
      </c>
      <c r="D7192" s="2" t="str">
        <f t="shared" si="111"/>
        <v>Error?</v>
      </c>
    </row>
    <row r="7193" spans="1:4" x14ac:dyDescent="0.2">
      <c r="A7193">
        <v>7132</v>
      </c>
      <c r="B7193" s="1831">
        <f>'Expenditures 15-22'!F327</f>
        <v>39334</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8154</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352203</v>
      </c>
      <c r="D7198" s="2" t="str">
        <f t="shared" si="111"/>
        <v>Error?</v>
      </c>
    </row>
    <row r="7199" spans="1:4" x14ac:dyDescent="0.2">
      <c r="A7199">
        <v>7138</v>
      </c>
      <c r="B7199" s="1831">
        <f>'Expenditures 15-22'!C330</f>
        <v>2641557</v>
      </c>
      <c r="D7199" s="2" t="str">
        <f t="shared" si="111"/>
        <v>Error?</v>
      </c>
    </row>
    <row r="7200" spans="1:4" x14ac:dyDescent="0.2">
      <c r="A7200">
        <v>7139</v>
      </c>
      <c r="B7200" s="1831">
        <f>'Expenditures 15-22'!D330</f>
        <v>617957</v>
      </c>
      <c r="D7200" s="2" t="str">
        <f t="shared" si="111"/>
        <v>Error?</v>
      </c>
    </row>
    <row r="7201" spans="1:4" x14ac:dyDescent="0.2">
      <c r="A7201">
        <v>7140</v>
      </c>
      <c r="B7201" s="1831">
        <f>'Expenditures 15-22'!E330</f>
        <v>2082898</v>
      </c>
      <c r="D7201" s="2" t="str">
        <f t="shared" si="111"/>
        <v>Error?</v>
      </c>
    </row>
    <row r="7202" spans="1:4" x14ac:dyDescent="0.2">
      <c r="A7202">
        <v>7141</v>
      </c>
      <c r="B7202" s="1831">
        <f>'Expenditures 15-22'!F330</f>
        <v>149723</v>
      </c>
      <c r="D7202" s="2" t="str">
        <f t="shared" si="111"/>
        <v>Error?</v>
      </c>
    </row>
    <row r="7203" spans="1:4" x14ac:dyDescent="0.2">
      <c r="A7203">
        <v>7142</v>
      </c>
      <c r="B7203" s="1831">
        <f>'Expenditures 15-22'!G330</f>
        <v>163872</v>
      </c>
      <c r="D7203" s="2" t="str">
        <f t="shared" si="111"/>
        <v>Error?</v>
      </c>
    </row>
    <row r="7204" spans="1:4" x14ac:dyDescent="0.2">
      <c r="A7204">
        <v>7143</v>
      </c>
      <c r="B7204" s="1831">
        <f>'Expenditures 15-22'!H330</f>
        <v>8154</v>
      </c>
      <c r="D7204" s="2" t="str">
        <f t="shared" si="111"/>
        <v>Error?</v>
      </c>
    </row>
    <row r="7205" spans="1:4" x14ac:dyDescent="0.2">
      <c r="A7205">
        <v>7144</v>
      </c>
      <c r="B7205" s="1831">
        <f>'Expenditures 15-22'!I330</f>
        <v>45410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5709571</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2641557</v>
      </c>
      <c r="D7216" s="2" t="str">
        <f t="shared" si="111"/>
        <v>Error?</v>
      </c>
    </row>
    <row r="7217" spans="1:4" x14ac:dyDescent="0.2">
      <c r="A7217">
        <v>7156</v>
      </c>
      <c r="B7217" s="1831">
        <f>'Expenditures 15-22'!D342</f>
        <v>617957</v>
      </c>
      <c r="D7217" s="2" t="str">
        <f t="shared" si="111"/>
        <v>Error?</v>
      </c>
    </row>
    <row r="7218" spans="1:4" x14ac:dyDescent="0.2">
      <c r="A7218">
        <v>7157</v>
      </c>
      <c r="B7218" s="1831">
        <f>'Expenditures 15-22'!E342</f>
        <v>2082898</v>
      </c>
      <c r="D7218" s="2" t="str">
        <f t="shared" si="111"/>
        <v>Error?</v>
      </c>
    </row>
    <row r="7219" spans="1:4" x14ac:dyDescent="0.2">
      <c r="A7219">
        <v>7158</v>
      </c>
      <c r="B7219" s="1831">
        <f>'Expenditures 15-22'!F342</f>
        <v>149723</v>
      </c>
      <c r="D7219" s="2" t="str">
        <f t="shared" si="111"/>
        <v>Error?</v>
      </c>
    </row>
    <row r="7220" spans="1:4" x14ac:dyDescent="0.2">
      <c r="A7220">
        <v>7159</v>
      </c>
      <c r="B7220" s="1831">
        <f>'Expenditures 15-22'!G342</f>
        <v>163872</v>
      </c>
      <c r="D7220" s="2" t="str">
        <f t="shared" si="111"/>
        <v>Error?</v>
      </c>
    </row>
    <row r="7221" spans="1:4" x14ac:dyDescent="0.2">
      <c r="A7221">
        <v>7160</v>
      </c>
      <c r="B7221" s="1831">
        <f>'Expenditures 15-22'!H342</f>
        <v>8154</v>
      </c>
      <c r="D7221" s="2" t="str">
        <f t="shared" si="111"/>
        <v>Error?</v>
      </c>
    </row>
    <row r="7222" spans="1:4" x14ac:dyDescent="0.2">
      <c r="A7222">
        <v>7161</v>
      </c>
      <c r="B7222" s="1831">
        <f>'Expenditures 15-22'!I342</f>
        <v>45410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5709571</v>
      </c>
      <c r="D7224" s="2" t="str">
        <f t="shared" si="111"/>
        <v>Error?</v>
      </c>
    </row>
    <row r="7225" spans="1:4" x14ac:dyDescent="0.2">
      <c r="A7225">
        <v>7164</v>
      </c>
      <c r="B7225" s="1831">
        <f>'Expenditures 15-22'!K343</f>
        <v>-684951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971026</v>
      </c>
      <c r="D7251" s="2" t="str">
        <f t="shared" si="112"/>
        <v>Error?</v>
      </c>
    </row>
    <row r="7252" spans="1:4" x14ac:dyDescent="0.2">
      <c r="A7252">
        <f t="shared" si="113"/>
        <v>7191</v>
      </c>
      <c r="B7252" s="1831">
        <f>'Expenditures 15-22'!D9</f>
        <v>220682</v>
      </c>
      <c r="D7252" s="2" t="str">
        <f t="shared" si="112"/>
        <v>Error?</v>
      </c>
    </row>
    <row r="7253" spans="1:4" x14ac:dyDescent="0.2">
      <c r="A7253">
        <f t="shared" si="113"/>
        <v>7192</v>
      </c>
      <c r="B7253" s="1831">
        <f>'Expenditures 15-22'!E9</f>
        <v>6210</v>
      </c>
      <c r="D7253" s="2" t="str">
        <f t="shared" si="112"/>
        <v>Error?</v>
      </c>
    </row>
    <row r="7254" spans="1:4" x14ac:dyDescent="0.2">
      <c r="A7254">
        <f t="shared" si="113"/>
        <v>7193</v>
      </c>
      <c r="B7254" s="1831">
        <f>'Expenditures 15-22'!F9</f>
        <v>36505</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12837</v>
      </c>
      <c r="D7263" s="2" t="str">
        <f t="shared" si="112"/>
        <v>Error?</v>
      </c>
    </row>
    <row r="7264" spans="1:4" x14ac:dyDescent="0.2">
      <c r="A7264">
        <f t="shared" si="113"/>
        <v>7203</v>
      </c>
      <c r="B7264" s="1831">
        <f>'Expenditures 15-22'!D17</f>
        <v>486</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102688</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102688</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3364</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3364</v>
      </c>
      <c r="D7613" s="2" t="str">
        <f t="shared" si="122"/>
        <v>Error?</v>
      </c>
      <c r="E7613" s="2" t="s">
        <v>19</v>
      </c>
    </row>
    <row r="7614" spans="1:5" x14ac:dyDescent="0.2">
      <c r="A7614">
        <f t="shared" si="123"/>
        <v>7553</v>
      </c>
      <c r="B7614" s="1831">
        <f>'Cap Outlay Deprec 26'!L9</f>
        <v>99324</v>
      </c>
      <c r="D7614" s="2" t="str">
        <f t="shared" si="122"/>
        <v>Error?</v>
      </c>
      <c r="E7614" s="2" t="s">
        <v>19</v>
      </c>
    </row>
    <row r="7615" spans="1:5" x14ac:dyDescent="0.2">
      <c r="A7615">
        <f t="shared" si="123"/>
        <v>7554</v>
      </c>
      <c r="B7615" s="1831">
        <f>'Cap Outlay Deprec 26'!C14</f>
        <v>126493</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126493</v>
      </c>
      <c r="D7618" s="2" t="str">
        <f t="shared" si="124"/>
        <v>Error?</v>
      </c>
      <c r="E7618" s="2" t="s">
        <v>19</v>
      </c>
    </row>
    <row r="7619" spans="1:5" x14ac:dyDescent="0.2">
      <c r="A7619">
        <f t="shared" si="123"/>
        <v>7558</v>
      </c>
      <c r="B7619" s="1831">
        <f>'Cap Outlay Deprec 26'!H14</f>
        <v>126493</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126493</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272542</v>
      </c>
      <c r="D7624" s="2" t="str">
        <f t="shared" si="124"/>
        <v>Error?</v>
      </c>
      <c r="E7624" s="2" t="s">
        <v>19</v>
      </c>
    </row>
    <row r="7625" spans="1:5" x14ac:dyDescent="0.2">
      <c r="A7625">
        <f t="shared" si="123"/>
        <v>7564</v>
      </c>
      <c r="B7625" s="1831">
        <f>'Cap Outlay Deprec 26'!I17</f>
        <v>27254.2</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8815667.1999999993</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1991</v>
      </c>
    </row>
    <row r="7641" spans="1:6" x14ac:dyDescent="0.2">
      <c r="A7641" s="126">
        <f t="shared" si="125"/>
        <v>7580</v>
      </c>
      <c r="B7641" s="1832"/>
      <c r="D7641" s="2" t="str">
        <f t="shared" si="124"/>
        <v>OK</v>
      </c>
      <c r="E7641" s="4" t="s">
        <v>1991</v>
      </c>
    </row>
    <row r="7642" spans="1:6" x14ac:dyDescent="0.2">
      <c r="A7642" s="126">
        <f t="shared" si="125"/>
        <v>7581</v>
      </c>
      <c r="B7642" s="1832"/>
      <c r="D7642" s="2" t="str">
        <f t="shared" si="124"/>
        <v>OK</v>
      </c>
      <c r="E7642" s="4" t="s">
        <v>1991</v>
      </c>
    </row>
    <row r="7643" spans="1:6" x14ac:dyDescent="0.2">
      <c r="A7643" s="126">
        <f t="shared" si="125"/>
        <v>7582</v>
      </c>
      <c r="B7643" s="1832"/>
      <c r="D7643" s="2" t="str">
        <f t="shared" si="124"/>
        <v>OK</v>
      </c>
      <c r="E7643" s="4" t="s">
        <v>1991</v>
      </c>
    </row>
    <row r="7644" spans="1:6" x14ac:dyDescent="0.2">
      <c r="A7644" s="126">
        <f t="shared" si="125"/>
        <v>7583</v>
      </c>
      <c r="B7644" s="1832"/>
      <c r="D7644" s="2" t="str">
        <f t="shared" si="124"/>
        <v>OK</v>
      </c>
      <c r="E7644" s="4" t="s">
        <v>1991</v>
      </c>
    </row>
    <row r="7645" spans="1:6" x14ac:dyDescent="0.2">
      <c r="A7645" s="126">
        <f t="shared" si="125"/>
        <v>7584</v>
      </c>
      <c r="B7645" s="1832"/>
      <c r="D7645" s="2" t="str">
        <f t="shared" si="124"/>
        <v>OK</v>
      </c>
      <c r="E7645" s="4" t="s">
        <v>1991</v>
      </c>
    </row>
    <row r="7646" spans="1:6" x14ac:dyDescent="0.2">
      <c r="A7646" s="126">
        <f t="shared" si="125"/>
        <v>7585</v>
      </c>
      <c r="B7646" s="1832"/>
      <c r="D7646" s="2" t="str">
        <f t="shared" si="124"/>
        <v>OK</v>
      </c>
      <c r="E7646" s="4" t="s">
        <v>1991</v>
      </c>
    </row>
    <row r="7647" spans="1:6" x14ac:dyDescent="0.2">
      <c r="A7647" s="126">
        <f t="shared" si="125"/>
        <v>7586</v>
      </c>
      <c r="B7647" s="1832"/>
      <c r="D7647" s="2" t="str">
        <f t="shared" si="124"/>
        <v>OK</v>
      </c>
      <c r="E7647" s="4" t="s">
        <v>1991</v>
      </c>
    </row>
    <row r="7648" spans="1:6" x14ac:dyDescent="0.2">
      <c r="A7648" s="126">
        <f t="shared" si="125"/>
        <v>7587</v>
      </c>
      <c r="B7648" s="1832"/>
      <c r="D7648" s="2" t="str">
        <f t="shared" si="124"/>
        <v>OK</v>
      </c>
      <c r="E7648" s="4" t="s">
        <v>1991</v>
      </c>
    </row>
    <row r="7649" spans="1:5" x14ac:dyDescent="0.2">
      <c r="A7649" s="126">
        <f t="shared" si="125"/>
        <v>7588</v>
      </c>
      <c r="B7649" s="1832"/>
      <c r="D7649" s="2" t="str">
        <f t="shared" si="124"/>
        <v>OK</v>
      </c>
      <c r="E7649" s="4" t="s">
        <v>1991</v>
      </c>
    </row>
    <row r="7650" spans="1:5" x14ac:dyDescent="0.2">
      <c r="A7650" s="126">
        <f t="shared" si="125"/>
        <v>7589</v>
      </c>
      <c r="B7650" s="1832"/>
      <c r="D7650" s="2" t="str">
        <f t="shared" si="124"/>
        <v>OK</v>
      </c>
      <c r="E7650" s="4" t="s">
        <v>1991</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883802</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883802</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65376</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38169</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103545</v>
      </c>
      <c r="D7719" s="2" t="str">
        <f t="shared" si="126"/>
        <v>Error?</v>
      </c>
      <c r="E7719" s="2" t="s">
        <v>821</v>
      </c>
    </row>
    <row r="7720" spans="1:6" x14ac:dyDescent="0.2">
      <c r="A7720">
        <v>7659</v>
      </c>
      <c r="B7720" s="1831">
        <f>'Rest Tax Levies-Tort Im 25'!H14</f>
        <v>806049</v>
      </c>
      <c r="D7720" s="2" t="str">
        <f t="shared" si="126"/>
        <v>Error?</v>
      </c>
      <c r="E7720" s="2" t="s">
        <v>821</v>
      </c>
    </row>
    <row r="7721" spans="1:6" x14ac:dyDescent="0.2">
      <c r="A7721">
        <v>7660</v>
      </c>
      <c r="B7721" s="1831">
        <f>'Rest Tax Levies-Tort Im 25'!K14</f>
        <v>103545</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9882069</v>
      </c>
      <c r="D7748" s="2" t="str">
        <f t="shared" si="127"/>
        <v>Error?</v>
      </c>
      <c r="E7748" s="4" t="s">
        <v>1321</v>
      </c>
    </row>
    <row r="7749" spans="1:6" x14ac:dyDescent="0.2">
      <c r="A7749">
        <v>7688</v>
      </c>
      <c r="B7749" s="1831">
        <f>'Acct Summary 7-8'!D25</f>
        <v>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1427</v>
      </c>
    </row>
    <row r="7757" spans="1:6" x14ac:dyDescent="0.2">
      <c r="A7757" s="126">
        <v>7696</v>
      </c>
      <c r="B7757" s="1831"/>
      <c r="D7757" s="2" t="str">
        <f t="shared" si="127"/>
        <v>OK</v>
      </c>
      <c r="E7757" s="4" t="s">
        <v>1321</v>
      </c>
      <c r="F7757" t="s">
        <v>1427</v>
      </c>
    </row>
    <row r="7758" spans="1:6" x14ac:dyDescent="0.2">
      <c r="A7758">
        <v>7697</v>
      </c>
      <c r="B7758" s="1831">
        <f>'Aud Quest 2'!J85</f>
        <v>0</v>
      </c>
      <c r="D7758" s="2" t="str">
        <f t="shared" si="127"/>
        <v>Error?</v>
      </c>
      <c r="E7758" s="4" t="s">
        <v>1321</v>
      </c>
    </row>
    <row r="7759" spans="1:6" x14ac:dyDescent="0.2">
      <c r="A7759">
        <v>7698</v>
      </c>
      <c r="B7759" s="1831">
        <f>'Aud Quest 2'!J88</f>
        <v>0</v>
      </c>
      <c r="D7759" s="2" t="str">
        <f t="shared" si="127"/>
        <v>Error?</v>
      </c>
      <c r="E7759" s="4" t="s">
        <v>1321</v>
      </c>
    </row>
    <row r="7760" spans="1:6" x14ac:dyDescent="0.2">
      <c r="A7760">
        <v>7699</v>
      </c>
      <c r="B7760" s="1831">
        <f>'Aud Quest 2'!J90</f>
        <v>0</v>
      </c>
      <c r="D7760" s="2" t="str">
        <f t="shared" si="127"/>
        <v>Error?</v>
      </c>
      <c r="E7760" s="4" t="s">
        <v>1321</v>
      </c>
    </row>
    <row r="7761" spans="1:5" x14ac:dyDescent="0.2">
      <c r="A7761">
        <v>7700</v>
      </c>
      <c r="B7761" s="1831">
        <f>'Revenues 9-14'!C253</f>
        <v>0</v>
      </c>
      <c r="D7761" s="2" t="str">
        <f t="shared" si="127"/>
        <v>Error?</v>
      </c>
      <c r="E7761" s="4" t="s">
        <v>1404</v>
      </c>
    </row>
    <row r="7762" spans="1:5" x14ac:dyDescent="0.2">
      <c r="A7762">
        <v>7701</v>
      </c>
      <c r="B7762" s="1831">
        <f>'Expenditures 15-22'!E6</f>
        <v>271691</v>
      </c>
      <c r="D7762" s="2" t="str">
        <f t="shared" si="127"/>
        <v>Error?</v>
      </c>
      <c r="E7762" s="4" t="s">
        <v>1414</v>
      </c>
    </row>
    <row r="7763" spans="1:5" x14ac:dyDescent="0.2">
      <c r="A7763">
        <v>7702</v>
      </c>
      <c r="B7763" s="1831">
        <f>'Expenditures 15-22'!K6</f>
        <v>271691</v>
      </c>
      <c r="D7763" s="2" t="str">
        <f t="shared" si="127"/>
        <v>Error?</v>
      </c>
      <c r="E7763" s="4"/>
    </row>
    <row r="7764" spans="1:5" x14ac:dyDescent="0.2">
      <c r="A7764">
        <v>7703</v>
      </c>
      <c r="B7764" s="1831">
        <f>'Revenues 9-14'!F58</f>
        <v>0</v>
      </c>
      <c r="D7764" s="2" t="str">
        <f t="shared" si="127"/>
        <v>Error?</v>
      </c>
      <c r="E7764" s="4" t="s">
        <v>1442</v>
      </c>
    </row>
    <row r="7765" spans="1:5" x14ac:dyDescent="0.2">
      <c r="A7765">
        <v>7704</v>
      </c>
      <c r="B7765" s="1831">
        <f>'Revenues 9-14'!C254</f>
        <v>193466</v>
      </c>
      <c r="D7765" s="2" t="str">
        <f t="shared" si="127"/>
        <v>Error?</v>
      </c>
      <c r="E7765" s="4" t="s">
        <v>1446</v>
      </c>
    </row>
    <row r="7766" spans="1:5" x14ac:dyDescent="0.2">
      <c r="A7766">
        <v>7705</v>
      </c>
      <c r="B7766" s="1831">
        <f>'Revenues 9-14'!D254</f>
        <v>0</v>
      </c>
      <c r="D7766" s="2" t="str">
        <f t="shared" si="127"/>
        <v>Error?</v>
      </c>
      <c r="E7766" s="4" t="s">
        <v>1446</v>
      </c>
    </row>
    <row r="7767" spans="1:5" x14ac:dyDescent="0.2">
      <c r="A7767" s="126">
        <v>7706</v>
      </c>
      <c r="B7767" s="1831"/>
      <c r="D7767" s="4" t="s">
        <v>1993</v>
      </c>
      <c r="E7767" s="4"/>
    </row>
    <row r="7768" spans="1:5" x14ac:dyDescent="0.2">
      <c r="A7768">
        <v>7707</v>
      </c>
      <c r="B7768" s="1831">
        <f>'Revenues 9-14'!F254</f>
        <v>0</v>
      </c>
      <c r="D7768" s="2" t="str">
        <f t="shared" si="127"/>
        <v>Error?</v>
      </c>
      <c r="E7768" s="4" t="s">
        <v>1446</v>
      </c>
    </row>
    <row r="7769" spans="1:5" x14ac:dyDescent="0.2">
      <c r="A7769">
        <v>7708</v>
      </c>
      <c r="B7769" s="1831">
        <f>'Revenues 9-14'!G254</f>
        <v>0</v>
      </c>
      <c r="D7769" s="2" t="str">
        <f t="shared" si="127"/>
        <v>Error?</v>
      </c>
      <c r="E7769" s="4" t="s">
        <v>1446</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1447</v>
      </c>
    </row>
    <row r="7773" spans="1:5" x14ac:dyDescent="0.2">
      <c r="A7773">
        <v>7712</v>
      </c>
      <c r="B7773" s="1831">
        <f>'Rest Tax Levies-Tort Im 25'!J22</f>
        <v>0</v>
      </c>
      <c r="D7773" s="2" t="str">
        <f t="shared" si="127"/>
        <v>Error?</v>
      </c>
      <c r="E7773" s="4" t="s">
        <v>1535</v>
      </c>
    </row>
    <row r="7774" spans="1:5" x14ac:dyDescent="0.2">
      <c r="A7774">
        <v>7713</v>
      </c>
      <c r="B7774" s="1831">
        <f>'Expenditures 15-22'!E133</f>
        <v>0</v>
      </c>
      <c r="D7774" s="2" t="str">
        <f t="shared" si="127"/>
        <v>Error?</v>
      </c>
      <c r="E7774" s="4" t="s">
        <v>1822</v>
      </c>
    </row>
    <row r="7775" spans="1:5" x14ac:dyDescent="0.2">
      <c r="A7775">
        <v>7714</v>
      </c>
      <c r="B7775" s="1831">
        <f>'Expenditures 15-22'!H133</f>
        <v>0</v>
      </c>
      <c r="D7775" s="2" t="str">
        <f t="shared" si="127"/>
        <v>Error?</v>
      </c>
      <c r="E7775" s="4" t="s">
        <v>1822</v>
      </c>
    </row>
    <row r="7776" spans="1:5" x14ac:dyDescent="0.2">
      <c r="A7776">
        <v>7715</v>
      </c>
      <c r="B7776" s="1831">
        <f>'Expenditures 15-22'!K133</f>
        <v>0</v>
      </c>
      <c r="D7776" s="2" t="str">
        <f t="shared" si="127"/>
        <v>Error?</v>
      </c>
      <c r="E7776" s="4" t="s">
        <v>1822</v>
      </c>
    </row>
    <row r="7777" spans="1:5" x14ac:dyDescent="0.2">
      <c r="A7777">
        <v>7716</v>
      </c>
      <c r="B7777" s="1831">
        <f>'Expenditures 15-22'!H157</f>
        <v>0</v>
      </c>
      <c r="D7777" s="2" t="str">
        <f t="shared" si="127"/>
        <v>Error?</v>
      </c>
      <c r="E7777" s="4" t="s">
        <v>1822</v>
      </c>
    </row>
    <row r="7778" spans="1:5" x14ac:dyDescent="0.2">
      <c r="A7778">
        <v>7717</v>
      </c>
      <c r="B7778" s="1831">
        <f>'Expenditures 15-22'!K157</f>
        <v>0</v>
      </c>
      <c r="D7778" s="2" t="str">
        <f t="shared" si="127"/>
        <v>Error?</v>
      </c>
      <c r="E7778" s="4" t="s">
        <v>1822</v>
      </c>
    </row>
    <row r="7779" spans="1:5" x14ac:dyDescent="0.2">
      <c r="A7779">
        <v>7718</v>
      </c>
      <c r="B7779" s="1831">
        <f>'Expenditures 15-22'!H158</f>
        <v>0</v>
      </c>
      <c r="D7779" s="2" t="str">
        <f t="shared" si="127"/>
        <v>Error?</v>
      </c>
      <c r="E7779" s="4" t="s">
        <v>1822</v>
      </c>
    </row>
    <row r="7780" spans="1:5" x14ac:dyDescent="0.2">
      <c r="A7780">
        <v>7719</v>
      </c>
      <c r="B7780" s="1831">
        <f>'Expenditures 15-22'!K158</f>
        <v>0</v>
      </c>
      <c r="D7780" s="2" t="str">
        <f t="shared" si="127"/>
        <v>Error?</v>
      </c>
      <c r="E7780" s="4" t="s">
        <v>1822</v>
      </c>
    </row>
    <row r="7781" spans="1:5" x14ac:dyDescent="0.2">
      <c r="A7781">
        <v>7720</v>
      </c>
      <c r="B7781" s="1831">
        <f>'Expenditures 15-22'!H159</f>
        <v>0</v>
      </c>
      <c r="D7781" s="2" t="str">
        <f t="shared" si="127"/>
        <v>Error?</v>
      </c>
      <c r="E7781" s="4" t="s">
        <v>1822</v>
      </c>
    </row>
    <row r="7782" spans="1:5" x14ac:dyDescent="0.2">
      <c r="A7782">
        <v>7721</v>
      </c>
      <c r="B7782" s="1831">
        <f>'Expenditures 15-22'!K159</f>
        <v>0</v>
      </c>
      <c r="D7782" s="2" t="str">
        <f t="shared" si="127"/>
        <v>Error?</v>
      </c>
      <c r="E7782" s="4" t="s">
        <v>1822</v>
      </c>
    </row>
    <row r="7783" spans="1:5" x14ac:dyDescent="0.2">
      <c r="A7783">
        <v>7722</v>
      </c>
      <c r="B7783" s="1831">
        <f>'Expenditures 15-22'!D282</f>
        <v>0</v>
      </c>
      <c r="D7783" s="2" t="str">
        <f t="shared" si="127"/>
        <v>Error?</v>
      </c>
      <c r="E7783" s="4" t="s">
        <v>1822</v>
      </c>
    </row>
    <row r="7784" spans="1:5" x14ac:dyDescent="0.2">
      <c r="A7784">
        <v>7723</v>
      </c>
      <c r="B7784" s="1831">
        <f>'Expenditures 15-22'!K282</f>
        <v>0</v>
      </c>
      <c r="D7784" s="2" t="str">
        <f t="shared" si="127"/>
        <v>Error?</v>
      </c>
      <c r="E7784" s="4" t="s">
        <v>1822</v>
      </c>
    </row>
    <row r="7785" spans="1:5" x14ac:dyDescent="0.2">
      <c r="A7785">
        <v>7724</v>
      </c>
      <c r="B7785" s="1831">
        <f>'Expenditures 15-22'!H332</f>
        <v>0</v>
      </c>
      <c r="D7785" s="2" t="str">
        <f t="shared" si="127"/>
        <v>Error?</v>
      </c>
      <c r="E7785" s="4" t="s">
        <v>1822</v>
      </c>
    </row>
    <row r="7786" spans="1:5" x14ac:dyDescent="0.2">
      <c r="A7786">
        <v>7725</v>
      </c>
      <c r="B7786" s="1831">
        <f>'Expenditures 15-22'!K332</f>
        <v>0</v>
      </c>
      <c r="D7786" s="2" t="str">
        <f t="shared" si="127"/>
        <v>Error?</v>
      </c>
      <c r="E7786" s="4" t="s">
        <v>1822</v>
      </c>
    </row>
    <row r="7787" spans="1:5" x14ac:dyDescent="0.2">
      <c r="A7787">
        <v>7726</v>
      </c>
      <c r="B7787" s="1831">
        <f>'Expenditures 15-22'!H333</f>
        <v>0</v>
      </c>
      <c r="D7787" s="2" t="str">
        <f t="shared" si="127"/>
        <v>Error?</v>
      </c>
      <c r="E7787" s="4" t="s">
        <v>1822</v>
      </c>
    </row>
    <row r="7788" spans="1:5" x14ac:dyDescent="0.2">
      <c r="A7788">
        <v>7727</v>
      </c>
      <c r="B7788" s="1831">
        <f>'Expenditures 15-22'!K333</f>
        <v>0</v>
      </c>
      <c r="D7788" s="2" t="str">
        <f t="shared" si="127"/>
        <v>Error?</v>
      </c>
      <c r="E7788" s="4" t="s">
        <v>1822</v>
      </c>
    </row>
    <row r="7789" spans="1:5" x14ac:dyDescent="0.2">
      <c r="A7789">
        <v>7728</v>
      </c>
      <c r="B7789" s="1831">
        <f>'Expenditures 15-22'!H334</f>
        <v>0</v>
      </c>
      <c r="D7789" s="2" t="str">
        <f t="shared" si="127"/>
        <v>Error?</v>
      </c>
      <c r="E7789" s="4" t="s">
        <v>1822</v>
      </c>
    </row>
    <row r="7790" spans="1:5" x14ac:dyDescent="0.2">
      <c r="A7790">
        <v>7729</v>
      </c>
      <c r="B7790" s="1831">
        <f>'Expenditures 15-22'!K334</f>
        <v>0</v>
      </c>
      <c r="D7790" s="2" t="str">
        <f t="shared" si="127"/>
        <v>Error?</v>
      </c>
      <c r="E7790" s="4" t="s">
        <v>1822</v>
      </c>
    </row>
    <row r="7791" spans="1:5" x14ac:dyDescent="0.2">
      <c r="A7791">
        <v>7730</v>
      </c>
      <c r="B7791" s="1831">
        <f>'Expenditures 15-22'!H354</f>
        <v>0</v>
      </c>
      <c r="D7791" s="2" t="str">
        <f t="shared" si="127"/>
        <v>Error?</v>
      </c>
      <c r="E7791" s="4" t="s">
        <v>1822</v>
      </c>
    </row>
    <row r="7792" spans="1:5" x14ac:dyDescent="0.2">
      <c r="A7792">
        <v>7731</v>
      </c>
      <c r="B7792" s="1831">
        <f>'Expenditures 15-22'!K354</f>
        <v>0</v>
      </c>
      <c r="D7792" s="2" t="str">
        <f t="shared" si="127"/>
        <v>Error?</v>
      </c>
      <c r="E7792" s="4" t="s">
        <v>1822</v>
      </c>
    </row>
    <row r="7793" spans="1:5" x14ac:dyDescent="0.2">
      <c r="A7793">
        <v>7732</v>
      </c>
      <c r="B7793" s="1831">
        <f>'Expenditures 15-22'!H355</f>
        <v>0</v>
      </c>
      <c r="D7793" s="2" t="str">
        <f t="shared" si="127"/>
        <v>Error?</v>
      </c>
      <c r="E7793" s="4" t="s">
        <v>1822</v>
      </c>
    </row>
    <row r="7794" spans="1:5" x14ac:dyDescent="0.2">
      <c r="A7794">
        <v>7733</v>
      </c>
      <c r="B7794" s="1831">
        <f>'Expenditures 15-22'!K355</f>
        <v>0</v>
      </c>
      <c r="D7794" s="2" t="str">
        <f t="shared" si="127"/>
        <v>Error?</v>
      </c>
      <c r="E7794" s="4" t="s">
        <v>1822</v>
      </c>
    </row>
    <row r="7795" spans="1:5" x14ac:dyDescent="0.2">
      <c r="A7795">
        <v>7734</v>
      </c>
      <c r="B7795" s="1831">
        <f>'Expenditures 15-22'!E138</f>
        <v>0</v>
      </c>
      <c r="D7795" s="2" t="str">
        <f t="shared" si="127"/>
        <v>Error?</v>
      </c>
      <c r="E7795" s="4" t="s">
        <v>1822</v>
      </c>
    </row>
    <row r="7796" spans="1:5" x14ac:dyDescent="0.2">
      <c r="A7796">
        <v>7735</v>
      </c>
      <c r="B7796" s="1831">
        <f>'Acct Summary 7-8'!J15</f>
        <v>0</v>
      </c>
      <c r="D7796" s="2" t="str">
        <f t="shared" si="127"/>
        <v>Error?</v>
      </c>
      <c r="E7796" s="4" t="s">
        <v>1822</v>
      </c>
    </row>
    <row r="7797" spans="1:5" x14ac:dyDescent="0.2">
      <c r="A7797" s="126">
        <v>7736</v>
      </c>
      <c r="B7797" s="1831"/>
      <c r="D7797" s="2" t="str">
        <f t="shared" si="127"/>
        <v>OK</v>
      </c>
      <c r="E7797" s="4" t="s">
        <v>1975</v>
      </c>
    </row>
    <row r="7798" spans="1:5" x14ac:dyDescent="0.2">
      <c r="A7798" s="126">
        <v>7737</v>
      </c>
      <c r="B7798" s="1831"/>
      <c r="D7798" s="2" t="str">
        <f t="shared" si="127"/>
        <v>OK</v>
      </c>
      <c r="E7798" s="4" t="s">
        <v>1975</v>
      </c>
    </row>
    <row r="7799" spans="1:5" x14ac:dyDescent="0.2">
      <c r="A7799" s="126">
        <v>7738</v>
      </c>
      <c r="B7799" s="1831"/>
      <c r="D7799" s="2" t="str">
        <f t="shared" si="127"/>
        <v>OK</v>
      </c>
      <c r="E7799" s="4" t="s">
        <v>1975</v>
      </c>
    </row>
    <row r="7800" spans="1:5" x14ac:dyDescent="0.2">
      <c r="A7800">
        <v>7739</v>
      </c>
      <c r="B7800" s="1831">
        <f>'Rest Tax Levies-Tort Im 25'!K23</f>
        <v>103545</v>
      </c>
      <c r="D7800" s="2" t="str">
        <f t="shared" si="127"/>
        <v>Error?</v>
      </c>
      <c r="E7800" s="4" t="s">
        <v>1962</v>
      </c>
    </row>
    <row r="7801" spans="1:5" x14ac:dyDescent="0.2">
      <c r="A7801">
        <v>7740</v>
      </c>
      <c r="B7801" s="1831">
        <f>'Revenues 9-14'!C120</f>
        <v>0</v>
      </c>
      <c r="D7801" s="2" t="str">
        <f t="shared" si="127"/>
        <v>Error?</v>
      </c>
      <c r="E7801" s="4" t="s">
        <v>1896</v>
      </c>
    </row>
    <row r="7802" spans="1:5" x14ac:dyDescent="0.2">
      <c r="A7802">
        <v>7741</v>
      </c>
      <c r="B7802" s="1831">
        <f>'Revenues 9-14'!D120</f>
        <v>0</v>
      </c>
      <c r="D7802" s="2" t="str">
        <f t="shared" si="127"/>
        <v>Error?</v>
      </c>
      <c r="E7802" s="4" t="s">
        <v>1896</v>
      </c>
    </row>
    <row r="7803" spans="1:5" x14ac:dyDescent="0.2">
      <c r="A7803">
        <v>7742</v>
      </c>
      <c r="B7803" s="1831">
        <f>'Revenues 9-14'!E120</f>
        <v>0</v>
      </c>
      <c r="D7803" s="2" t="str">
        <f t="shared" si="127"/>
        <v>Error?</v>
      </c>
      <c r="E7803" s="4" t="s">
        <v>1896</v>
      </c>
    </row>
    <row r="7804" spans="1:5" x14ac:dyDescent="0.2">
      <c r="A7804">
        <v>7743</v>
      </c>
      <c r="B7804" s="1831">
        <f>'Revenues 9-14'!F120</f>
        <v>0</v>
      </c>
      <c r="D7804" s="2" t="str">
        <f t="shared" si="127"/>
        <v>Error?</v>
      </c>
      <c r="E7804" s="4" t="s">
        <v>1896</v>
      </c>
    </row>
    <row r="7805" spans="1:5" x14ac:dyDescent="0.2">
      <c r="A7805">
        <v>7744</v>
      </c>
      <c r="B7805" s="1831">
        <f>'Revenues 9-14'!G120</f>
        <v>0</v>
      </c>
      <c r="D7805" s="2" t="str">
        <f t="shared" si="127"/>
        <v>Error?</v>
      </c>
      <c r="E7805" s="4" t="s">
        <v>1896</v>
      </c>
    </row>
    <row r="7806" spans="1:5" x14ac:dyDescent="0.2">
      <c r="A7806">
        <v>7745</v>
      </c>
      <c r="B7806" s="1831">
        <f>'Revenues 9-14'!H120</f>
        <v>0</v>
      </c>
      <c r="D7806" s="2" t="str">
        <f t="shared" si="127"/>
        <v>Error?</v>
      </c>
      <c r="E7806" s="4" t="s">
        <v>1896</v>
      </c>
    </row>
    <row r="7807" spans="1:5" x14ac:dyDescent="0.2">
      <c r="A7807">
        <v>7746</v>
      </c>
      <c r="B7807" s="1831">
        <f>'Revenues 9-14'!J120</f>
        <v>0</v>
      </c>
      <c r="D7807" s="2" t="str">
        <f t="shared" ref="D7807:D7821" si="128">IF(ISBLANK(B7807),"OK",IF(A7807-B7807=0,"OK","Error?"))</f>
        <v>Error?</v>
      </c>
      <c r="E7807" s="4" t="s">
        <v>1896</v>
      </c>
    </row>
    <row r="7808" spans="1:5" x14ac:dyDescent="0.2">
      <c r="A7808">
        <v>7747</v>
      </c>
      <c r="B7808" s="1831">
        <f>'Revenues 9-14'!K120</f>
        <v>0</v>
      </c>
      <c r="D7808" s="2" t="str">
        <f t="shared" si="128"/>
        <v>Error?</v>
      </c>
      <c r="E7808" s="4" t="s">
        <v>1896</v>
      </c>
    </row>
    <row r="7809" spans="1:5" x14ac:dyDescent="0.2">
      <c r="A7809">
        <v>7748</v>
      </c>
      <c r="B7809" s="1831">
        <f>'Revenues 9-14'!C261</f>
        <v>0</v>
      </c>
      <c r="D7809" s="2" t="str">
        <f t="shared" si="128"/>
        <v>Error?</v>
      </c>
      <c r="E7809" s="4" t="s">
        <v>1897</v>
      </c>
    </row>
    <row r="7810" spans="1:5" x14ac:dyDescent="0.2">
      <c r="A7810">
        <v>7749</v>
      </c>
      <c r="B7810" s="1831">
        <f>'Revenues 9-14'!D261</f>
        <v>0</v>
      </c>
      <c r="D7810" s="2" t="str">
        <f t="shared" si="128"/>
        <v>Error?</v>
      </c>
      <c r="E7810" s="4" t="s">
        <v>1897</v>
      </c>
    </row>
    <row r="7811" spans="1:5" x14ac:dyDescent="0.2">
      <c r="A7811">
        <v>7750</v>
      </c>
      <c r="B7811" s="1831">
        <f>'Revenues 9-14'!F261</f>
        <v>0</v>
      </c>
      <c r="D7811" s="2" t="str">
        <f t="shared" si="128"/>
        <v>Error?</v>
      </c>
      <c r="E7811" s="4" t="s">
        <v>1897</v>
      </c>
    </row>
    <row r="7812" spans="1:5" x14ac:dyDescent="0.2">
      <c r="A7812">
        <v>7751</v>
      </c>
      <c r="B7812" s="1831">
        <f>'Revenues 9-14'!G261</f>
        <v>0</v>
      </c>
      <c r="D7812" s="2" t="str">
        <f t="shared" si="128"/>
        <v>Error?</v>
      </c>
      <c r="E7812" s="4" t="s">
        <v>1897</v>
      </c>
    </row>
    <row r="7813" spans="1:5" x14ac:dyDescent="0.2">
      <c r="A7813">
        <v>7752</v>
      </c>
      <c r="B7813" s="1831">
        <f>'Revenues 9-14'!C262</f>
        <v>0</v>
      </c>
      <c r="D7813" s="2" t="str">
        <f t="shared" si="128"/>
        <v>Error?</v>
      </c>
      <c r="E7813" s="4" t="s">
        <v>1898</v>
      </c>
    </row>
    <row r="7814" spans="1:5" x14ac:dyDescent="0.2">
      <c r="A7814">
        <v>7753</v>
      </c>
      <c r="B7814" s="1831">
        <f>'Revenues 9-14'!D262</f>
        <v>0</v>
      </c>
      <c r="D7814" s="2" t="str">
        <f t="shared" si="128"/>
        <v>Error?</v>
      </c>
      <c r="E7814" s="4" t="s">
        <v>1898</v>
      </c>
    </row>
    <row r="7815" spans="1:5" x14ac:dyDescent="0.2">
      <c r="A7815">
        <v>7754</v>
      </c>
      <c r="B7815" s="1831">
        <f>'Revenues 9-14'!F262</f>
        <v>0</v>
      </c>
      <c r="D7815" s="2" t="str">
        <f t="shared" si="128"/>
        <v>Error?</v>
      </c>
      <c r="E7815" s="4" t="s">
        <v>1898</v>
      </c>
    </row>
    <row r="7816" spans="1:5" x14ac:dyDescent="0.2">
      <c r="A7816">
        <v>7755</v>
      </c>
      <c r="B7816" s="1831">
        <f>'Revenues 9-14'!G262</f>
        <v>0</v>
      </c>
      <c r="D7816" s="2" t="str">
        <f t="shared" si="128"/>
        <v>Error?</v>
      </c>
      <c r="E7816" s="4" t="s">
        <v>1898</v>
      </c>
    </row>
    <row r="7817" spans="1:5" x14ac:dyDescent="0.2">
      <c r="A7817">
        <v>7756</v>
      </c>
      <c r="B7817" s="1831">
        <f>'Short-Term Long-Term Debt 24'!C49</f>
        <v>231075000</v>
      </c>
      <c r="D7817" s="2" t="str">
        <f t="shared" si="128"/>
        <v>Error?</v>
      </c>
      <c r="E7817" s="4" t="s">
        <v>1962</v>
      </c>
    </row>
    <row r="7818" spans="1:5" x14ac:dyDescent="0.2">
      <c r="A7818">
        <v>7757</v>
      </c>
      <c r="B7818" s="1831">
        <f>'PCTC-OEPP 27-28'!F172</f>
        <v>4480051.88</v>
      </c>
      <c r="D7818" s="2" t="str">
        <f t="shared" si="128"/>
        <v>Error?</v>
      </c>
      <c r="E7818" s="4" t="s">
        <v>1976</v>
      </c>
    </row>
    <row r="7819" spans="1:5" x14ac:dyDescent="0.2">
      <c r="A7819">
        <v>7758</v>
      </c>
      <c r="B7819" s="1831">
        <f>'PCTC-OEPP 27-28'!F173</f>
        <v>235938.46</v>
      </c>
      <c r="D7819" s="2" t="str">
        <f t="shared" si="128"/>
        <v>Error?</v>
      </c>
      <c r="E7819" s="4" t="s">
        <v>1976</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175646663</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0</v>
      </c>
      <c r="D7826" s="2" t="str">
        <f t="shared" si="129"/>
        <v>Error?</v>
      </c>
      <c r="E7826" s="4" t="s">
        <v>1994</v>
      </c>
    </row>
    <row r="7827" spans="1:5" x14ac:dyDescent="0.2">
      <c r="A7827">
        <v>7766</v>
      </c>
      <c r="B7827" s="1831">
        <f>'PCTC-OEPP 27-28'!F35</f>
        <v>1234423</v>
      </c>
      <c r="D7827" s="2" t="str">
        <f t="shared" si="129"/>
        <v>Error?</v>
      </c>
      <c r="E7827" s="4" t="s">
        <v>1994</v>
      </c>
    </row>
    <row r="7828" spans="1:5" x14ac:dyDescent="0.2">
      <c r="A7828">
        <v>7767</v>
      </c>
      <c r="B7828" s="1831">
        <f>'PCTC-OEPP 27-28'!F36</f>
        <v>0</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168446</v>
      </c>
      <c r="D7830" s="2" t="str">
        <f t="shared" si="129"/>
        <v>Error?</v>
      </c>
      <c r="E7830" s="4" t="s">
        <v>1994</v>
      </c>
    </row>
    <row r="7831" spans="1:5" x14ac:dyDescent="0.2">
      <c r="A7831">
        <v>7770</v>
      </c>
      <c r="B7831" s="1831">
        <f>'PCTC-OEPP 27-28'!F52</f>
        <v>623807</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31482998</v>
      </c>
      <c r="D7834" s="2" t="str">
        <f t="shared" si="129"/>
        <v>Error?</v>
      </c>
      <c r="E7834" s="4" t="s">
        <v>1994</v>
      </c>
    </row>
    <row r="7835" spans="1:5" x14ac:dyDescent="0.2">
      <c r="A7835">
        <v>7774</v>
      </c>
      <c r="B7835" s="1831">
        <f>'PCTC-OEPP 27-28'!F78</f>
        <v>144163665</v>
      </c>
      <c r="D7835" s="2" t="str">
        <f t="shared" si="129"/>
        <v>Error?</v>
      </c>
      <c r="E7835" s="4" t="s">
        <v>1994</v>
      </c>
    </row>
    <row r="7836" spans="1:5" x14ac:dyDescent="0.2">
      <c r="A7836" s="126">
        <v>7775</v>
      </c>
      <c r="B7836" s="1831"/>
      <c r="D7836" s="2" t="str">
        <f t="shared" si="129"/>
        <v>OK</v>
      </c>
      <c r="E7836" s="4" t="s">
        <v>1996</v>
      </c>
    </row>
    <row r="7837" spans="1:5" x14ac:dyDescent="0.2">
      <c r="A7837">
        <v>7776</v>
      </c>
      <c r="B7837" s="1831">
        <f>'PCTC-OEPP 27-28'!F80</f>
        <v>12326.948696023941</v>
      </c>
      <c r="D7837" s="2" t="str">
        <f t="shared" si="129"/>
        <v>Error?</v>
      </c>
      <c r="E7837" s="4" t="s">
        <v>1994</v>
      </c>
    </row>
    <row r="7838" spans="1:5" x14ac:dyDescent="0.2">
      <c r="A7838">
        <v>7777</v>
      </c>
      <c r="B7838" s="1831">
        <f>'PCTC-OEPP 27-28'!F96</f>
        <v>795324</v>
      </c>
      <c r="D7838" s="2" t="str">
        <f t="shared" si="129"/>
        <v>Error?</v>
      </c>
      <c r="E7838" s="4" t="s">
        <v>1994</v>
      </c>
    </row>
    <row r="7839" spans="1:5" x14ac:dyDescent="0.2">
      <c r="A7839">
        <v>7778</v>
      </c>
      <c r="B7839" s="1831">
        <f>'PCTC-OEPP 27-28'!F102</f>
        <v>73283</v>
      </c>
      <c r="D7839" s="2" t="str">
        <f t="shared" si="129"/>
        <v>Error?</v>
      </c>
      <c r="E7839" s="4" t="s">
        <v>1994</v>
      </c>
    </row>
    <row r="7840" spans="1:5" x14ac:dyDescent="0.2">
      <c r="A7840">
        <v>7779</v>
      </c>
      <c r="B7840" s="1831">
        <f>'PCTC-OEPP 27-28'!F103</f>
        <v>0</v>
      </c>
      <c r="D7840" s="2" t="str">
        <f t="shared" si="129"/>
        <v>Error?</v>
      </c>
      <c r="E7840" s="4" t="s">
        <v>1994</v>
      </c>
    </row>
    <row r="7841" spans="1:5" x14ac:dyDescent="0.2">
      <c r="A7841">
        <v>7780</v>
      </c>
      <c r="B7841" s="1831">
        <f>'PCTC-OEPP 27-28'!F104</f>
        <v>0</v>
      </c>
      <c r="D7841" s="2" t="str">
        <f t="shared" si="129"/>
        <v>Error?</v>
      </c>
      <c r="E7841" s="4" t="s">
        <v>1994</v>
      </c>
    </row>
    <row r="7842" spans="1:5" x14ac:dyDescent="0.2">
      <c r="A7842">
        <v>7781</v>
      </c>
      <c r="B7842" s="1831">
        <f>'PCTC-OEPP 27-28'!F106</f>
        <v>1824726</v>
      </c>
      <c r="D7842" s="2" t="str">
        <f t="shared" si="129"/>
        <v>Error?</v>
      </c>
      <c r="E7842" s="4" t="s">
        <v>1994</v>
      </c>
    </row>
    <row r="7843" spans="1:5" x14ac:dyDescent="0.2">
      <c r="A7843">
        <v>7782</v>
      </c>
      <c r="B7843" s="1831">
        <f>'PCTC-OEPP 27-28'!F107</f>
        <v>25180</v>
      </c>
      <c r="D7843" s="2" t="str">
        <f t="shared" si="129"/>
        <v>Error?</v>
      </c>
      <c r="E7843" s="4" t="s">
        <v>1994</v>
      </c>
    </row>
    <row r="7844" spans="1:5" x14ac:dyDescent="0.2">
      <c r="A7844">
        <v>7783</v>
      </c>
      <c r="B7844" s="1831">
        <f>'PCTC-OEPP 27-28'!F108</f>
        <v>235939</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38169</v>
      </c>
      <c r="D7846" s="2" t="str">
        <f t="shared" si="129"/>
        <v>Error?</v>
      </c>
      <c r="E7846" s="4" t="s">
        <v>1994</v>
      </c>
    </row>
    <row r="7847" spans="1:5" x14ac:dyDescent="0.2">
      <c r="A7847">
        <v>7786</v>
      </c>
      <c r="B7847" s="1831">
        <f>'PCTC-OEPP 27-28'!F112</f>
        <v>6504360</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0</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132407</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0</v>
      </c>
      <c r="D7857" s="2" t="str">
        <f t="shared" si="129"/>
        <v>Error?</v>
      </c>
      <c r="E7857" s="4" t="s">
        <v>1994</v>
      </c>
    </row>
    <row r="7858" spans="1:5" x14ac:dyDescent="0.2">
      <c r="A7858">
        <v>7797</v>
      </c>
      <c r="B7858" s="1831">
        <f>'PCTC-OEPP 27-28'!F126</f>
        <v>2079729</v>
      </c>
      <c r="D7858" s="2" t="str">
        <f t="shared" si="129"/>
        <v>Error?</v>
      </c>
      <c r="E7858" s="4" t="s">
        <v>1994</v>
      </c>
    </row>
    <row r="7859" spans="1:5" x14ac:dyDescent="0.2">
      <c r="A7859">
        <v>7798</v>
      </c>
      <c r="B7859" s="1831">
        <f>'PCTC-OEPP 27-28'!F127</f>
        <v>2177656</v>
      </c>
      <c r="D7859" s="2" t="str">
        <f t="shared" si="129"/>
        <v>Error?</v>
      </c>
      <c r="E7859" s="4" t="s">
        <v>1994</v>
      </c>
    </row>
    <row r="7860" spans="1:5" x14ac:dyDescent="0.2">
      <c r="A7860">
        <v>7799</v>
      </c>
      <c r="B7860" s="1831">
        <f>'PCTC-OEPP 27-28'!F128</f>
        <v>0</v>
      </c>
      <c r="D7860" s="2" t="str">
        <f t="shared" si="129"/>
        <v>Error?</v>
      </c>
      <c r="E7860" s="4" t="s">
        <v>1994</v>
      </c>
    </row>
    <row r="7861" spans="1:5" x14ac:dyDescent="0.2">
      <c r="A7861">
        <v>7800</v>
      </c>
      <c r="B7861" s="1831">
        <f>'PCTC-OEPP 27-28'!F129</f>
        <v>2778760</v>
      </c>
      <c r="D7861" s="2" t="str">
        <f t="shared" si="129"/>
        <v>Error?</v>
      </c>
      <c r="E7861" s="4" t="s">
        <v>1994</v>
      </c>
    </row>
    <row r="7862" spans="1:5" x14ac:dyDescent="0.2">
      <c r="A7862">
        <v>7801</v>
      </c>
      <c r="B7862" s="1831">
        <f>'PCTC-OEPP 27-28'!F130</f>
        <v>762026</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0</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0</v>
      </c>
      <c r="D7866" s="2" t="str">
        <f t="shared" si="129"/>
        <v>Error?</v>
      </c>
      <c r="E7866" s="4" t="s">
        <v>1994</v>
      </c>
    </row>
    <row r="7867" spans="1:5" x14ac:dyDescent="0.2">
      <c r="A7867">
        <v>7806</v>
      </c>
      <c r="B7867" s="1831">
        <f>'PCTC-OEPP 27-28'!F160</f>
        <v>193466</v>
      </c>
      <c r="D7867" s="2" t="str">
        <f t="shared" si="129"/>
        <v>Error?</v>
      </c>
      <c r="E7867" s="4" t="s">
        <v>1994</v>
      </c>
    </row>
    <row r="7868" spans="1:5" x14ac:dyDescent="0.2">
      <c r="A7868">
        <v>7807</v>
      </c>
      <c r="B7868" s="1831">
        <f>'PCTC-OEPP 27-28'!F161</f>
        <v>0</v>
      </c>
      <c r="D7868" s="2" t="str">
        <f t="shared" si="129"/>
        <v>Error?</v>
      </c>
      <c r="E7868" s="4" t="s">
        <v>1994</v>
      </c>
    </row>
    <row r="7869" spans="1:5" x14ac:dyDescent="0.2">
      <c r="A7869">
        <v>7808</v>
      </c>
      <c r="B7869" s="1831">
        <f>'PCTC-OEPP 27-28'!F162</f>
        <v>60251</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358418</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183210</v>
      </c>
      <c r="D7874" s="2" t="str">
        <f t="shared" si="129"/>
        <v>Error?</v>
      </c>
      <c r="E7874" s="4" t="s">
        <v>1994</v>
      </c>
    </row>
    <row r="7875" spans="1:5" x14ac:dyDescent="0.2">
      <c r="A7875">
        <v>7814</v>
      </c>
      <c r="B7875" s="1831">
        <f>'PCTC-OEPP 27-28'!F170</f>
        <v>243433</v>
      </c>
      <c r="D7875" s="2" t="str">
        <f t="shared" si="129"/>
        <v>Error?</v>
      </c>
      <c r="E7875" s="4" t="s">
        <v>1994</v>
      </c>
    </row>
    <row r="7876" spans="1:5" x14ac:dyDescent="0.2">
      <c r="A7876">
        <v>7815</v>
      </c>
      <c r="B7876" s="1831">
        <f>'PCTC-OEPP 27-28'!F171</f>
        <v>132782</v>
      </c>
      <c r="D7876" s="2" t="str">
        <f t="shared" si="129"/>
        <v>Error?</v>
      </c>
      <c r="E7876" s="4" t="s">
        <v>1994</v>
      </c>
    </row>
    <row r="7877" spans="1:5" x14ac:dyDescent="0.2">
      <c r="A7877">
        <v>7816</v>
      </c>
      <c r="B7877" s="1831">
        <f>'PCTC-OEPP 27-28'!F175</f>
        <v>26940163.34</v>
      </c>
      <c r="D7877" s="2" t="str">
        <f t="shared" si="129"/>
        <v>Error?</v>
      </c>
      <c r="E7877" s="4" t="s">
        <v>1994</v>
      </c>
    </row>
    <row r="7878" spans="1:5" x14ac:dyDescent="0.2">
      <c r="A7878">
        <v>7817</v>
      </c>
      <c r="B7878" s="1831">
        <f>'PCTC-OEPP 27-28'!F176</f>
        <v>117223501.66</v>
      </c>
      <c r="D7878" s="2" t="str">
        <f t="shared" si="129"/>
        <v>Error?</v>
      </c>
      <c r="E7878" s="4" t="s">
        <v>1994</v>
      </c>
    </row>
    <row r="7879" spans="1:5" x14ac:dyDescent="0.2">
      <c r="A7879">
        <v>7818</v>
      </c>
      <c r="B7879" s="1831">
        <f>'PCTC-OEPP 27-28'!F178</f>
        <v>126039168.86</v>
      </c>
      <c r="D7879" s="2" t="str">
        <f t="shared" si="129"/>
        <v>Error?</v>
      </c>
      <c r="E7879" s="4" t="s">
        <v>1994</v>
      </c>
    </row>
    <row r="7880" spans="1:5" x14ac:dyDescent="0.2">
      <c r="A7880">
        <v>7819</v>
      </c>
      <c r="B7880" s="1831">
        <f>'PCTC-OEPP 27-28'!F180</f>
        <v>10777.18416930312</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163872</v>
      </c>
      <c r="D7886" s="2" t="str">
        <f t="shared" si="129"/>
        <v>Error?</v>
      </c>
      <c r="E7886" s="4" t="s">
        <v>1994</v>
      </c>
    </row>
    <row r="7887" spans="1:5" x14ac:dyDescent="0.2">
      <c r="A7887">
        <v>7826</v>
      </c>
      <c r="B7887" s="135">
        <f>'PCTC-OEPP 27-28'!F76</f>
        <v>45410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9" t="s">
        <v>1180</v>
      </c>
      <c r="B2" s="2519"/>
      <c r="C2" s="2519"/>
      <c r="D2" s="2519"/>
      <c r="E2" s="2519"/>
      <c r="F2" s="2519"/>
      <c r="G2" s="2519"/>
      <c r="H2" s="2519"/>
      <c r="I2" s="2519"/>
      <c r="J2" s="2519"/>
      <c r="K2" s="2519"/>
      <c r="L2" s="2519"/>
    </row>
    <row r="3" spans="1:29" ht="13.5" customHeight="1" x14ac:dyDescent="0.2">
      <c r="A3" s="2551" t="s">
        <v>1179</v>
      </c>
      <c r="B3" s="2551"/>
      <c r="C3" s="2551"/>
      <c r="D3" s="2551"/>
      <c r="E3" s="2551"/>
      <c r="F3" s="2551"/>
      <c r="G3" s="2551"/>
      <c r="H3" s="2551"/>
      <c r="I3" s="2551"/>
      <c r="J3" s="2551"/>
      <c r="K3" s="2551"/>
      <c r="L3" s="2551"/>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42" t="str">
        <f>COVER!A17</f>
        <v>McLean County Unit School District No. 5</v>
      </c>
      <c r="B7" s="2543"/>
      <c r="C7" s="2543"/>
      <c r="D7" s="2544"/>
      <c r="E7" s="2545" t="str">
        <f>COVER!A13</f>
        <v>17-064-0050-26</v>
      </c>
      <c r="F7" s="2546"/>
      <c r="G7" s="2552" t="str">
        <f>COVER!T23</f>
        <v>066-004450</v>
      </c>
      <c r="H7" s="2553"/>
      <c r="I7" s="2553"/>
      <c r="J7" s="2553"/>
      <c r="K7" s="2553"/>
      <c r="L7" s="2554"/>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55"/>
      <c r="B9" s="2556"/>
      <c r="C9" s="2556"/>
      <c r="D9" s="2556"/>
      <c r="E9" s="2556"/>
      <c r="F9" s="2557"/>
      <c r="G9" s="2525" t="str">
        <f>COVER!T13</f>
        <v>CliftonLarsonAllen LLP</v>
      </c>
      <c r="H9" s="2558"/>
      <c r="I9" s="2558"/>
      <c r="J9" s="2558"/>
      <c r="K9" s="2558"/>
      <c r="L9" s="2559"/>
    </row>
    <row r="10" spans="1:29" ht="13.5" customHeight="1" x14ac:dyDescent="0.2">
      <c r="A10" s="2531" t="str">
        <f>COVER!A38</f>
        <v>Dr. Kristen Weikle</v>
      </c>
      <c r="B10" s="2532"/>
      <c r="C10" s="2532"/>
      <c r="D10" s="2532"/>
      <c r="E10" s="2532"/>
      <c r="F10" s="2533"/>
      <c r="G10" s="2525" t="str">
        <f>COVER!T17</f>
        <v>301 North Neil Street, Suite 205</v>
      </c>
      <c r="H10" s="2526"/>
      <c r="I10" s="2526"/>
      <c r="J10" s="2526"/>
      <c r="K10" s="2526"/>
      <c r="L10" s="2527"/>
    </row>
    <row r="11" spans="1:29" ht="13.5" customHeight="1" x14ac:dyDescent="0.2">
      <c r="A11" s="962" t="s">
        <v>1501</v>
      </c>
      <c r="B11" s="963"/>
      <c r="C11" s="964"/>
      <c r="D11" s="969"/>
      <c r="E11" s="964"/>
      <c r="F11" s="968"/>
      <c r="G11" s="2525" t="str">
        <f>COVER!T19</f>
        <v>Champaign</v>
      </c>
      <c r="H11" s="2526"/>
      <c r="I11" s="2526"/>
      <c r="J11" s="2526"/>
      <c r="K11" s="2526"/>
      <c r="L11" s="2527"/>
    </row>
    <row r="12" spans="1:29" ht="13.5" customHeight="1" x14ac:dyDescent="0.2">
      <c r="A12" s="2534" t="s">
        <v>1500</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1502</v>
      </c>
      <c r="H13" s="2521"/>
      <c r="I13" s="2537" t="str">
        <f>COVER!T25</f>
        <v>hope.wheeler@claconnect.com</v>
      </c>
      <c r="J13" s="2538"/>
      <c r="K13" s="2538"/>
      <c r="L13" s="2539"/>
    </row>
    <row r="14" spans="1:29" ht="13.5" customHeight="1" x14ac:dyDescent="0.2">
      <c r="A14" s="2525" t="str">
        <f>COVER!A19</f>
        <v>1809 West Hovey</v>
      </c>
      <c r="B14" s="2526"/>
      <c r="C14" s="2526"/>
      <c r="D14" s="2526"/>
      <c r="E14" s="2526"/>
      <c r="F14" s="2527"/>
      <c r="G14" s="973" t="s">
        <v>1174</v>
      </c>
      <c r="H14" s="971"/>
      <c r="I14" s="971"/>
      <c r="J14" s="971"/>
      <c r="K14" s="971"/>
      <c r="L14" s="972"/>
    </row>
    <row r="15" spans="1:29" ht="13.5" customHeight="1" x14ac:dyDescent="0.2">
      <c r="A15" s="2525" t="str">
        <f>COVER!A21</f>
        <v>Normal</v>
      </c>
      <c r="B15" s="2526"/>
      <c r="C15" s="2526"/>
      <c r="D15" s="2526"/>
      <c r="E15" s="2526"/>
      <c r="F15" s="2527"/>
      <c r="G15" s="2522" t="str">
        <f>COVER!T15</f>
        <v>Hope Wheeler</v>
      </c>
      <c r="H15" s="2523"/>
      <c r="I15" s="2523"/>
      <c r="J15" s="2523"/>
      <c r="K15" s="2523"/>
      <c r="L15" s="2524"/>
    </row>
    <row r="16" spans="1:29" ht="12.2" customHeight="1" x14ac:dyDescent="0.2">
      <c r="A16" s="2548" t="str">
        <f>COVER!A25</f>
        <v>61761-4339</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73" t="s">
        <v>1173</v>
      </c>
      <c r="H17" s="971"/>
      <c r="I17" s="971"/>
      <c r="J17" s="971"/>
      <c r="K17" s="975" t="s">
        <v>1172</v>
      </c>
      <c r="L17" s="968"/>
      <c r="M17" s="961"/>
    </row>
    <row r="18" spans="1:13" ht="12.2" customHeight="1" x14ac:dyDescent="0.2">
      <c r="A18" s="2531"/>
      <c r="B18" s="2532"/>
      <c r="C18" s="2532"/>
      <c r="D18" s="2532"/>
      <c r="E18" s="2532"/>
      <c r="F18" s="2533"/>
      <c r="G18" s="2542" t="str">
        <f>COVER!T21</f>
        <v>217-373-3139</v>
      </c>
      <c r="H18" s="2543"/>
      <c r="I18" s="2543"/>
      <c r="J18" s="2543"/>
      <c r="K18" s="2542" t="str">
        <f>COVER!X21</f>
        <v>217-355-9549</v>
      </c>
      <c r="L18" s="254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t="s">
        <v>2124</v>
      </c>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t="s">
        <v>2124</v>
      </c>
      <c r="C26" s="980" t="s">
        <v>1676</v>
      </c>
    </row>
    <row r="27" spans="1:13" s="976" customFormat="1" ht="9" customHeight="1" x14ac:dyDescent="0.2">
      <c r="B27" s="981"/>
      <c r="C27" s="980"/>
    </row>
    <row r="28" spans="1:13" s="976" customFormat="1" ht="12.2" customHeight="1" x14ac:dyDescent="0.2">
      <c r="A28" s="983"/>
      <c r="B28" s="979" t="s">
        <v>2124</v>
      </c>
      <c r="C28" s="980" t="s">
        <v>1677</v>
      </c>
    </row>
    <row r="29" spans="1:13" s="976" customFormat="1" ht="9" customHeight="1" x14ac:dyDescent="0.2">
      <c r="A29" s="983"/>
      <c r="B29" s="981"/>
      <c r="C29" s="980"/>
    </row>
    <row r="30" spans="1:13" s="976" customFormat="1" ht="12.2" customHeight="1" x14ac:dyDescent="0.2">
      <c r="B30" s="979" t="s">
        <v>2124</v>
      </c>
      <c r="C30" s="980" t="s">
        <v>1544</v>
      </c>
      <c r="D30" s="974"/>
      <c r="E30" s="974"/>
    </row>
    <row r="31" spans="1:13" s="976" customFormat="1" ht="9" customHeight="1" x14ac:dyDescent="0.2">
      <c r="B31" s="981"/>
      <c r="C31" s="980"/>
      <c r="D31" s="974"/>
      <c r="E31" s="974"/>
    </row>
    <row r="32" spans="1:13" s="976" customFormat="1" ht="12.2" customHeight="1" x14ac:dyDescent="0.2">
      <c r="B32" s="979" t="s">
        <v>2124</v>
      </c>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t="s">
        <v>2124</v>
      </c>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t="s">
        <v>2124</v>
      </c>
      <c r="C38" s="980" t="s">
        <v>1548</v>
      </c>
    </row>
    <row r="39" spans="1:8" ht="9" customHeight="1" x14ac:dyDescent="0.2">
      <c r="B39" s="981"/>
      <c r="C39" s="984"/>
    </row>
    <row r="40" spans="1:8" s="976" customFormat="1" ht="13.5" customHeight="1" x14ac:dyDescent="0.2">
      <c r="B40" s="979" t="s">
        <v>2124</v>
      </c>
      <c r="C40" s="980" t="s">
        <v>1549</v>
      </c>
    </row>
    <row r="41" spans="1:8" ht="9" customHeight="1" x14ac:dyDescent="0.2">
      <c r="A41" s="985"/>
      <c r="B41" s="981"/>
      <c r="C41" s="984"/>
    </row>
    <row r="42" spans="1:8" s="976" customFormat="1" ht="13.5" customHeight="1" x14ac:dyDescent="0.2">
      <c r="B42" s="979" t="s">
        <v>2124</v>
      </c>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4" t="str">
        <f>'Single Audit Cover'!A7</f>
        <v>McLean County Unit School District No. 5</v>
      </c>
      <c r="B1" s="2565"/>
      <c r="C1" s="2565"/>
      <c r="D1" s="2565"/>
    </row>
    <row r="2" spans="1:11" s="990" customFormat="1" ht="12.75" x14ac:dyDescent="0.2">
      <c r="A2" s="2566" t="str">
        <f>'Single Audit Cover'!E7</f>
        <v>17-064-0050-26</v>
      </c>
      <c r="B2" s="2567"/>
      <c r="C2" s="2567"/>
      <c r="D2" s="2567"/>
    </row>
    <row r="3" spans="1:11" s="990" customFormat="1" ht="12.75" x14ac:dyDescent="0.2">
      <c r="A3" s="2564" t="s">
        <v>1495</v>
      </c>
      <c r="B3" s="2565"/>
      <c r="C3" s="2565"/>
      <c r="D3" s="2565"/>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1965</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9" t="str">
        <f>'Single Audit Cover'!A7</f>
        <v>McLean County Unit School District No. 5</v>
      </c>
      <c r="B1" s="2569"/>
      <c r="C1" s="2569"/>
      <c r="D1" s="2569"/>
      <c r="E1" s="2569"/>
    </row>
    <row r="2" spans="1:5" x14ac:dyDescent="0.2">
      <c r="A2" s="2570" t="str">
        <f>'Single Audit Cover'!E7</f>
        <v>17-064-0050-26</v>
      </c>
      <c r="B2" s="2570"/>
      <c r="C2" s="2570"/>
      <c r="D2" s="2570"/>
      <c r="E2" s="2570"/>
    </row>
    <row r="3" spans="1:5" ht="4.5" customHeight="1" x14ac:dyDescent="0.2"/>
    <row r="4" spans="1:5" x14ac:dyDescent="0.2">
      <c r="A4" s="2569" t="s">
        <v>1233</v>
      </c>
      <c r="B4" s="2569"/>
      <c r="C4" s="2569"/>
      <c r="D4" s="2569"/>
      <c r="E4" s="2569"/>
    </row>
    <row r="5" spans="1:5" x14ac:dyDescent="0.2">
      <c r="A5" s="2572" t="str">
        <f>'Single Audit Cover'!A4</f>
        <v>Year Ending June 30, 2020</v>
      </c>
      <c r="B5" s="2572"/>
      <c r="C5" s="2572"/>
      <c r="D5" s="2572"/>
      <c r="E5" s="2572"/>
    </row>
    <row r="6" spans="1:5" x14ac:dyDescent="0.2">
      <c r="A6" s="2569" t="s">
        <v>1232</v>
      </c>
      <c r="B6" s="2569"/>
      <c r="C6" s="2569"/>
      <c r="D6" s="2569"/>
      <c r="E6" s="2569"/>
    </row>
    <row r="8" spans="1:5" x14ac:dyDescent="0.2">
      <c r="A8" s="1035" t="s">
        <v>1231</v>
      </c>
    </row>
    <row r="10" spans="1:5" x14ac:dyDescent="0.2">
      <c r="A10" s="1036" t="s">
        <v>1230</v>
      </c>
      <c r="B10" s="1037" t="s">
        <v>1229</v>
      </c>
      <c r="C10" s="1037"/>
      <c r="D10" s="1038">
        <f>SUM('Acct Summary 7-8'!C7:K7)</f>
        <v>9034421</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2000</v>
      </c>
      <c r="B14" s="1037"/>
      <c r="C14" s="1037"/>
      <c r="D14" s="1039">
        <f>'ICR Computation 30'!E11</f>
        <v>291114</v>
      </c>
    </row>
    <row r="15" spans="1:5" x14ac:dyDescent="0.2">
      <c r="A15" s="1036"/>
      <c r="B15" s="1037"/>
      <c r="C15" s="1037"/>
    </row>
    <row r="16" spans="1:5" x14ac:dyDescent="0.2">
      <c r="A16" s="1036" t="s">
        <v>1811</v>
      </c>
      <c r="B16" s="1037"/>
      <c r="C16" s="1037"/>
    </row>
    <row r="17" spans="1:4" x14ac:dyDescent="0.2">
      <c r="A17" s="1036" t="s">
        <v>1960</v>
      </c>
      <c r="B17" s="1037" t="s">
        <v>1224</v>
      </c>
      <c r="C17" s="1037"/>
      <c r="D17" s="1039">
        <f>-SUM('Revenues 9-14'!C264:D264,'Revenues 9-14'!F264:G264)</f>
        <v>-243433</v>
      </c>
    </row>
    <row r="19" spans="1:4" ht="13.5" thickBot="1" x14ac:dyDescent="0.25">
      <c r="A19" s="1040" t="s">
        <v>1223</v>
      </c>
      <c r="D19" s="1041">
        <f>SUM(D10:D17)</f>
        <v>9082102</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71"/>
      <c r="B24" s="2571"/>
      <c r="D24" s="1043"/>
    </row>
    <row r="25" spans="1:4" x14ac:dyDescent="0.2">
      <c r="A25" s="2568"/>
      <c r="B25" s="2568"/>
      <c r="D25" s="1043"/>
    </row>
    <row r="26" spans="1:4" x14ac:dyDescent="0.2">
      <c r="A26" s="2568"/>
      <c r="B26" s="2568"/>
      <c r="D26" s="1043"/>
    </row>
    <row r="27" spans="1:4" x14ac:dyDescent="0.2">
      <c r="A27" s="2568"/>
      <c r="B27" s="2568"/>
      <c r="D27" s="1043"/>
    </row>
    <row r="28" spans="1:4" x14ac:dyDescent="0.2">
      <c r="A28" s="2568"/>
      <c r="B28" s="2568"/>
      <c r="D28" s="1043"/>
    </row>
    <row r="29" spans="1:4" x14ac:dyDescent="0.2">
      <c r="A29" s="2568"/>
      <c r="B29" s="2568"/>
      <c r="D29" s="1043"/>
    </row>
    <row r="30" spans="1:4" x14ac:dyDescent="0.2">
      <c r="A30" s="2568"/>
      <c r="B30" s="2568"/>
      <c r="D30" s="1043"/>
    </row>
    <row r="32" spans="1:4" x14ac:dyDescent="0.2">
      <c r="A32" s="1035" t="s">
        <v>1221</v>
      </c>
      <c r="D32" s="1038">
        <f>SUM(D19:D30)</f>
        <v>9082102</v>
      </c>
    </row>
    <row r="33" spans="1:4" x14ac:dyDescent="0.2">
      <c r="D33" s="1044"/>
    </row>
    <row r="34" spans="1:4" x14ac:dyDescent="0.2">
      <c r="A34" s="295" t="s">
        <v>1220</v>
      </c>
    </row>
    <row r="35" spans="1:4" x14ac:dyDescent="0.2">
      <c r="A35" s="295" t="s">
        <v>1219</v>
      </c>
      <c r="B35" s="1033" t="s">
        <v>1218</v>
      </c>
      <c r="D35" s="1045">
        <f>' SEFA (5)'!F23</f>
        <v>9082102</v>
      </c>
    </row>
    <row r="37" spans="1:4" x14ac:dyDescent="0.2">
      <c r="A37" s="1035" t="s">
        <v>1217</v>
      </c>
    </row>
    <row r="39" spans="1:4" ht="13.35" customHeight="1" x14ac:dyDescent="0.2">
      <c r="A39" s="1042" t="s">
        <v>1216</v>
      </c>
    </row>
    <row r="40" spans="1:4" x14ac:dyDescent="0.2">
      <c r="A40" s="2568"/>
      <c r="B40" s="2568"/>
      <c r="D40" s="1043"/>
    </row>
    <row r="41" spans="1:4" x14ac:dyDescent="0.2">
      <c r="A41" s="2568"/>
      <c r="B41" s="2568"/>
      <c r="D41" s="1046"/>
    </row>
    <row r="42" spans="1:4" x14ac:dyDescent="0.2">
      <c r="A42" s="2568"/>
      <c r="B42" s="2568"/>
      <c r="D42" s="1046"/>
    </row>
    <row r="43" spans="1:4" x14ac:dyDescent="0.2">
      <c r="A43" s="2568"/>
      <c r="B43" s="2568"/>
      <c r="D43" s="1046"/>
    </row>
    <row r="44" spans="1:4" x14ac:dyDescent="0.2">
      <c r="A44" s="2568"/>
      <c r="B44" s="2568"/>
      <c r="D44" s="1046"/>
    </row>
    <row r="45" spans="1:4" x14ac:dyDescent="0.2">
      <c r="A45" s="2568"/>
      <c r="B45" s="2568"/>
      <c r="D45" s="1046"/>
    </row>
    <row r="47" spans="1:4" x14ac:dyDescent="0.2">
      <c r="B47" s="1047" t="s">
        <v>1215</v>
      </c>
      <c r="C47" s="1047"/>
      <c r="D47" s="1048">
        <f>SUM(D35:D45)</f>
        <v>9082102</v>
      </c>
    </row>
    <row r="49" spans="2:4" x14ac:dyDescent="0.2">
      <c r="B49" s="1047" t="s">
        <v>1214</v>
      </c>
      <c r="C49" s="1047"/>
      <c r="D49" s="1048">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4"/>
  <sheetViews>
    <sheetView showGridLines="0" zoomScaleNormal="100" workbookViewId="0"/>
  </sheetViews>
  <sheetFormatPr defaultColWidth="33.5703125" defaultRowHeight="12.75" x14ac:dyDescent="0.2"/>
  <cols>
    <col min="1" max="1" width="0.140625" style="295" customWidth="1"/>
    <col min="2" max="2" width="39"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McLean County Unit School District No. 5</v>
      </c>
      <c r="C1" s="2573"/>
      <c r="D1" s="2573"/>
      <c r="E1" s="2573"/>
      <c r="F1" s="2573"/>
      <c r="G1" s="2573"/>
      <c r="H1" s="2573"/>
      <c r="I1" s="2573"/>
      <c r="J1" s="2573"/>
      <c r="K1" s="2573"/>
      <c r="L1" s="2573"/>
      <c r="M1" s="2573"/>
    </row>
    <row r="2" spans="2:14" ht="15" x14ac:dyDescent="0.2">
      <c r="B2" s="2574" t="str">
        <f>'Single Audit Cover'!E7</f>
        <v>17-064-0050-26</v>
      </c>
      <c r="C2" s="2574"/>
      <c r="D2" s="2574"/>
      <c r="E2" s="2574"/>
      <c r="F2" s="2574"/>
      <c r="G2" s="2574"/>
      <c r="H2" s="2574"/>
      <c r="I2" s="2574"/>
      <c r="J2" s="2574"/>
      <c r="K2" s="2574"/>
      <c r="L2" s="2574"/>
      <c r="M2" s="2574"/>
      <c r="N2" s="1077"/>
    </row>
    <row r="3" spans="2:14" ht="15" x14ac:dyDescent="0.2">
      <c r="B3" s="2575" t="s">
        <v>1207</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5"/>
      <c r="J5" s="1915"/>
    </row>
    <row r="6" spans="2:14" x14ac:dyDescent="0.2">
      <c r="B6" s="1078"/>
      <c r="C6" s="1079"/>
      <c r="D6" s="1080" t="s">
        <v>1253</v>
      </c>
      <c r="E6" s="1081" t="s">
        <v>523</v>
      </c>
      <c r="F6" s="1082"/>
      <c r="G6" s="1083" t="s">
        <v>1707</v>
      </c>
      <c r="H6" s="1081"/>
      <c r="I6" s="1081"/>
      <c r="J6" s="191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914" t="str">
        <f>"7/1/"&amp;MID('AFR20'!$E$2,3,2)-2&amp;"-6/30/"&amp;MID('AFR20'!$E$2,3,2)-1</f>
        <v>7/1/18-6/30/19</v>
      </c>
      <c r="F9" s="1914" t="str">
        <f>"7/1/"&amp;MID('AFR20'!$E$2,3,2)-1&amp;"-6/30/"&amp;MID('AFR20'!$E$2,3,2)</f>
        <v>7/1/19-6/30/20</v>
      </c>
      <c r="G9" s="1914" t="str">
        <f>"7/1/"&amp;MID('AFR20'!$E$2,3,2)-2&amp;"-6/30/"&amp;MID('AFR20'!$E$2,3,2)-1</f>
        <v>7/1/18-6/30/19</v>
      </c>
      <c r="H9" s="1092" t="s">
        <v>1564</v>
      </c>
      <c r="I9" s="191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2065</v>
      </c>
      <c r="C11" s="1820"/>
      <c r="D11" s="1821"/>
      <c r="E11" s="1822"/>
      <c r="F11" s="1822"/>
      <c r="G11" s="1822"/>
      <c r="H11" s="1822"/>
      <c r="I11" s="1822"/>
      <c r="J11" s="1822"/>
      <c r="K11" s="1822"/>
      <c r="L11" s="1822"/>
      <c r="M11" s="1822"/>
    </row>
    <row r="12" spans="2:14" ht="20.100000000000001" customHeight="1" x14ac:dyDescent="0.2">
      <c r="B12" s="2037" t="s">
        <v>2163</v>
      </c>
      <c r="C12" s="1823"/>
      <c r="D12" s="1824"/>
      <c r="E12" s="1825"/>
      <c r="F12" s="1825"/>
      <c r="G12" s="1825"/>
      <c r="H12" s="1825"/>
      <c r="I12" s="1825"/>
      <c r="J12" s="1825"/>
      <c r="K12" s="1825"/>
      <c r="L12" s="1822"/>
      <c r="M12" s="1825"/>
    </row>
    <row r="13" spans="2:14" ht="20.100000000000001" customHeight="1" x14ac:dyDescent="0.2">
      <c r="B13" s="2041" t="s">
        <v>1048</v>
      </c>
      <c r="C13" s="1823">
        <v>10.555</v>
      </c>
      <c r="D13" s="1824" t="s">
        <v>2066</v>
      </c>
      <c r="E13" s="1825">
        <v>1143406</v>
      </c>
      <c r="F13" s="1825">
        <v>497155</v>
      </c>
      <c r="G13" s="1825">
        <v>1143406</v>
      </c>
      <c r="H13" s="1825">
        <v>0</v>
      </c>
      <c r="I13" s="1825">
        <v>497155</v>
      </c>
      <c r="J13" s="1825">
        <v>0</v>
      </c>
      <c r="K13" s="1825">
        <v>0</v>
      </c>
      <c r="L13" s="1822">
        <f t="shared" ref="L13:L25" si="0">+G13+I13+K13</f>
        <v>1640561</v>
      </c>
      <c r="M13" s="1825" t="s">
        <v>2068</v>
      </c>
    </row>
    <row r="14" spans="2:14" ht="20.100000000000001" customHeight="1" x14ac:dyDescent="0.2">
      <c r="B14" s="1112"/>
      <c r="C14" s="1823"/>
      <c r="D14" s="1824" t="s">
        <v>2067</v>
      </c>
      <c r="E14" s="1825">
        <v>0</v>
      </c>
      <c r="F14" s="1825">
        <v>983297</v>
      </c>
      <c r="G14" s="1825">
        <v>0</v>
      </c>
      <c r="H14" s="1825">
        <v>0</v>
      </c>
      <c r="I14" s="1825">
        <v>983297</v>
      </c>
      <c r="J14" s="1825">
        <v>0</v>
      </c>
      <c r="K14" s="1825">
        <v>0</v>
      </c>
      <c r="L14" s="1822">
        <f>+G14+I14+K14</f>
        <v>983297</v>
      </c>
      <c r="M14" s="1825" t="s">
        <v>2068</v>
      </c>
    </row>
    <row r="15" spans="2:14" ht="20.100000000000001" customHeight="1" x14ac:dyDescent="0.2">
      <c r="B15" s="1112" t="s">
        <v>1158</v>
      </c>
      <c r="C15" s="1823"/>
      <c r="D15" s="1824"/>
      <c r="E15" s="1825"/>
      <c r="F15" s="1825">
        <f>SUM(F13:F14)</f>
        <v>1480452</v>
      </c>
      <c r="G15" s="1825"/>
      <c r="H15" s="1825"/>
      <c r="I15" s="1825">
        <f>SUM(I13:I14)</f>
        <v>1480452</v>
      </c>
      <c r="J15" s="2036"/>
      <c r="K15" s="1825"/>
      <c r="L15" s="1822"/>
      <c r="M15" s="1825"/>
    </row>
    <row r="16" spans="2:14" ht="20.100000000000001" customHeight="1" x14ac:dyDescent="0.2">
      <c r="B16" s="1112"/>
      <c r="C16" s="1823"/>
      <c r="D16" s="1824"/>
      <c r="E16" s="1825"/>
      <c r="F16" s="1825"/>
      <c r="G16" s="1825"/>
      <c r="H16" s="1825"/>
      <c r="I16" s="1825"/>
      <c r="J16" s="1825"/>
      <c r="K16" s="1825"/>
      <c r="L16" s="1822"/>
      <c r="M16" s="1825"/>
    </row>
    <row r="17" spans="2:14" ht="20.100000000000001" customHeight="1" x14ac:dyDescent="0.2">
      <c r="B17" s="2041" t="s">
        <v>1049</v>
      </c>
      <c r="C17" s="1823">
        <v>10.553000000000001</v>
      </c>
      <c r="D17" s="1824" t="s">
        <v>2069</v>
      </c>
      <c r="E17" s="1825">
        <v>322096</v>
      </c>
      <c r="F17" s="1825">
        <v>148725</v>
      </c>
      <c r="G17" s="1825">
        <v>322096</v>
      </c>
      <c r="H17" s="1825">
        <v>0</v>
      </c>
      <c r="I17" s="1825">
        <v>148725</v>
      </c>
      <c r="J17" s="1825">
        <v>0</v>
      </c>
      <c r="K17" s="1825">
        <v>0</v>
      </c>
      <c r="L17" s="1822">
        <f t="shared" si="0"/>
        <v>470821</v>
      </c>
      <c r="M17" s="1825" t="s">
        <v>2068</v>
      </c>
    </row>
    <row r="18" spans="2:14" ht="20.100000000000001" customHeight="1" x14ac:dyDescent="0.2">
      <c r="B18" s="1112"/>
      <c r="C18" s="1823"/>
      <c r="D18" s="1824" t="s">
        <v>2070</v>
      </c>
      <c r="E18" s="1825">
        <v>0</v>
      </c>
      <c r="F18" s="1825">
        <v>292985</v>
      </c>
      <c r="G18" s="1825">
        <v>0</v>
      </c>
      <c r="H18" s="1825">
        <v>0</v>
      </c>
      <c r="I18" s="1825">
        <v>292985</v>
      </c>
      <c r="J18" s="1825">
        <v>0</v>
      </c>
      <c r="K18" s="1825">
        <v>0</v>
      </c>
      <c r="L18" s="1822">
        <f t="shared" si="0"/>
        <v>292985</v>
      </c>
      <c r="M18" s="1825" t="s">
        <v>2068</v>
      </c>
    </row>
    <row r="19" spans="2:14" ht="20.100000000000001" customHeight="1" x14ac:dyDescent="0.2">
      <c r="B19" s="1112"/>
      <c r="C19" s="1823"/>
      <c r="D19" s="1824"/>
      <c r="E19" s="1825"/>
      <c r="F19" s="1825">
        <f>SUM(F17:F18)</f>
        <v>441710</v>
      </c>
      <c r="G19" s="1825"/>
      <c r="H19" s="1825"/>
      <c r="I19" s="1825">
        <f>SUM(I17:I18)</f>
        <v>441710</v>
      </c>
      <c r="J19" s="1825"/>
      <c r="K19" s="1825"/>
      <c r="L19" s="1822"/>
      <c r="M19" s="1825"/>
    </row>
    <row r="20" spans="2:14" ht="20.100000000000001" customHeight="1" x14ac:dyDescent="0.2">
      <c r="B20" s="1112"/>
      <c r="C20" s="1823"/>
      <c r="D20" s="1824"/>
      <c r="E20" s="1825"/>
      <c r="F20" s="1825"/>
      <c r="G20" s="1825"/>
      <c r="H20" s="1825"/>
      <c r="I20" s="1825"/>
      <c r="J20" s="1825"/>
      <c r="K20" s="1825"/>
      <c r="L20" s="1822"/>
      <c r="M20" s="1825"/>
    </row>
    <row r="21" spans="2:14" ht="20.100000000000001" customHeight="1" x14ac:dyDescent="0.2">
      <c r="B21" s="2041" t="s">
        <v>1433</v>
      </c>
      <c r="C21" s="1823">
        <v>10.558999999999999</v>
      </c>
      <c r="D21" s="1824" t="s">
        <v>2070</v>
      </c>
      <c r="E21" s="1825">
        <v>0</v>
      </c>
      <c r="F21" s="1825">
        <v>157567</v>
      </c>
      <c r="G21" s="1825">
        <v>0</v>
      </c>
      <c r="H21" s="1825">
        <v>0</v>
      </c>
      <c r="I21" s="1825">
        <v>157567</v>
      </c>
      <c r="J21" s="1825">
        <v>0</v>
      </c>
      <c r="K21" s="1825">
        <v>0</v>
      </c>
      <c r="L21" s="1822">
        <f t="shared" si="0"/>
        <v>157567</v>
      </c>
      <c r="M21" s="1825" t="s">
        <v>2068</v>
      </c>
    </row>
    <row r="22" spans="2:14" ht="20.100000000000001" customHeight="1" x14ac:dyDescent="0.2">
      <c r="B22" s="1112"/>
      <c r="C22" s="1823"/>
      <c r="D22" s="1824"/>
      <c r="E22" s="1825"/>
      <c r="F22" s="1825"/>
      <c r="G22" s="1825"/>
      <c r="H22" s="1825"/>
      <c r="I22" s="1825"/>
      <c r="J22" s="1825"/>
      <c r="K22" s="1825"/>
      <c r="L22" s="1822"/>
      <c r="M22" s="1825"/>
    </row>
    <row r="23" spans="2:14" ht="20.100000000000001" customHeight="1" x14ac:dyDescent="0.2">
      <c r="B23" s="2041" t="s">
        <v>2072</v>
      </c>
      <c r="C23" s="1823">
        <v>10.555</v>
      </c>
      <c r="D23" s="1824" t="s">
        <v>2068</v>
      </c>
      <c r="E23" s="1825">
        <v>0</v>
      </c>
      <c r="F23" s="1825">
        <v>207295</v>
      </c>
      <c r="G23" s="1825">
        <v>0</v>
      </c>
      <c r="H23" s="1825">
        <v>0</v>
      </c>
      <c r="I23" s="1825">
        <v>207295</v>
      </c>
      <c r="J23" s="1825">
        <v>0</v>
      </c>
      <c r="K23" s="1825">
        <v>0</v>
      </c>
      <c r="L23" s="1822">
        <f t="shared" si="0"/>
        <v>207295</v>
      </c>
      <c r="M23" s="1825" t="s">
        <v>2068</v>
      </c>
    </row>
    <row r="24" spans="2:14" ht="20.100000000000001" customHeight="1" x14ac:dyDescent="0.2">
      <c r="B24" s="1112"/>
      <c r="C24" s="1823"/>
      <c r="D24" s="1824"/>
      <c r="E24" s="1825"/>
      <c r="F24" s="1825"/>
      <c r="G24" s="1825"/>
      <c r="H24" s="1825"/>
      <c r="I24" s="1825"/>
      <c r="J24" s="1825"/>
      <c r="K24" s="1825"/>
      <c r="L24" s="1822"/>
      <c r="M24" s="1825"/>
    </row>
    <row r="25" spans="2:14" ht="20.100000000000001" customHeight="1" x14ac:dyDescent="0.2">
      <c r="B25" s="2041" t="s">
        <v>2071</v>
      </c>
      <c r="C25" s="1823">
        <v>10.555</v>
      </c>
      <c r="D25" s="1824" t="s">
        <v>2068</v>
      </c>
      <c r="E25" s="1825">
        <v>0</v>
      </c>
      <c r="F25" s="1825">
        <v>83819</v>
      </c>
      <c r="G25" s="1825">
        <v>0</v>
      </c>
      <c r="H25" s="1825">
        <v>0</v>
      </c>
      <c r="I25" s="1825">
        <v>83819</v>
      </c>
      <c r="J25" s="1825">
        <v>0</v>
      </c>
      <c r="K25" s="1825">
        <v>0</v>
      </c>
      <c r="L25" s="1822">
        <f t="shared" si="0"/>
        <v>83819</v>
      </c>
      <c r="M25" s="1825" t="s">
        <v>2068</v>
      </c>
    </row>
    <row r="26" spans="2:14" ht="20.100000000000001" customHeight="1" x14ac:dyDescent="0.2">
      <c r="B26" s="2041"/>
      <c r="C26" s="1823"/>
      <c r="D26" s="1824"/>
      <c r="E26" s="1825"/>
      <c r="F26" s="1825"/>
      <c r="G26" s="1825"/>
      <c r="H26" s="1825"/>
      <c r="I26" s="1825"/>
      <c r="J26" s="1825"/>
      <c r="K26" s="1825"/>
      <c r="L26" s="1822"/>
      <c r="M26" s="1825"/>
    </row>
    <row r="27" spans="2:14" ht="20.100000000000001" customHeight="1" x14ac:dyDescent="0.2">
      <c r="B27" s="1112" t="s">
        <v>2164</v>
      </c>
      <c r="C27" s="1823"/>
      <c r="D27" s="1824"/>
      <c r="E27" s="1825"/>
      <c r="F27" s="1825">
        <f>F25+F23+F21+F19+F15</f>
        <v>2370843</v>
      </c>
      <c r="G27" s="1825"/>
      <c r="H27" s="1825"/>
      <c r="I27" s="1825">
        <f>I25+I23+I21+I19+I15</f>
        <v>2370843</v>
      </c>
      <c r="J27" s="1825"/>
      <c r="K27" s="1825"/>
      <c r="L27" s="1822"/>
      <c r="M27" s="1825"/>
    </row>
    <row r="28" spans="2:14" ht="20.100000000000001" customHeight="1" x14ac:dyDescent="0.2">
      <c r="B28" s="1112"/>
      <c r="C28" s="1823"/>
      <c r="D28" s="1824"/>
      <c r="E28" s="1825"/>
      <c r="F28" s="1825"/>
      <c r="G28" s="1825"/>
      <c r="H28" s="1825"/>
      <c r="I28" s="1825"/>
      <c r="J28" s="1825"/>
      <c r="K28" s="1825"/>
      <c r="L28" s="1822"/>
      <c r="M28" s="1825"/>
    </row>
    <row r="29" spans="2:14" ht="20.100000000000001" customHeight="1" x14ac:dyDescent="0.2">
      <c r="B29" s="1112" t="s">
        <v>2073</v>
      </c>
      <c r="C29" s="1823"/>
      <c r="D29" s="1824"/>
      <c r="E29" s="1825"/>
      <c r="F29" s="1825">
        <f>SUM(F15+F19+F21+F23+F25)</f>
        <v>2370843</v>
      </c>
      <c r="G29" s="1825"/>
      <c r="H29" s="1825"/>
      <c r="I29" s="1825">
        <f>SUM(I15+I19+I21+I23+I25)</f>
        <v>2370843</v>
      </c>
      <c r="J29" s="1825"/>
      <c r="K29" s="1825"/>
      <c r="L29" s="1822"/>
      <c r="M29" s="1825"/>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1710</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1808</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1711</v>
      </c>
      <c r="C39" s="1134"/>
      <c r="D39" s="1134"/>
      <c r="E39" s="1134"/>
      <c r="F39" s="1134"/>
      <c r="G39" s="1134"/>
      <c r="H39" s="1134"/>
      <c r="I39" s="1135"/>
      <c r="J39" s="1135"/>
      <c r="K39" s="1135"/>
      <c r="L39" s="1135"/>
      <c r="M39" s="1135"/>
    </row>
    <row r="40" spans="2:14" ht="11.25" customHeight="1" x14ac:dyDescent="0.2">
      <c r="B40" s="1136" t="s">
        <v>1566</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1712</v>
      </c>
      <c r="C42" s="1135"/>
      <c r="D42" s="1135"/>
      <c r="E42" s="1135"/>
      <c r="F42" s="1135"/>
      <c r="G42" s="1135"/>
      <c r="H42" s="1135"/>
      <c r="I42" s="1135"/>
      <c r="J42" s="1135"/>
      <c r="K42" s="1135"/>
      <c r="L42" s="1135"/>
      <c r="M42" s="1135"/>
    </row>
    <row r="43" spans="2:14" ht="11.25" customHeight="1" x14ac:dyDescent="0.2">
      <c r="B43" s="1075" t="s">
        <v>1567</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1713</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1714</v>
      </c>
      <c r="C47" s="1137"/>
      <c r="D47" s="1138"/>
      <c r="E47" s="1075"/>
      <c r="F47" s="1075"/>
      <c r="G47" s="1075"/>
      <c r="H47" s="1075"/>
      <c r="I47" s="1075"/>
      <c r="J47" s="1075"/>
      <c r="K47" s="1139"/>
      <c r="L47" s="1139"/>
      <c r="M47" s="1075"/>
    </row>
    <row r="48" spans="2:14" ht="11.25" customHeight="1" x14ac:dyDescent="0.2">
      <c r="B48" s="1075" t="s">
        <v>1568</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09" right="0" top="0.5" bottom="0.5" header="0.25" footer="0.25"/>
  <pageSetup scale="77" firstPageNumber="38" fitToHeight="0" orientation="landscape" useFirstPageNumber="1" r:id="rId1"/>
  <headerFooter alignWithMargins="0">
    <oddHeader>&amp;R&amp;8Page 41a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B1:N154"/>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McLean County Unit School District No. 5</v>
      </c>
      <c r="C1" s="2573"/>
      <c r="D1" s="2573"/>
      <c r="E1" s="2573"/>
      <c r="F1" s="2573"/>
      <c r="G1" s="2573"/>
      <c r="H1" s="2573"/>
      <c r="I1" s="2573"/>
      <c r="J1" s="2573"/>
      <c r="K1" s="2573"/>
      <c r="L1" s="2573"/>
      <c r="M1" s="2573"/>
    </row>
    <row r="2" spans="2:14" ht="15" x14ac:dyDescent="0.2">
      <c r="B2" s="2574" t="str">
        <f>'Single Audit Cover'!E7</f>
        <v>17-064-0050-26</v>
      </c>
      <c r="C2" s="2574"/>
      <c r="D2" s="2574"/>
      <c r="E2" s="2574"/>
      <c r="F2" s="2574"/>
      <c r="G2" s="2574"/>
      <c r="H2" s="2574"/>
      <c r="I2" s="2574"/>
      <c r="J2" s="2574"/>
      <c r="K2" s="2574"/>
      <c r="L2" s="2574"/>
      <c r="M2" s="2574"/>
      <c r="N2" s="1077"/>
    </row>
    <row r="3" spans="2:14" ht="15" x14ac:dyDescent="0.2">
      <c r="B3" s="2575" t="s">
        <v>1207</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5"/>
      <c r="J5" s="1915"/>
    </row>
    <row r="6" spans="2:14" x14ac:dyDescent="0.2">
      <c r="B6" s="1078"/>
      <c r="C6" s="1079"/>
      <c r="D6" s="1080" t="s">
        <v>1253</v>
      </c>
      <c r="E6" s="1081" t="s">
        <v>523</v>
      </c>
      <c r="F6" s="1082"/>
      <c r="G6" s="1083" t="s">
        <v>1707</v>
      </c>
      <c r="H6" s="1081"/>
      <c r="I6" s="1081"/>
      <c r="J6" s="191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914" t="str">
        <f>"7/1/"&amp;MID('AFR20'!$E$2,3,2)-2&amp;"-6/30/"&amp;MID('AFR20'!$E$2,3,2)-1</f>
        <v>7/1/18-6/30/19</v>
      </c>
      <c r="F9" s="1914" t="str">
        <f>"7/1/"&amp;MID('AFR20'!$E$2,3,2)-1&amp;"-6/30/"&amp;MID('AFR20'!$E$2,3,2)</f>
        <v>7/1/19-6/30/20</v>
      </c>
      <c r="G9" s="1914" t="str">
        <f>"7/1/"&amp;MID('AFR20'!$E$2,3,2)-2&amp;"-6/30/"&amp;MID('AFR20'!$E$2,3,2)-1</f>
        <v>7/1/18-6/30/19</v>
      </c>
      <c r="H9" s="1092" t="s">
        <v>1564</v>
      </c>
      <c r="I9" s="191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2074</v>
      </c>
      <c r="C11" s="1820"/>
      <c r="D11" s="1821"/>
      <c r="E11" s="1822"/>
      <c r="F11" s="1822"/>
      <c r="G11" s="1822"/>
      <c r="H11" s="1822"/>
      <c r="I11" s="1822"/>
      <c r="J11" s="1822"/>
      <c r="K11" s="1822"/>
      <c r="L11" s="1822"/>
      <c r="M11" s="1822"/>
    </row>
    <row r="12" spans="2:14" ht="20.100000000000001" customHeight="1" x14ac:dyDescent="0.2">
      <c r="B12" s="2037" t="s">
        <v>2165</v>
      </c>
      <c r="C12" s="1823"/>
      <c r="D12" s="1824"/>
      <c r="E12" s="1825"/>
      <c r="F12" s="1825"/>
      <c r="G12" s="1825"/>
      <c r="H12" s="1825"/>
      <c r="I12" s="1825"/>
      <c r="J12" s="1825"/>
      <c r="K12" s="1825"/>
      <c r="L12" s="1822"/>
      <c r="M12" s="1825"/>
    </row>
    <row r="13" spans="2:14" ht="20.100000000000001" customHeight="1" x14ac:dyDescent="0.2">
      <c r="B13" s="2041" t="s">
        <v>911</v>
      </c>
      <c r="C13" s="1823">
        <v>84.01</v>
      </c>
      <c r="D13" s="1824" t="s">
        <v>2075</v>
      </c>
      <c r="E13" s="1825">
        <v>814472</v>
      </c>
      <c r="F13" s="1825">
        <v>759905</v>
      </c>
      <c r="G13" s="1825">
        <v>1340494</v>
      </c>
      <c r="H13" s="1825">
        <v>0</v>
      </c>
      <c r="I13" s="1825">
        <v>233883</v>
      </c>
      <c r="J13" s="1825">
        <v>0</v>
      </c>
      <c r="K13" s="1825">
        <v>0</v>
      </c>
      <c r="L13" s="1822">
        <f t="shared" ref="L13:L21" si="0">+G13+I13+K13</f>
        <v>1574377</v>
      </c>
      <c r="M13" s="1825">
        <v>1826832</v>
      </c>
    </row>
    <row r="14" spans="2:14" ht="20.100000000000001" customHeight="1" x14ac:dyDescent="0.2">
      <c r="B14" s="2041"/>
      <c r="C14" s="1823"/>
      <c r="D14" s="1824" t="s">
        <v>2076</v>
      </c>
      <c r="E14" s="1825">
        <v>0</v>
      </c>
      <c r="F14" s="1825">
        <v>1029395</v>
      </c>
      <c r="G14" s="1825">
        <v>0</v>
      </c>
      <c r="H14" s="1825">
        <v>0</v>
      </c>
      <c r="I14" s="1825">
        <v>1581993</v>
      </c>
      <c r="J14" s="1825">
        <v>0</v>
      </c>
      <c r="K14" s="1825">
        <v>250092</v>
      </c>
      <c r="L14" s="1822">
        <f>+G14+I14+K14</f>
        <v>1832085</v>
      </c>
      <c r="M14" s="1825">
        <v>2229282</v>
      </c>
    </row>
    <row r="15" spans="2:14" ht="20.100000000000001" customHeight="1" x14ac:dyDescent="0.2">
      <c r="B15" s="2041"/>
      <c r="C15" s="1823"/>
      <c r="D15" s="1824"/>
      <c r="E15" s="1825"/>
      <c r="F15" s="1825">
        <f>SUM(F13:F14)</f>
        <v>1789300</v>
      </c>
      <c r="G15" s="1825"/>
      <c r="H15" s="1825"/>
      <c r="I15" s="1825">
        <f>SUM(I13:I14)</f>
        <v>1815876</v>
      </c>
      <c r="J15" s="1825"/>
      <c r="K15" s="1825"/>
      <c r="L15" s="1822"/>
      <c r="M15" s="1825"/>
    </row>
    <row r="16" spans="2:14" ht="20.100000000000001" customHeight="1" x14ac:dyDescent="0.2">
      <c r="B16" s="2041"/>
      <c r="C16" s="1823"/>
      <c r="D16" s="1824"/>
      <c r="E16" s="1825"/>
      <c r="F16" s="1825"/>
      <c r="G16" s="1825"/>
      <c r="H16" s="1825"/>
      <c r="I16" s="1825"/>
      <c r="J16" s="1825"/>
      <c r="K16" s="1825"/>
      <c r="L16" s="1822"/>
      <c r="M16" s="1825"/>
    </row>
    <row r="17" spans="2:14" ht="20.100000000000001" customHeight="1" x14ac:dyDescent="0.2">
      <c r="B17" s="2041" t="s">
        <v>2102</v>
      </c>
      <c r="C17" s="1823">
        <v>84.01</v>
      </c>
      <c r="D17" s="1824" t="s">
        <v>2077</v>
      </c>
      <c r="E17" s="1825">
        <v>6434</v>
      </c>
      <c r="F17" s="1825">
        <v>66617</v>
      </c>
      <c r="G17" s="1825">
        <v>65739</v>
      </c>
      <c r="H17" s="1825">
        <v>0</v>
      </c>
      <c r="I17" s="1825">
        <v>7312</v>
      </c>
      <c r="J17" s="1825">
        <v>0</v>
      </c>
      <c r="K17" s="1825">
        <v>0</v>
      </c>
      <c r="L17" s="1822">
        <f t="shared" si="0"/>
        <v>73051</v>
      </c>
      <c r="M17" s="1825">
        <v>79177</v>
      </c>
    </row>
    <row r="18" spans="2:14" ht="20.100000000000001" customHeight="1" x14ac:dyDescent="0.2">
      <c r="B18" s="2041"/>
      <c r="C18" s="1823"/>
      <c r="D18" s="1824" t="s">
        <v>2078</v>
      </c>
      <c r="E18" s="1825">
        <v>0</v>
      </c>
      <c r="F18" s="1825">
        <v>24699</v>
      </c>
      <c r="G18" s="1825">
        <v>0</v>
      </c>
      <c r="H18" s="1825">
        <v>0</v>
      </c>
      <c r="I18" s="1825">
        <v>40070</v>
      </c>
      <c r="J18" s="1825">
        <v>0</v>
      </c>
      <c r="K18" s="1825">
        <v>20887</v>
      </c>
      <c r="L18" s="1822">
        <f t="shared" si="0"/>
        <v>60957</v>
      </c>
      <c r="M18" s="1825">
        <v>60957</v>
      </c>
    </row>
    <row r="19" spans="2:14" ht="20.100000000000001" customHeight="1" x14ac:dyDescent="0.2">
      <c r="B19" s="2041"/>
      <c r="C19" s="1823"/>
      <c r="D19" s="1824"/>
      <c r="E19" s="1825"/>
      <c r="F19" s="2040">
        <f>SUM(F17:F18)</f>
        <v>91316</v>
      </c>
      <c r="G19" s="2040"/>
      <c r="H19" s="2040"/>
      <c r="I19" s="2040">
        <f>SUM(I17:I18)</f>
        <v>47382</v>
      </c>
      <c r="J19" s="1825"/>
      <c r="K19" s="1825"/>
      <c r="L19" s="1822"/>
      <c r="M19" s="1825"/>
    </row>
    <row r="20" spans="2:14" ht="20.100000000000001" customHeight="1" x14ac:dyDescent="0.2">
      <c r="B20" s="2041"/>
      <c r="C20" s="1823"/>
      <c r="D20" s="1824"/>
      <c r="E20" s="1825"/>
      <c r="F20" s="1825"/>
      <c r="G20" s="1825"/>
      <c r="H20" s="1825"/>
      <c r="I20" s="1825"/>
      <c r="J20" s="1825"/>
      <c r="K20" s="1825"/>
      <c r="L20" s="1822"/>
      <c r="M20" s="1825"/>
    </row>
    <row r="21" spans="2:14" ht="20.100000000000001" customHeight="1" x14ac:dyDescent="0.2">
      <c r="B21" s="2041" t="s">
        <v>2079</v>
      </c>
      <c r="C21" s="1823">
        <v>84.01</v>
      </c>
      <c r="D21" s="1824" t="s">
        <v>2080</v>
      </c>
      <c r="E21" s="1825">
        <v>0</v>
      </c>
      <c r="F21" s="1825">
        <v>275430</v>
      </c>
      <c r="G21" s="1825">
        <v>89928</v>
      </c>
      <c r="H21" s="1825">
        <v>0</v>
      </c>
      <c r="I21" s="1825">
        <v>185502</v>
      </c>
      <c r="J21" s="1825">
        <v>0</v>
      </c>
      <c r="K21" s="1825">
        <v>0</v>
      </c>
      <c r="L21" s="1822">
        <f t="shared" si="0"/>
        <v>275430</v>
      </c>
      <c r="M21" s="1825">
        <v>275430</v>
      </c>
    </row>
    <row r="22" spans="2:14" ht="20.100000000000001" customHeight="1" x14ac:dyDescent="0.2">
      <c r="B22" s="2041"/>
      <c r="C22" s="1823"/>
      <c r="D22" s="1824" t="s">
        <v>2081</v>
      </c>
      <c r="E22" s="1825">
        <v>0</v>
      </c>
      <c r="F22" s="1825">
        <v>21610</v>
      </c>
      <c r="G22" s="1825">
        <v>0</v>
      </c>
      <c r="H22" s="1825">
        <v>0</v>
      </c>
      <c r="I22" s="1825">
        <v>57168</v>
      </c>
      <c r="J22" s="1825">
        <v>0</v>
      </c>
      <c r="K22" s="1825">
        <v>30685</v>
      </c>
      <c r="L22" s="1822">
        <f>+G22+I22+K22</f>
        <v>87853</v>
      </c>
      <c r="M22" s="1825">
        <v>142337</v>
      </c>
    </row>
    <row r="23" spans="2:14" ht="20.100000000000001" customHeight="1" x14ac:dyDescent="0.2">
      <c r="B23" s="2041"/>
      <c r="C23" s="1823"/>
      <c r="D23" s="1824"/>
      <c r="E23" s="1825"/>
      <c r="F23" s="1825">
        <f>SUM(F21:F22)</f>
        <v>297040</v>
      </c>
      <c r="G23" s="1825"/>
      <c r="H23" s="1825"/>
      <c r="I23" s="1825">
        <f>SUM(I21:I22)</f>
        <v>242670</v>
      </c>
      <c r="J23" s="1825"/>
      <c r="K23" s="1825"/>
      <c r="L23" s="1822"/>
      <c r="M23" s="1825"/>
    </row>
    <row r="24" spans="2:14" ht="20.100000000000001" customHeight="1" x14ac:dyDescent="0.2">
      <c r="B24" s="2041"/>
      <c r="C24" s="1823"/>
      <c r="D24" s="1824"/>
      <c r="E24" s="1825"/>
      <c r="F24" s="1825"/>
      <c r="G24" s="1825"/>
      <c r="H24" s="1825"/>
      <c r="I24" s="1825"/>
      <c r="J24" s="1825"/>
      <c r="K24" s="1825"/>
      <c r="L24" s="1822"/>
      <c r="M24" s="1825"/>
    </row>
    <row r="25" spans="2:14" ht="20.100000000000001" customHeight="1" x14ac:dyDescent="0.2">
      <c r="B25" s="2041" t="s">
        <v>2130</v>
      </c>
      <c r="C25" s="1823"/>
      <c r="D25" s="1824"/>
      <c r="E25" s="1825"/>
      <c r="F25" s="1825">
        <f>F23+F19+F15</f>
        <v>2177656</v>
      </c>
      <c r="G25" s="1825"/>
      <c r="H25" s="1825"/>
      <c r="I25" s="1825">
        <f>I23+I19+I15</f>
        <v>2105928</v>
      </c>
      <c r="J25" s="1825"/>
      <c r="K25" s="1825"/>
      <c r="L25" s="1822"/>
      <c r="M25" s="1825"/>
    </row>
    <row r="26" spans="2:14" ht="20.100000000000001" customHeight="1" x14ac:dyDescent="0.2">
      <c r="B26" s="2041"/>
      <c r="C26" s="1823"/>
      <c r="D26" s="1824"/>
      <c r="E26" s="1825"/>
      <c r="F26" s="1825"/>
      <c r="G26" s="1825"/>
      <c r="H26" s="1825"/>
      <c r="I26" s="1825"/>
      <c r="J26" s="1825"/>
      <c r="K26" s="1825"/>
      <c r="L26" s="1822"/>
      <c r="M26" s="1825"/>
    </row>
    <row r="27" spans="2:14" ht="20.100000000000001" customHeight="1" x14ac:dyDescent="0.2">
      <c r="B27" s="2041" t="s">
        <v>2082</v>
      </c>
      <c r="C27" s="1823">
        <v>84.027000000000001</v>
      </c>
      <c r="D27" s="1824" t="s">
        <v>2083</v>
      </c>
      <c r="E27" s="1825">
        <v>575269</v>
      </c>
      <c r="F27" s="1825">
        <v>288505</v>
      </c>
      <c r="G27" s="1825">
        <v>575269</v>
      </c>
      <c r="H27" s="1825">
        <v>0</v>
      </c>
      <c r="I27" s="1825">
        <v>288505</v>
      </c>
      <c r="J27" s="1825">
        <v>0</v>
      </c>
      <c r="K27" s="1825">
        <v>0</v>
      </c>
      <c r="L27" s="1822">
        <f>+G27+I27+K27</f>
        <v>863774</v>
      </c>
      <c r="M27" s="1825" t="s">
        <v>2068</v>
      </c>
    </row>
    <row r="28" spans="2:14" ht="20.100000000000001" customHeight="1" x14ac:dyDescent="0.2">
      <c r="B28" s="2041"/>
      <c r="C28" s="1823"/>
      <c r="D28" s="1824" t="s">
        <v>2084</v>
      </c>
      <c r="E28" s="1825">
        <v>0</v>
      </c>
      <c r="F28" s="1825">
        <v>473521</v>
      </c>
      <c r="G28" s="1825">
        <v>0</v>
      </c>
      <c r="H28" s="1825">
        <v>0</v>
      </c>
      <c r="I28" s="1825">
        <v>473521</v>
      </c>
      <c r="J28" s="1825">
        <v>0</v>
      </c>
      <c r="K28" s="1825">
        <v>0</v>
      </c>
      <c r="L28" s="1822">
        <f>+G28+I28+K28</f>
        <v>473521</v>
      </c>
      <c r="M28" s="1825" t="s">
        <v>2068</v>
      </c>
    </row>
    <row r="29" spans="2:14" ht="20.100000000000001" customHeight="1" x14ac:dyDescent="0.2">
      <c r="B29" s="2041"/>
      <c r="C29" s="1823"/>
      <c r="D29" s="1824"/>
      <c r="E29" s="1825"/>
      <c r="F29" s="1825">
        <f>SUM(F27:F28)</f>
        <v>762026</v>
      </c>
      <c r="G29" s="1825"/>
      <c r="H29" s="1825"/>
      <c r="I29" s="1825">
        <f>SUM(I27:I28)</f>
        <v>762026</v>
      </c>
      <c r="J29" s="1825"/>
      <c r="K29" s="1825"/>
      <c r="L29" s="1822"/>
      <c r="M29" s="1825"/>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1710</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1808</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1711</v>
      </c>
      <c r="C39" s="1134"/>
      <c r="D39" s="1134"/>
      <c r="E39" s="1134"/>
      <c r="F39" s="1134"/>
      <c r="G39" s="1134"/>
      <c r="H39" s="1134"/>
      <c r="I39" s="1135"/>
      <c r="J39" s="1135"/>
      <c r="K39" s="1135"/>
      <c r="L39" s="1135"/>
      <c r="M39" s="1135"/>
    </row>
    <row r="40" spans="2:14" ht="11.25" customHeight="1" x14ac:dyDescent="0.2">
      <c r="B40" s="1136" t="s">
        <v>1566</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1712</v>
      </c>
      <c r="C42" s="1135"/>
      <c r="D42" s="1135"/>
      <c r="E42" s="1135"/>
      <c r="F42" s="1135"/>
      <c r="G42" s="1135"/>
      <c r="H42" s="1135"/>
      <c r="I42" s="1135"/>
      <c r="J42" s="1135"/>
      <c r="K42" s="1135"/>
      <c r="L42" s="1135"/>
      <c r="M42" s="1135"/>
    </row>
    <row r="43" spans="2:14" ht="11.25" customHeight="1" x14ac:dyDescent="0.2">
      <c r="B43" s="1075" t="s">
        <v>1567</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1713</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1714</v>
      </c>
      <c r="C47" s="1137"/>
      <c r="D47" s="1138"/>
      <c r="E47" s="1075"/>
      <c r="F47" s="1075"/>
      <c r="G47" s="1075"/>
      <c r="H47" s="1075"/>
      <c r="I47" s="1075"/>
      <c r="J47" s="1075"/>
      <c r="K47" s="1139"/>
      <c r="L47" s="1139"/>
      <c r="M47" s="1075"/>
    </row>
    <row r="48" spans="2:14" ht="11.25" customHeight="1" x14ac:dyDescent="0.2">
      <c r="B48" s="1075" t="s">
        <v>1568</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09" right="0" top="0.5" bottom="0.5" header="0.25" footer="0.25"/>
  <pageSetup scale="77" firstPageNumber="38" fitToWidth="0" orientation="landscape" useFirstPageNumber="1" r:id="rId1"/>
  <headerFooter alignWithMargins="0">
    <oddHeader>&amp;R&amp;8Page 41b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1157</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5" t="s">
        <v>1615</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309</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1311</v>
      </c>
      <c r="B70" s="2178"/>
      <c r="C70" s="2178"/>
      <c r="D70" s="2178"/>
      <c r="E70" s="2179"/>
      <c r="F70" s="2179"/>
      <c r="G70" s="2179"/>
      <c r="H70" s="2179"/>
      <c r="I70" s="217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1308</v>
      </c>
      <c r="B83" s="2180"/>
      <c r="C83" s="2180"/>
      <c r="D83" s="2181"/>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1" t="s">
        <v>1985</v>
      </c>
      <c r="B85" s="2191"/>
      <c r="C85" s="2191"/>
      <c r="D85" s="2192"/>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193" t="s">
        <v>1985</v>
      </c>
      <c r="B88" s="2194"/>
      <c r="C88" s="2194"/>
      <c r="D88" s="2195"/>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2054</v>
      </c>
      <c r="D114" s="217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1318</v>
      </c>
      <c r="D117" s="2173"/>
      <c r="E117" s="2174"/>
      <c r="F117" s="2174"/>
      <c r="G117" s="2174"/>
      <c r="H117" s="2174"/>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1:N158"/>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McLean County Unit School District No. 5</v>
      </c>
      <c r="C1" s="2573"/>
      <c r="D1" s="2573"/>
      <c r="E1" s="2573"/>
      <c r="F1" s="2573"/>
      <c r="G1" s="2573"/>
      <c r="H1" s="2573"/>
      <c r="I1" s="2573"/>
      <c r="J1" s="2573"/>
      <c r="K1" s="2573"/>
      <c r="L1" s="2573"/>
      <c r="M1" s="2573"/>
    </row>
    <row r="2" spans="2:14" ht="15" x14ac:dyDescent="0.2">
      <c r="B2" s="2574" t="str">
        <f>'Single Audit Cover'!E7</f>
        <v>17-064-0050-26</v>
      </c>
      <c r="C2" s="2574"/>
      <c r="D2" s="2574"/>
      <c r="E2" s="2574"/>
      <c r="F2" s="2574"/>
      <c r="G2" s="2574"/>
      <c r="H2" s="2574"/>
      <c r="I2" s="2574"/>
      <c r="J2" s="2574"/>
      <c r="K2" s="2574"/>
      <c r="L2" s="2574"/>
      <c r="M2" s="2574"/>
      <c r="N2" s="1077"/>
    </row>
    <row r="3" spans="2:14" ht="15" x14ac:dyDescent="0.2">
      <c r="B3" s="2575" t="s">
        <v>1207</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5"/>
      <c r="J5" s="1915"/>
    </row>
    <row r="6" spans="2:14" x14ac:dyDescent="0.2">
      <c r="B6" s="1078"/>
      <c r="C6" s="1079"/>
      <c r="D6" s="1080" t="s">
        <v>1253</v>
      </c>
      <c r="E6" s="1081" t="s">
        <v>523</v>
      </c>
      <c r="F6" s="1082"/>
      <c r="G6" s="1083" t="s">
        <v>1707</v>
      </c>
      <c r="H6" s="1081"/>
      <c r="I6" s="1081"/>
      <c r="J6" s="191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914" t="str">
        <f>"7/1/"&amp;MID('AFR20'!$E$2,3,2)-2&amp;"-6/30/"&amp;MID('AFR20'!$E$2,3,2)-1</f>
        <v>7/1/18-6/30/19</v>
      </c>
      <c r="F9" s="1914" t="str">
        <f>"7/1/"&amp;MID('AFR20'!$E$2,3,2)-1&amp;"-6/30/"&amp;MID('AFR20'!$E$2,3,2)</f>
        <v>7/1/19-6/30/20</v>
      </c>
      <c r="G9" s="1914" t="str">
        <f>"7/1/"&amp;MID('AFR20'!$E$2,3,2)-2&amp;"-6/30/"&amp;MID('AFR20'!$E$2,3,2)-1</f>
        <v>7/1/18-6/30/19</v>
      </c>
      <c r="H9" s="1092" t="s">
        <v>1564</v>
      </c>
      <c r="I9" s="191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2074</v>
      </c>
      <c r="C11" s="1820"/>
      <c r="D11" s="1821"/>
      <c r="E11" s="1822"/>
      <c r="F11" s="1822"/>
      <c r="G11" s="1822"/>
      <c r="H11" s="1822"/>
      <c r="I11" s="1822"/>
      <c r="J11" s="1822"/>
      <c r="K11" s="1822"/>
      <c r="L11" s="1822"/>
      <c r="M11" s="1822"/>
    </row>
    <row r="12" spans="2:14" ht="20.100000000000001" customHeight="1" x14ac:dyDescent="0.2">
      <c r="B12" s="2037" t="s">
        <v>2165</v>
      </c>
      <c r="C12" s="1823"/>
      <c r="D12" s="1824"/>
      <c r="E12" s="1825"/>
      <c r="F12" s="1825"/>
      <c r="G12" s="1825"/>
      <c r="H12" s="1825"/>
      <c r="I12" s="1825"/>
      <c r="J12" s="1825"/>
      <c r="K12" s="1825"/>
      <c r="L12" s="1822"/>
      <c r="M12" s="1825"/>
    </row>
    <row r="13" spans="2:14" ht="20.100000000000001" customHeight="1" x14ac:dyDescent="0.2">
      <c r="B13" s="2041" t="s">
        <v>2166</v>
      </c>
      <c r="C13" s="1823">
        <v>84.027000000000001</v>
      </c>
      <c r="D13" s="1824" t="s">
        <v>2085</v>
      </c>
      <c r="E13" s="1825">
        <v>1790111</v>
      </c>
      <c r="F13" s="1825">
        <v>883234</v>
      </c>
      <c r="G13" s="1825">
        <v>2375301</v>
      </c>
      <c r="H13" s="1825">
        <v>0</v>
      </c>
      <c r="I13" s="1825">
        <v>298044</v>
      </c>
      <c r="J13" s="1825">
        <v>0</v>
      </c>
      <c r="K13" s="1825">
        <v>0</v>
      </c>
      <c r="L13" s="1822">
        <f>G13+I13+K13</f>
        <v>2673345</v>
      </c>
      <c r="M13" s="1825">
        <v>2678385</v>
      </c>
    </row>
    <row r="14" spans="2:14" ht="20.100000000000001" customHeight="1" x14ac:dyDescent="0.2">
      <c r="B14" s="2041"/>
      <c r="C14" s="1823"/>
      <c r="D14" s="1824" t="s">
        <v>2128</v>
      </c>
      <c r="E14" s="1825">
        <v>0</v>
      </c>
      <c r="F14" s="1825">
        <v>1895526</v>
      </c>
      <c r="G14" s="1825">
        <v>0</v>
      </c>
      <c r="H14" s="1825">
        <v>0</v>
      </c>
      <c r="I14" s="1825">
        <v>2523313</v>
      </c>
      <c r="J14" s="1825">
        <v>0</v>
      </c>
      <c r="K14" s="1825">
        <v>155501</v>
      </c>
      <c r="L14" s="1822">
        <f>G14+I14+K14</f>
        <v>2678814</v>
      </c>
      <c r="M14" s="1825">
        <v>2698271</v>
      </c>
    </row>
    <row r="15" spans="2:14" ht="20.100000000000001" customHeight="1" x14ac:dyDescent="0.2">
      <c r="B15" s="2041"/>
      <c r="C15" s="1823"/>
      <c r="D15" s="1824"/>
      <c r="E15" s="1825"/>
      <c r="F15" s="1825">
        <f>SUM(F13:F14)</f>
        <v>2778760</v>
      </c>
      <c r="G15" s="1825"/>
      <c r="H15" s="1825"/>
      <c r="I15" s="1825">
        <f>SUM(I13:I14)</f>
        <v>2821357</v>
      </c>
      <c r="J15" s="1825"/>
      <c r="K15" s="1825"/>
      <c r="L15" s="1822"/>
      <c r="M15" s="1825"/>
    </row>
    <row r="16" spans="2:14" ht="20.100000000000001" customHeight="1" x14ac:dyDescent="0.2">
      <c r="B16" s="2041"/>
      <c r="C16" s="1823"/>
      <c r="D16" s="1824"/>
      <c r="E16" s="1825"/>
      <c r="F16" s="1825"/>
      <c r="G16" s="1825"/>
      <c r="H16" s="1825"/>
      <c r="I16" s="1825"/>
      <c r="J16" s="1825"/>
      <c r="K16" s="1825"/>
      <c r="L16" s="1822"/>
      <c r="M16" s="1825"/>
    </row>
    <row r="17" spans="2:13" ht="20.100000000000001" customHeight="1" x14ac:dyDescent="0.2">
      <c r="B17" s="2041" t="s">
        <v>2086</v>
      </c>
      <c r="C17" s="1823">
        <v>84.173000000000002</v>
      </c>
      <c r="D17" s="1824" t="s">
        <v>2087</v>
      </c>
      <c r="E17" s="1825">
        <v>43118</v>
      </c>
      <c r="F17" s="1825">
        <v>24217</v>
      </c>
      <c r="G17" s="1825">
        <v>66797</v>
      </c>
      <c r="H17" s="1825">
        <v>0</v>
      </c>
      <c r="I17" s="1825">
        <v>538</v>
      </c>
      <c r="J17" s="1825">
        <v>0</v>
      </c>
      <c r="K17" s="1825">
        <v>0</v>
      </c>
      <c r="L17" s="1822">
        <f>G17+I17+K17</f>
        <v>67335</v>
      </c>
      <c r="M17" s="1825">
        <v>67335</v>
      </c>
    </row>
    <row r="18" spans="2:13" ht="20.100000000000001" customHeight="1" x14ac:dyDescent="0.2">
      <c r="B18" s="1112"/>
      <c r="C18" s="1823"/>
      <c r="D18" s="1824" t="s">
        <v>2088</v>
      </c>
      <c r="E18" s="1825">
        <v>0</v>
      </c>
      <c r="F18" s="1825">
        <v>40473</v>
      </c>
      <c r="G18" s="1825">
        <v>0</v>
      </c>
      <c r="H18" s="1825">
        <v>0</v>
      </c>
      <c r="I18" s="1825">
        <v>59624</v>
      </c>
      <c r="J18" s="1825">
        <v>0</v>
      </c>
      <c r="K18" s="1825">
        <v>6566</v>
      </c>
      <c r="L18" s="1822">
        <f>G18+I18+K18</f>
        <v>66190</v>
      </c>
      <c r="M18" s="1825">
        <v>66190</v>
      </c>
    </row>
    <row r="19" spans="2:13" ht="20.100000000000001" customHeight="1" x14ac:dyDescent="0.2">
      <c r="B19" s="1112"/>
      <c r="C19" s="1823"/>
      <c r="D19" s="1824"/>
      <c r="E19" s="1825"/>
      <c r="F19" s="1825">
        <f>SUM(F17:F18)</f>
        <v>64690</v>
      </c>
      <c r="G19" s="1825"/>
      <c r="H19" s="1825"/>
      <c r="I19" s="1825">
        <f>SUM(I17:I18)</f>
        <v>60162</v>
      </c>
      <c r="J19" s="1825"/>
      <c r="K19" s="1825"/>
      <c r="L19" s="1822"/>
      <c r="M19" s="1825"/>
    </row>
    <row r="20" spans="2:13" ht="20.100000000000001" customHeight="1" x14ac:dyDescent="0.2">
      <c r="B20" s="1112"/>
      <c r="C20" s="1823"/>
      <c r="D20" s="1824"/>
      <c r="E20" s="1825"/>
      <c r="F20" s="1825"/>
      <c r="G20" s="1825"/>
      <c r="H20" s="1825"/>
      <c r="I20" s="1825"/>
      <c r="J20" s="1825"/>
      <c r="K20" s="1825"/>
      <c r="L20" s="1822"/>
      <c r="M20" s="1825"/>
    </row>
    <row r="21" spans="2:13" ht="20.100000000000001" customHeight="1" x14ac:dyDescent="0.2">
      <c r="B21" s="1112" t="s">
        <v>2129</v>
      </c>
      <c r="C21" s="1823"/>
      <c r="D21" s="1824"/>
      <c r="E21" s="1825"/>
      <c r="F21" s="1825">
        <f>F19+F15+' SEFA (2)'!F29</f>
        <v>3605476</v>
      </c>
      <c r="G21" s="1825"/>
      <c r="H21" s="1825"/>
      <c r="I21" s="1825">
        <f>I19+I15+' SEFA (2)'!I29</f>
        <v>3643545</v>
      </c>
      <c r="J21" s="1825"/>
      <c r="K21" s="1825"/>
      <c r="L21" s="1822"/>
      <c r="M21" s="1825"/>
    </row>
    <row r="22" spans="2:13" ht="20.100000000000001" customHeight="1" x14ac:dyDescent="0.2">
      <c r="B22" s="1112"/>
      <c r="C22" s="1823"/>
      <c r="D22" s="1824"/>
      <c r="E22" s="1825"/>
      <c r="F22" s="1825"/>
      <c r="G22" s="1825"/>
      <c r="H22" s="1825"/>
      <c r="I22" s="1825"/>
      <c r="J22" s="1825"/>
      <c r="K22" s="1825"/>
      <c r="L22" s="1822"/>
      <c r="M22" s="1825"/>
    </row>
    <row r="23" spans="2:13" ht="20.100000000000001" customHeight="1" x14ac:dyDescent="0.2">
      <c r="B23" s="2041" t="s">
        <v>2089</v>
      </c>
      <c r="C23" s="1823">
        <v>84.364999999999995</v>
      </c>
      <c r="D23" s="1824" t="s">
        <v>2090</v>
      </c>
      <c r="E23" s="1825">
        <v>43470</v>
      </c>
      <c r="F23" s="1825">
        <v>18408</v>
      </c>
      <c r="G23" s="1825">
        <v>58909</v>
      </c>
      <c r="H23" s="1825">
        <v>0</v>
      </c>
      <c r="I23" s="1825">
        <v>2969</v>
      </c>
      <c r="J23" s="1825">
        <v>0</v>
      </c>
      <c r="K23" s="1825">
        <v>0</v>
      </c>
      <c r="L23" s="1822">
        <f>G23+I23+K23</f>
        <v>61878</v>
      </c>
      <c r="M23" s="1825">
        <v>94239</v>
      </c>
    </row>
    <row r="24" spans="2:13" ht="20.100000000000001" customHeight="1" x14ac:dyDescent="0.2">
      <c r="B24" s="2041"/>
      <c r="C24" s="1823"/>
      <c r="D24" s="1824" t="s">
        <v>2091</v>
      </c>
      <c r="E24" s="1825">
        <v>0</v>
      </c>
      <c r="F24" s="1825">
        <v>41843</v>
      </c>
      <c r="G24" s="1825">
        <v>0</v>
      </c>
      <c r="H24" s="1825">
        <v>0</v>
      </c>
      <c r="I24" s="1825">
        <v>58056</v>
      </c>
      <c r="J24" s="1825">
        <v>0</v>
      </c>
      <c r="K24" s="1825">
        <v>7655</v>
      </c>
      <c r="L24" s="1822">
        <f>G24+I24+K24</f>
        <v>65711</v>
      </c>
      <c r="M24" s="1825">
        <v>69100</v>
      </c>
    </row>
    <row r="25" spans="2:13" ht="20.100000000000001" customHeight="1" x14ac:dyDescent="0.2">
      <c r="B25" s="2041"/>
      <c r="C25" s="1823"/>
      <c r="D25" s="1824"/>
      <c r="E25" s="1825"/>
      <c r="F25" s="1825">
        <f>SUM(F23:F24)</f>
        <v>60251</v>
      </c>
      <c r="G25" s="1825"/>
      <c r="H25" s="1825"/>
      <c r="I25" s="1825">
        <f>SUM(I23:I24)</f>
        <v>61025</v>
      </c>
      <c r="J25" s="1825"/>
      <c r="K25" s="1825"/>
      <c r="L25" s="1822"/>
      <c r="M25" s="1825"/>
    </row>
    <row r="26" spans="2:13" ht="20.100000000000001" customHeight="1" x14ac:dyDescent="0.2">
      <c r="B26" s="2041"/>
      <c r="C26" s="1823"/>
      <c r="D26" s="1824"/>
      <c r="E26" s="1825"/>
      <c r="F26" s="1825"/>
      <c r="G26" s="1825"/>
      <c r="H26" s="1825"/>
      <c r="I26" s="1825"/>
      <c r="J26" s="1825"/>
      <c r="K26" s="1825"/>
      <c r="L26" s="1822"/>
      <c r="M26" s="1825"/>
    </row>
    <row r="27" spans="2:13" ht="20.100000000000001" customHeight="1" x14ac:dyDescent="0.2">
      <c r="B27" s="2041" t="s">
        <v>752</v>
      </c>
      <c r="C27" s="1823">
        <v>84.367000000000004</v>
      </c>
      <c r="D27" s="1824" t="s">
        <v>2092</v>
      </c>
      <c r="E27" s="1825">
        <v>236827</v>
      </c>
      <c r="F27" s="1825">
        <v>163360</v>
      </c>
      <c r="G27" s="1825">
        <v>357291</v>
      </c>
      <c r="H27" s="1825">
        <v>0</v>
      </c>
      <c r="I27" s="1825">
        <v>42896</v>
      </c>
      <c r="J27" s="1825">
        <v>0</v>
      </c>
      <c r="K27" s="1825">
        <v>0</v>
      </c>
      <c r="L27" s="1822">
        <f>G27+I27+K27</f>
        <v>400187</v>
      </c>
      <c r="M27" s="1825">
        <v>503658</v>
      </c>
    </row>
    <row r="28" spans="2:13" ht="20.100000000000001" customHeight="1" x14ac:dyDescent="0.2">
      <c r="B28" s="2041"/>
      <c r="C28" s="1823"/>
      <c r="D28" s="1824" t="s">
        <v>2093</v>
      </c>
      <c r="E28" s="1825">
        <v>0</v>
      </c>
      <c r="F28" s="1825">
        <v>195058</v>
      </c>
      <c r="G28" s="1825">
        <v>0</v>
      </c>
      <c r="H28" s="1825">
        <v>0</v>
      </c>
      <c r="I28" s="1825">
        <v>279459</v>
      </c>
      <c r="J28" s="1825">
        <v>0</v>
      </c>
      <c r="K28" s="1825">
        <v>37314</v>
      </c>
      <c r="L28" s="1822">
        <f>G28+I28+K28</f>
        <v>316773</v>
      </c>
      <c r="M28" s="1825">
        <v>619684</v>
      </c>
    </row>
    <row r="29" spans="2:13" ht="20.100000000000001" customHeight="1" x14ac:dyDescent="0.2">
      <c r="B29" s="2041"/>
      <c r="C29" s="1823"/>
      <c r="D29" s="1824"/>
      <c r="E29" s="1825"/>
      <c r="F29" s="1825">
        <f>SUM(F27:F28)</f>
        <v>358418</v>
      </c>
      <c r="G29" s="1825"/>
      <c r="H29" s="1825"/>
      <c r="I29" s="1825">
        <f>SUM(I27:I28)</f>
        <v>322355</v>
      </c>
      <c r="J29" s="1825"/>
      <c r="K29" s="1825"/>
      <c r="L29" s="1822"/>
      <c r="M29" s="1825"/>
    </row>
    <row r="30" spans="2:13" ht="20.100000000000001" customHeight="1" x14ac:dyDescent="0.2">
      <c r="B30" s="2041"/>
      <c r="C30" s="1823"/>
      <c r="D30" s="1824"/>
      <c r="E30" s="1825"/>
      <c r="F30" s="1825"/>
      <c r="G30" s="1825"/>
      <c r="H30" s="1825"/>
      <c r="I30" s="1825"/>
      <c r="J30" s="1825"/>
      <c r="K30" s="1825"/>
      <c r="L30" s="1822"/>
      <c r="M30" s="1825"/>
    </row>
    <row r="31" spans="2:13" s="1035" customFormat="1" ht="20.100000000000001" customHeight="1" x14ac:dyDescent="0.2">
      <c r="B31" s="2041" t="s">
        <v>2094</v>
      </c>
      <c r="C31" s="1823">
        <v>84.418999999999997</v>
      </c>
      <c r="D31" s="1824" t="s">
        <v>2095</v>
      </c>
      <c r="E31" s="1825">
        <v>198825</v>
      </c>
      <c r="F31" s="1825">
        <v>193466</v>
      </c>
      <c r="G31" s="1825">
        <v>345425</v>
      </c>
      <c r="H31" s="1825">
        <v>0</v>
      </c>
      <c r="I31" s="1825">
        <v>46866</v>
      </c>
      <c r="J31" s="1825">
        <v>0</v>
      </c>
      <c r="K31" s="1825">
        <v>0</v>
      </c>
      <c r="L31" s="1822">
        <f>G31+I31+K31</f>
        <v>392291</v>
      </c>
      <c r="M31" s="1825">
        <v>392640</v>
      </c>
    </row>
    <row r="32" spans="2:13" ht="20.100000000000001" customHeight="1" x14ac:dyDescent="0.2">
      <c r="B32" s="1112"/>
      <c r="C32" s="1823"/>
      <c r="D32" s="1824"/>
      <c r="E32" s="1825"/>
      <c r="F32" s="1825"/>
      <c r="G32" s="1825"/>
      <c r="H32" s="1825"/>
      <c r="I32" s="1825"/>
      <c r="J32" s="1825"/>
      <c r="K32" s="1825"/>
      <c r="L32" s="1822"/>
      <c r="M32" s="1825"/>
    </row>
    <row r="33" spans="2:14" s="1035" customFormat="1" ht="20.100000000000001" customHeight="1" x14ac:dyDescent="0.2">
      <c r="B33" s="1112" t="s">
        <v>2167</v>
      </c>
      <c r="C33" s="1823"/>
      <c r="D33" s="1824"/>
      <c r="E33" s="1825"/>
      <c r="F33" s="1825">
        <f>F31+F29+F25+F21+' SEFA (2)'!F25</f>
        <v>6395267</v>
      </c>
      <c r="G33" s="1825"/>
      <c r="H33" s="1825"/>
      <c r="I33" s="1825">
        <f>I31+I29+I25+I21+' SEFA (2)'!I25</f>
        <v>6179719</v>
      </c>
      <c r="J33" s="1825"/>
      <c r="K33" s="1825"/>
      <c r="L33" s="1822"/>
      <c r="M33" s="1825"/>
    </row>
    <row r="34" spans="2:14" ht="12.75" customHeight="1" x14ac:dyDescent="0.2">
      <c r="B34" s="1114"/>
      <c r="C34" s="1115"/>
      <c r="D34" s="1116"/>
      <c r="E34" s="1117"/>
      <c r="F34" s="1117"/>
      <c r="G34" s="1117"/>
      <c r="H34" s="1117"/>
      <c r="I34" s="1117"/>
      <c r="J34" s="1117"/>
      <c r="K34" s="1117"/>
      <c r="L34" s="1117"/>
      <c r="M34" s="1117"/>
      <c r="N34" s="1113"/>
    </row>
    <row r="35" spans="2:14" x14ac:dyDescent="0.2">
      <c r="B35" s="1032"/>
      <c r="C35" s="1118"/>
      <c r="D35" s="1119"/>
      <c r="E35" s="1032"/>
      <c r="F35" s="1032"/>
      <c r="G35" s="1025"/>
      <c r="H35" s="1025"/>
      <c r="I35" s="1025"/>
      <c r="J35" s="1025"/>
      <c r="K35" s="1025"/>
      <c r="L35" s="1025"/>
      <c r="M35" s="1032"/>
      <c r="N35" s="1113"/>
    </row>
    <row r="36" spans="2:14" ht="13.5" customHeight="1" x14ac:dyDescent="0.2">
      <c r="B36" s="1057" t="s">
        <v>1710</v>
      </c>
      <c r="C36" s="1118"/>
      <c r="D36" s="1119"/>
      <c r="E36" s="1032"/>
      <c r="F36" s="1032"/>
      <c r="G36" s="1025"/>
      <c r="H36" s="1025"/>
      <c r="I36" s="1025"/>
      <c r="J36" s="1025"/>
      <c r="K36" s="1025"/>
      <c r="L36" s="1025"/>
      <c r="M36" s="1032"/>
      <c r="N36" s="1113"/>
    </row>
    <row r="37" spans="2:14" ht="8.25" customHeight="1" x14ac:dyDescent="0.2">
      <c r="B37" s="1057"/>
      <c r="C37" s="1118"/>
      <c r="D37" s="1119"/>
      <c r="E37" s="1032"/>
      <c r="F37" s="1032"/>
      <c r="G37" s="1025"/>
      <c r="H37" s="1025"/>
      <c r="I37" s="1025"/>
      <c r="J37" s="1025"/>
      <c r="K37" s="1025"/>
      <c r="L37" s="1025"/>
      <c r="M37" s="1032"/>
      <c r="N37" s="1113"/>
    </row>
    <row r="38" spans="2:14" x14ac:dyDescent="0.2">
      <c r="B38" s="1120" t="s">
        <v>1808</v>
      </c>
      <c r="C38" s="1121"/>
      <c r="D38" s="1122"/>
      <c r="E38" s="1123"/>
      <c r="F38" s="1123"/>
      <c r="G38" s="1123"/>
      <c r="H38" s="1123"/>
      <c r="I38" s="295"/>
      <c r="J38" s="295"/>
    </row>
    <row r="39" spans="2:14" x14ac:dyDescent="0.2">
      <c r="B39" s="1052"/>
      <c r="C39" s="1124"/>
      <c r="D39" s="1125"/>
      <c r="E39" s="1053"/>
      <c r="F39" s="1053"/>
      <c r="G39" s="295"/>
      <c r="H39" s="295"/>
      <c r="I39" s="295"/>
      <c r="J39" s="295"/>
    </row>
    <row r="40" spans="2:14" ht="13.5" customHeight="1" x14ac:dyDescent="0.2">
      <c r="B40" s="1051" t="s">
        <v>1234</v>
      </c>
      <c r="G40" s="295"/>
      <c r="H40" s="295"/>
      <c r="I40" s="295"/>
      <c r="J40" s="295"/>
    </row>
    <row r="41" spans="2:14" ht="13.5" customHeight="1" x14ac:dyDescent="0.2">
      <c r="B41" s="1128"/>
      <c r="C41" s="1129"/>
      <c r="D41" s="1130"/>
      <c r="E41" s="1072"/>
      <c r="F41" s="1072"/>
      <c r="G41" s="1072"/>
      <c r="H41" s="1072"/>
      <c r="I41" s="1072"/>
      <c r="J41" s="1072"/>
      <c r="K41" s="1131"/>
      <c r="L41" s="1131"/>
      <c r="M41" s="1072"/>
    </row>
    <row r="42" spans="2:14" ht="9.6" customHeight="1" x14ac:dyDescent="0.2">
      <c r="B42" s="1132"/>
      <c r="G42" s="295"/>
      <c r="H42" s="295"/>
      <c r="I42" s="295"/>
      <c r="J42" s="295"/>
    </row>
    <row r="43" spans="2:14" ht="11.25" customHeight="1" x14ac:dyDescent="0.2">
      <c r="B43" s="1133" t="s">
        <v>1711</v>
      </c>
      <c r="C43" s="1134"/>
      <c r="D43" s="1134"/>
      <c r="E43" s="1134"/>
      <c r="F43" s="1134"/>
      <c r="G43" s="1134"/>
      <c r="H43" s="1134"/>
      <c r="I43" s="1135"/>
      <c r="J43" s="1135"/>
      <c r="K43" s="1135"/>
      <c r="L43" s="1135"/>
      <c r="M43" s="1135"/>
    </row>
    <row r="44" spans="2:14" ht="11.25" customHeight="1" x14ac:dyDescent="0.2">
      <c r="B44" s="1136" t="s">
        <v>1566</v>
      </c>
      <c r="C44" s="1135"/>
      <c r="D44" s="1135"/>
      <c r="E44" s="1135"/>
      <c r="F44" s="1135"/>
      <c r="G44" s="1135"/>
      <c r="H44" s="1135"/>
      <c r="I44" s="1135"/>
      <c r="J44" s="1135"/>
      <c r="K44" s="1135"/>
      <c r="L44" s="1135"/>
      <c r="M44" s="1135"/>
    </row>
    <row r="45" spans="2:14" ht="3.95" customHeight="1" x14ac:dyDescent="0.2">
      <c r="B45" s="1136"/>
      <c r="C45" s="1135"/>
      <c r="D45" s="1135"/>
      <c r="E45" s="1135"/>
      <c r="F45" s="1135"/>
      <c r="G45" s="1135"/>
      <c r="H45" s="1135"/>
      <c r="I45" s="1135"/>
      <c r="J45" s="1135"/>
      <c r="K45" s="1135"/>
      <c r="L45" s="1135"/>
      <c r="M45" s="1135"/>
    </row>
    <row r="46" spans="2:14" ht="11.25" customHeight="1" x14ac:dyDescent="0.2">
      <c r="B46" s="1133" t="s">
        <v>1712</v>
      </c>
      <c r="C46" s="1135"/>
      <c r="D46" s="1135"/>
      <c r="E46" s="1135"/>
      <c r="F46" s="1135"/>
      <c r="G46" s="1135"/>
      <c r="H46" s="1135"/>
      <c r="I46" s="1135"/>
      <c r="J46" s="1135"/>
      <c r="K46" s="1135"/>
      <c r="L46" s="1135"/>
      <c r="M46" s="1135"/>
    </row>
    <row r="47" spans="2:14" ht="11.25" customHeight="1" x14ac:dyDescent="0.2">
      <c r="B47" s="1075" t="s">
        <v>1567</v>
      </c>
      <c r="C47" s="1137"/>
      <c r="D47" s="1138"/>
      <c r="E47" s="1075"/>
      <c r="F47" s="1075"/>
      <c r="G47" s="1075"/>
      <c r="H47" s="1075"/>
      <c r="I47" s="1075"/>
      <c r="J47" s="1075"/>
      <c r="K47" s="1139"/>
      <c r="L47" s="1139"/>
      <c r="M47" s="1075"/>
    </row>
    <row r="48" spans="2:14" ht="3.95" customHeight="1" x14ac:dyDescent="0.2">
      <c r="B48" s="1075"/>
      <c r="C48" s="1137"/>
      <c r="D48" s="1138"/>
      <c r="E48" s="1075"/>
      <c r="F48" s="1075"/>
      <c r="G48" s="1075"/>
      <c r="H48" s="1075"/>
      <c r="I48" s="1075"/>
      <c r="J48" s="1075"/>
      <c r="K48" s="1139"/>
      <c r="L48" s="1139"/>
      <c r="M48" s="1075"/>
    </row>
    <row r="49" spans="2:13" ht="11.25" customHeight="1" x14ac:dyDescent="0.2">
      <c r="B49" s="1140" t="s">
        <v>1713</v>
      </c>
      <c r="C49" s="1137"/>
      <c r="D49" s="1138"/>
      <c r="E49" s="1075"/>
      <c r="F49" s="1075"/>
      <c r="G49" s="1075"/>
      <c r="H49" s="1075"/>
      <c r="I49" s="1075"/>
      <c r="J49" s="1075"/>
      <c r="K49" s="1139"/>
      <c r="L49" s="1139"/>
      <c r="M49" s="1075"/>
    </row>
    <row r="50" spans="2:13" ht="3.95" customHeight="1" x14ac:dyDescent="0.2">
      <c r="B50" s="1140"/>
      <c r="C50" s="1137"/>
      <c r="D50" s="1138"/>
      <c r="E50" s="1075"/>
      <c r="F50" s="1075"/>
      <c r="G50" s="1075"/>
      <c r="H50" s="1075"/>
      <c r="I50" s="1075"/>
      <c r="J50" s="1075"/>
      <c r="K50" s="1139"/>
      <c r="L50" s="1139"/>
      <c r="M50" s="1075"/>
    </row>
    <row r="51" spans="2:13" ht="11.25" customHeight="1" x14ac:dyDescent="0.2">
      <c r="B51" s="1141" t="s">
        <v>1714</v>
      </c>
      <c r="C51" s="1137"/>
      <c r="D51" s="1138"/>
      <c r="E51" s="1075"/>
      <c r="F51" s="1075"/>
      <c r="G51" s="1075"/>
      <c r="H51" s="1075"/>
      <c r="I51" s="1075"/>
      <c r="J51" s="1075"/>
      <c r="K51" s="1139"/>
      <c r="L51" s="1139"/>
      <c r="M51" s="1075"/>
    </row>
    <row r="52" spans="2:13" ht="11.25" customHeight="1" x14ac:dyDescent="0.2">
      <c r="B52" s="1075" t="s">
        <v>1568</v>
      </c>
      <c r="G52" s="295"/>
      <c r="H52" s="295"/>
      <c r="I52" s="295"/>
      <c r="J52" s="295"/>
    </row>
    <row r="53" spans="2:13" ht="11.1" customHeight="1" x14ac:dyDescent="0.2">
      <c r="B53" s="1075"/>
      <c r="G53" s="295"/>
      <c r="H53" s="295"/>
      <c r="I53" s="295"/>
      <c r="J53" s="295"/>
    </row>
    <row r="54" spans="2:13" ht="11.1" customHeight="1" x14ac:dyDescent="0.2">
      <c r="B54" s="1075"/>
      <c r="G54" s="295"/>
      <c r="H54" s="295"/>
      <c r="I54" s="295"/>
      <c r="J54" s="295"/>
    </row>
    <row r="55" spans="2:13" ht="13.5" customHeight="1" x14ac:dyDescent="0.2">
      <c r="M55" s="1142"/>
    </row>
    <row r="56" spans="2:13" ht="13.5" customHeight="1" x14ac:dyDescent="0.2">
      <c r="M56" s="1142"/>
    </row>
    <row r="57" spans="2:13" ht="13.5" customHeight="1" x14ac:dyDescent="0.2">
      <c r="M57" s="1142"/>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c r="G64" s="295"/>
      <c r="H64" s="295"/>
      <c r="I64" s="295"/>
      <c r="J64" s="295"/>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M1"/>
    <mergeCell ref="B2:M2"/>
    <mergeCell ref="B3:M3"/>
    <mergeCell ref="B4:M4"/>
  </mergeCells>
  <printOptions horizontalCentered="1"/>
  <pageMargins left="0.09" right="0" top="0.5" bottom="0.5" header="0.25" footer="0.25"/>
  <pageSetup scale="68" firstPageNumber="38" fitToWidth="0" orientation="landscape" useFirstPageNumber="1" r:id="rId1"/>
  <headerFooter alignWithMargins="0">
    <oddHeader>&amp;R&amp;8Page 41c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B1:N151"/>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McLean County Unit School District No. 5</v>
      </c>
      <c r="C1" s="2573"/>
      <c r="D1" s="2573"/>
      <c r="E1" s="2573"/>
      <c r="F1" s="2573"/>
      <c r="G1" s="2573"/>
      <c r="H1" s="2573"/>
      <c r="I1" s="2573"/>
      <c r="J1" s="2573"/>
      <c r="K1" s="2573"/>
      <c r="L1" s="2573"/>
      <c r="M1" s="2573"/>
    </row>
    <row r="2" spans="2:14" ht="15" x14ac:dyDescent="0.2">
      <c r="B2" s="2574" t="str">
        <f>'Single Audit Cover'!E7</f>
        <v>17-064-0050-26</v>
      </c>
      <c r="C2" s="2574"/>
      <c r="D2" s="2574"/>
      <c r="E2" s="2574"/>
      <c r="F2" s="2574"/>
      <c r="G2" s="2574"/>
      <c r="H2" s="2574"/>
      <c r="I2" s="2574"/>
      <c r="J2" s="2574"/>
      <c r="K2" s="2574"/>
      <c r="L2" s="2574"/>
      <c r="M2" s="2574"/>
      <c r="N2" s="1077"/>
    </row>
    <row r="3" spans="2:14" ht="15" x14ac:dyDescent="0.2">
      <c r="B3" s="2575" t="s">
        <v>1207</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5"/>
      <c r="J5" s="1915"/>
    </row>
    <row r="6" spans="2:14" x14ac:dyDescent="0.2">
      <c r="B6" s="1078"/>
      <c r="C6" s="1079"/>
      <c r="D6" s="1080" t="s">
        <v>1253</v>
      </c>
      <c r="E6" s="1081" t="s">
        <v>523</v>
      </c>
      <c r="F6" s="1082"/>
      <c r="G6" s="1083" t="s">
        <v>1707</v>
      </c>
      <c r="H6" s="1081"/>
      <c r="I6" s="1081"/>
      <c r="J6" s="191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914" t="str">
        <f>"7/1/"&amp;MID('AFR20'!$E$2,3,2)-2&amp;"-6/30/"&amp;MID('AFR20'!$E$2,3,2)-1</f>
        <v>7/1/18-6/30/19</v>
      </c>
      <c r="F9" s="1914" t="str">
        <f>"7/1/"&amp;MID('AFR20'!$E$2,3,2)-1&amp;"-6/30/"&amp;MID('AFR20'!$E$2,3,2)</f>
        <v>7/1/19-6/30/20</v>
      </c>
      <c r="G9" s="1914" t="str">
        <f>"7/1/"&amp;MID('AFR20'!$E$2,3,2)-2&amp;"-6/30/"&amp;MID('AFR20'!$E$2,3,2)-1</f>
        <v>7/1/18-6/30/19</v>
      </c>
      <c r="H9" s="1092" t="s">
        <v>1564</v>
      </c>
      <c r="I9" s="191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2074</v>
      </c>
      <c r="C11" s="1820"/>
      <c r="D11" s="1821"/>
      <c r="E11" s="1822"/>
      <c r="F11" s="1822"/>
      <c r="G11" s="1822"/>
      <c r="H11" s="1822"/>
      <c r="I11" s="1822"/>
      <c r="J11" s="1822"/>
      <c r="K11" s="1822"/>
      <c r="L11" s="2035"/>
      <c r="M11" s="1822"/>
    </row>
    <row r="12" spans="2:14" ht="20.100000000000001" customHeight="1" x14ac:dyDescent="0.2">
      <c r="B12" s="2037" t="s">
        <v>2131</v>
      </c>
      <c r="C12" s="1820"/>
      <c r="D12" s="1821"/>
      <c r="E12" s="1822"/>
      <c r="F12" s="1822"/>
      <c r="G12" s="1822"/>
      <c r="H12" s="1822"/>
      <c r="I12" s="1822"/>
      <c r="J12" s="1822"/>
      <c r="K12" s="1822"/>
      <c r="L12" s="2035"/>
      <c r="M12" s="1822"/>
    </row>
    <row r="13" spans="2:14" ht="20.100000000000001" customHeight="1" x14ac:dyDescent="0.2">
      <c r="B13" s="2041" t="s">
        <v>2097</v>
      </c>
      <c r="C13" s="1820" t="s">
        <v>2157</v>
      </c>
      <c r="D13" s="1821">
        <v>2019</v>
      </c>
      <c r="E13" s="1822">
        <v>9249</v>
      </c>
      <c r="F13" s="1822">
        <v>0</v>
      </c>
      <c r="G13" s="1822">
        <v>9249</v>
      </c>
      <c r="H13" s="1822">
        <v>0</v>
      </c>
      <c r="I13" s="1822">
        <v>0</v>
      </c>
      <c r="J13" s="1822">
        <v>0</v>
      </c>
      <c r="K13" s="1822">
        <v>0</v>
      </c>
      <c r="L13" s="1822">
        <f>G13+I13+K13</f>
        <v>9249</v>
      </c>
      <c r="M13" s="1822" t="s">
        <v>2068</v>
      </c>
    </row>
    <row r="14" spans="2:14" ht="20.100000000000001" customHeight="1" x14ac:dyDescent="0.2">
      <c r="B14" s="2041"/>
      <c r="C14" s="1823"/>
      <c r="D14" s="1824">
        <v>2020</v>
      </c>
      <c r="E14" s="1825">
        <v>0</v>
      </c>
      <c r="F14" s="1825">
        <v>44925</v>
      </c>
      <c r="G14" s="1825">
        <v>0</v>
      </c>
      <c r="H14" s="1825">
        <v>0</v>
      </c>
      <c r="I14" s="1825">
        <v>44925</v>
      </c>
      <c r="J14" s="1825">
        <v>0</v>
      </c>
      <c r="K14" s="1825">
        <v>0</v>
      </c>
      <c r="L14" s="1822">
        <f>+G14+I14+K14</f>
        <v>44925</v>
      </c>
      <c r="M14" s="1825" t="s">
        <v>2068</v>
      </c>
    </row>
    <row r="15" spans="2:14" ht="20.100000000000001" customHeight="1" x14ac:dyDescent="0.2">
      <c r="B15" s="2037"/>
      <c r="C15" s="1823"/>
      <c r="D15" s="1824"/>
      <c r="E15" s="1825"/>
      <c r="F15" s="1825">
        <f>F14+F13</f>
        <v>44925</v>
      </c>
      <c r="G15" s="1825"/>
      <c r="H15" s="1825"/>
      <c r="I15" s="1825">
        <f>I13+I14</f>
        <v>44925</v>
      </c>
      <c r="J15" s="1825"/>
      <c r="K15" s="1825"/>
      <c r="L15" s="1822"/>
      <c r="M15" s="1825"/>
    </row>
    <row r="16" spans="2:14" ht="20.100000000000001" customHeight="1" x14ac:dyDescent="0.2">
      <c r="B16" s="2037" t="s">
        <v>2132</v>
      </c>
      <c r="C16" s="1823"/>
      <c r="D16" s="1824"/>
      <c r="E16" s="1825"/>
      <c r="F16" s="1825"/>
      <c r="G16" s="1825"/>
      <c r="H16" s="1825"/>
      <c r="I16" s="1825"/>
      <c r="J16" s="1825"/>
      <c r="K16" s="1825"/>
      <c r="L16" s="1822"/>
      <c r="M16" s="1825"/>
    </row>
    <row r="17" spans="2:14" ht="20.100000000000001" customHeight="1" x14ac:dyDescent="0.2">
      <c r="B17" s="2041" t="s">
        <v>2098</v>
      </c>
      <c r="C17" s="1823" t="s">
        <v>2099</v>
      </c>
      <c r="D17" s="1824">
        <v>2019</v>
      </c>
      <c r="E17" s="1825">
        <v>26283</v>
      </c>
      <c r="F17" s="1825">
        <v>0</v>
      </c>
      <c r="G17" s="1825">
        <f>E17</f>
        <v>26283</v>
      </c>
      <c r="H17" s="1825">
        <v>0</v>
      </c>
      <c r="I17" s="1825">
        <v>0</v>
      </c>
      <c r="J17" s="1825">
        <v>0</v>
      </c>
      <c r="K17" s="1825">
        <v>0</v>
      </c>
      <c r="L17" s="1822">
        <f>G17+I17+K17</f>
        <v>26283</v>
      </c>
      <c r="M17" s="1825" t="s">
        <v>2068</v>
      </c>
    </row>
    <row r="18" spans="2:14" ht="20.100000000000001" customHeight="1" x14ac:dyDescent="0.2">
      <c r="B18" s="2041"/>
      <c r="C18" s="1823"/>
      <c r="D18" s="1824">
        <v>2020</v>
      </c>
      <c r="E18" s="1825">
        <v>0</v>
      </c>
      <c r="F18" s="1825">
        <v>30024</v>
      </c>
      <c r="G18" s="1825">
        <v>0</v>
      </c>
      <c r="H18" s="1825">
        <v>0</v>
      </c>
      <c r="I18" s="1825">
        <v>30024</v>
      </c>
      <c r="J18" s="1825">
        <v>0</v>
      </c>
      <c r="K18" s="1825">
        <v>0</v>
      </c>
      <c r="L18" s="1822">
        <f>+G18+I18+K18</f>
        <v>30024</v>
      </c>
      <c r="M18" s="1825" t="s">
        <v>2068</v>
      </c>
    </row>
    <row r="19" spans="2:14" ht="20.100000000000001" customHeight="1" x14ac:dyDescent="0.2">
      <c r="B19" s="1112"/>
      <c r="C19" s="1823"/>
      <c r="D19" s="1824"/>
      <c r="E19" s="1825"/>
      <c r="F19" s="1825">
        <f>SUM(F17:F18)</f>
        <v>30024</v>
      </c>
      <c r="G19" s="1825"/>
      <c r="H19" s="1825"/>
      <c r="I19" s="1825">
        <f>SUM(I17:I18)</f>
        <v>30024</v>
      </c>
      <c r="J19" s="1825"/>
      <c r="K19" s="1825"/>
      <c r="L19" s="1822"/>
      <c r="M19" s="1825"/>
    </row>
    <row r="20" spans="2:14" ht="20.100000000000001" customHeight="1" x14ac:dyDescent="0.2">
      <c r="B20" s="2037" t="s">
        <v>2168</v>
      </c>
      <c r="C20" s="1823"/>
      <c r="D20" s="1824"/>
      <c r="E20" s="1825"/>
      <c r="F20" s="1825"/>
      <c r="G20" s="1825"/>
      <c r="H20" s="1825"/>
      <c r="I20" s="1825"/>
      <c r="J20" s="1825"/>
      <c r="K20" s="1825"/>
      <c r="L20" s="1822"/>
      <c r="M20" s="1825"/>
    </row>
    <row r="21" spans="2:14" ht="20.100000000000001" customHeight="1" x14ac:dyDescent="0.2">
      <c r="B21" s="2037"/>
      <c r="C21" s="1823"/>
      <c r="D21" s="1824"/>
      <c r="E21" s="1825"/>
      <c r="F21" s="1825"/>
      <c r="G21" s="1825"/>
      <c r="H21" s="1825"/>
      <c r="I21" s="1825"/>
      <c r="J21" s="1825"/>
      <c r="K21" s="1825"/>
      <c r="L21" s="1822"/>
      <c r="M21" s="1825"/>
    </row>
    <row r="22" spans="2:14" ht="20.100000000000001" customHeight="1" x14ac:dyDescent="0.2">
      <c r="B22" s="2041" t="s">
        <v>2100</v>
      </c>
      <c r="C22" s="1823">
        <v>84.126000000000005</v>
      </c>
      <c r="D22" s="1824" t="s">
        <v>2101</v>
      </c>
      <c r="E22" s="1825">
        <v>48596</v>
      </c>
      <c r="F22" s="1825">
        <v>0</v>
      </c>
      <c r="G22" s="1825">
        <v>48596</v>
      </c>
      <c r="H22" s="1825">
        <v>0</v>
      </c>
      <c r="I22" s="1825">
        <v>0</v>
      </c>
      <c r="J22" s="1825">
        <v>0</v>
      </c>
      <c r="K22" s="1825">
        <v>0</v>
      </c>
      <c r="L22" s="1822">
        <f>+G22+I22+K22</f>
        <v>48596</v>
      </c>
      <c r="M22" s="1825" t="s">
        <v>2068</v>
      </c>
    </row>
    <row r="23" spans="2:14" ht="20.100000000000001" customHeight="1" x14ac:dyDescent="0.2">
      <c r="B23" s="1112"/>
      <c r="C23" s="1823"/>
      <c r="D23" s="1824" t="s">
        <v>2161</v>
      </c>
      <c r="E23" s="1825">
        <v>0</v>
      </c>
      <c r="F23" s="1825">
        <v>57833</v>
      </c>
      <c r="G23" s="1825">
        <v>0</v>
      </c>
      <c r="H23" s="1825">
        <v>0</v>
      </c>
      <c r="I23" s="1825">
        <v>57833</v>
      </c>
      <c r="J23" s="1825">
        <v>0</v>
      </c>
      <c r="K23" s="1825">
        <v>0</v>
      </c>
      <c r="L23" s="1822">
        <f>+G23+I23+K23</f>
        <v>57833</v>
      </c>
      <c r="M23" s="1825" t="s">
        <v>2068</v>
      </c>
    </row>
    <row r="24" spans="2:14" ht="20.100000000000001" customHeight="1" x14ac:dyDescent="0.2">
      <c r="B24" s="1112"/>
      <c r="C24" s="1823"/>
      <c r="D24" s="1824"/>
      <c r="E24" s="1825"/>
      <c r="F24" s="1825">
        <f>SUM(F22:F23)</f>
        <v>57833</v>
      </c>
      <c r="G24" s="1825"/>
      <c r="H24" s="1825"/>
      <c r="I24" s="1825">
        <f>SUM(I22:I23)</f>
        <v>57833</v>
      </c>
      <c r="J24" s="1825"/>
      <c r="K24" s="1825"/>
      <c r="L24" s="1822"/>
      <c r="M24" s="1825"/>
    </row>
    <row r="25" spans="2:14" ht="20.100000000000001" customHeight="1" x14ac:dyDescent="0.2">
      <c r="B25" s="1112"/>
      <c r="C25" s="1823"/>
      <c r="D25" s="1824"/>
      <c r="E25" s="1825"/>
      <c r="F25" s="1825"/>
      <c r="G25" s="1825"/>
      <c r="H25" s="1825"/>
      <c r="I25" s="1825"/>
      <c r="J25" s="1825"/>
      <c r="K25" s="1825"/>
      <c r="L25" s="1822"/>
      <c r="M25" s="1825"/>
    </row>
    <row r="26" spans="2:14" ht="20.100000000000001" customHeight="1" x14ac:dyDescent="0.2">
      <c r="B26" s="1112" t="s">
        <v>2096</v>
      </c>
      <c r="C26" s="1823"/>
      <c r="D26" s="1824"/>
      <c r="E26" s="1825"/>
      <c r="F26" s="1825">
        <f>F24+F18+F14+' SEFA (3)'!F33</f>
        <v>6528049</v>
      </c>
      <c r="G26" s="1825"/>
      <c r="H26" s="1825"/>
      <c r="I26" s="1825">
        <f>I24+I18+I14+' SEFA (3)'!I33</f>
        <v>6312501</v>
      </c>
      <c r="J26" s="1825"/>
      <c r="K26" s="1825"/>
      <c r="L26" s="1822"/>
      <c r="M26" s="1825"/>
    </row>
    <row r="27" spans="2:14" ht="12.75" customHeight="1" x14ac:dyDescent="0.2">
      <c r="B27" s="1114"/>
      <c r="C27" s="1115"/>
      <c r="D27" s="1116"/>
      <c r="E27" s="1117"/>
      <c r="F27" s="1117"/>
      <c r="G27" s="1117"/>
      <c r="H27" s="1117"/>
      <c r="I27" s="1117"/>
      <c r="J27" s="1117"/>
      <c r="K27" s="1117"/>
      <c r="L27" s="1117"/>
      <c r="M27" s="1117"/>
      <c r="N27" s="1113"/>
    </row>
    <row r="28" spans="2:14" x14ac:dyDescent="0.2">
      <c r="B28" s="1032"/>
      <c r="C28" s="1118"/>
      <c r="D28" s="1119"/>
      <c r="E28" s="1032"/>
      <c r="F28" s="1032"/>
      <c r="G28" s="1025"/>
      <c r="H28" s="1025"/>
      <c r="I28" s="1025"/>
      <c r="J28" s="1025"/>
      <c r="K28" s="1025"/>
      <c r="L28" s="1025"/>
      <c r="M28" s="1032"/>
      <c r="N28" s="1113"/>
    </row>
    <row r="29" spans="2:14" ht="13.5" customHeight="1" x14ac:dyDescent="0.2">
      <c r="B29" s="1057" t="s">
        <v>1710</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1808</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1234</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1711</v>
      </c>
      <c r="C36" s="1134"/>
      <c r="D36" s="1134"/>
      <c r="E36" s="1134"/>
      <c r="F36" s="1134"/>
      <c r="G36" s="1134"/>
      <c r="H36" s="1134"/>
      <c r="I36" s="1135"/>
      <c r="J36" s="1135"/>
      <c r="K36" s="1135"/>
      <c r="L36" s="1135"/>
      <c r="M36" s="1135"/>
    </row>
    <row r="37" spans="2:13" ht="11.25" customHeight="1" x14ac:dyDescent="0.2">
      <c r="B37" s="1136" t="s">
        <v>1566</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1712</v>
      </c>
      <c r="C39" s="1135"/>
      <c r="D39" s="1135"/>
      <c r="E39" s="1135"/>
      <c r="F39" s="1135"/>
      <c r="G39" s="1135"/>
      <c r="H39" s="1135"/>
      <c r="I39" s="1135"/>
      <c r="J39" s="1135"/>
      <c r="K39" s="1135"/>
      <c r="L39" s="1135"/>
      <c r="M39" s="1135"/>
    </row>
    <row r="40" spans="2:13" ht="11.25" customHeight="1" x14ac:dyDescent="0.2">
      <c r="B40" s="1075" t="s">
        <v>1567</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1713</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1714</v>
      </c>
      <c r="C44" s="1137"/>
      <c r="D44" s="1138"/>
      <c r="E44" s="1075"/>
      <c r="F44" s="1075"/>
      <c r="G44" s="1075"/>
      <c r="H44" s="1075"/>
      <c r="I44" s="1075"/>
      <c r="J44" s="1075"/>
      <c r="K44" s="1139"/>
      <c r="L44" s="1139"/>
      <c r="M44" s="1075"/>
    </row>
    <row r="45" spans="2:13" ht="11.25" customHeight="1" x14ac:dyDescent="0.2">
      <c r="B45" s="1075" t="s">
        <v>1568</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fitToWidth="0" orientation="landscape" useFirstPageNumber="1" r:id="rId1"/>
  <headerFooter alignWithMargins="0">
    <oddHeader>&amp;R&amp;8Page 41d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B1:N154"/>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McLean County Unit School District No. 5</v>
      </c>
      <c r="C1" s="2573"/>
      <c r="D1" s="2573"/>
      <c r="E1" s="2573"/>
      <c r="F1" s="2573"/>
      <c r="G1" s="2573"/>
      <c r="H1" s="2573"/>
      <c r="I1" s="2573"/>
      <c r="J1" s="2573"/>
      <c r="K1" s="2573"/>
      <c r="L1" s="2573"/>
      <c r="M1" s="2573"/>
    </row>
    <row r="2" spans="2:14" ht="15" x14ac:dyDescent="0.2">
      <c r="B2" s="2574" t="str">
        <f>'Single Audit Cover'!E7</f>
        <v>17-064-0050-26</v>
      </c>
      <c r="C2" s="2574"/>
      <c r="D2" s="2574"/>
      <c r="E2" s="2574"/>
      <c r="F2" s="2574"/>
      <c r="G2" s="2574"/>
      <c r="H2" s="2574"/>
      <c r="I2" s="2574"/>
      <c r="J2" s="2574"/>
      <c r="K2" s="2574"/>
      <c r="L2" s="2574"/>
      <c r="M2" s="2574"/>
      <c r="N2" s="1077"/>
    </row>
    <row r="3" spans="2:14" ht="15" x14ac:dyDescent="0.2">
      <c r="B3" s="2575" t="s">
        <v>1207</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5"/>
      <c r="J5" s="1915"/>
    </row>
    <row r="6" spans="2:14" x14ac:dyDescent="0.2">
      <c r="B6" s="1078"/>
      <c r="C6" s="1079"/>
      <c r="D6" s="1080" t="s">
        <v>1253</v>
      </c>
      <c r="E6" s="1081" t="s">
        <v>523</v>
      </c>
      <c r="F6" s="1082"/>
      <c r="G6" s="1083" t="s">
        <v>1707</v>
      </c>
      <c r="H6" s="1081"/>
      <c r="I6" s="1081"/>
      <c r="J6" s="1916"/>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1708</v>
      </c>
      <c r="D9" s="1089" t="s">
        <v>1709</v>
      </c>
      <c r="E9" s="1914" t="str">
        <f>"7/1/"&amp;MID('AFR20'!$E$2,3,2)-2&amp;"-6/30/"&amp;MID('AFR20'!$E$2,3,2)-1</f>
        <v>7/1/18-6/30/19</v>
      </c>
      <c r="F9" s="1914" t="str">
        <f>"7/1/"&amp;MID('AFR20'!$E$2,3,2)-1&amp;"-6/30/"&amp;MID('AFR20'!$E$2,3,2)</f>
        <v>7/1/19-6/30/20</v>
      </c>
      <c r="G9" s="1914" t="str">
        <f>"7/1/"&amp;MID('AFR20'!$E$2,3,2)-2&amp;"-6/30/"&amp;MID('AFR20'!$E$2,3,2)-1</f>
        <v>7/1/18-6/30/19</v>
      </c>
      <c r="H9" s="1092" t="s">
        <v>1564</v>
      </c>
      <c r="I9" s="1914"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2169</v>
      </c>
      <c r="C11" s="1820"/>
      <c r="D11" s="1821"/>
      <c r="E11" s="1822"/>
      <c r="F11" s="1822"/>
      <c r="G11" s="1822"/>
      <c r="H11" s="1822"/>
      <c r="I11" s="1822"/>
      <c r="J11" s="1822"/>
      <c r="K11" s="1822"/>
      <c r="L11" s="2035"/>
      <c r="M11" s="1822"/>
    </row>
    <row r="12" spans="2:14" ht="20.100000000000001" customHeight="1" x14ac:dyDescent="0.2">
      <c r="B12" s="2037" t="s">
        <v>2132</v>
      </c>
      <c r="C12" s="1820"/>
      <c r="D12" s="1821"/>
      <c r="E12" s="1822"/>
      <c r="F12" s="1822"/>
      <c r="G12" s="1822"/>
      <c r="H12" s="1822"/>
      <c r="I12" s="1822"/>
      <c r="J12" s="1822"/>
      <c r="K12" s="1822"/>
      <c r="L12" s="2035"/>
      <c r="M12" s="1822"/>
    </row>
    <row r="13" spans="2:14" ht="20.100000000000001" customHeight="1" x14ac:dyDescent="0.2">
      <c r="B13" s="2041" t="s">
        <v>2158</v>
      </c>
      <c r="C13" s="1820">
        <v>47.073999999999998</v>
      </c>
      <c r="D13" s="1821">
        <v>1615326</v>
      </c>
      <c r="E13" s="1822">
        <v>6000</v>
      </c>
      <c r="F13" s="1822">
        <v>0</v>
      </c>
      <c r="G13" s="1822">
        <v>6000</v>
      </c>
      <c r="H13" s="1822">
        <v>0</v>
      </c>
      <c r="I13" s="1822">
        <v>0</v>
      </c>
      <c r="J13" s="1822">
        <v>0</v>
      </c>
      <c r="K13" s="1822">
        <v>0</v>
      </c>
      <c r="L13" s="1822">
        <f>G13+I13+K13</f>
        <v>6000</v>
      </c>
      <c r="M13" s="1822" t="s">
        <v>2068</v>
      </c>
    </row>
    <row r="14" spans="2:14" ht="20.100000000000001" customHeight="1" x14ac:dyDescent="0.2">
      <c r="B14" s="2041"/>
      <c r="C14" s="1823"/>
      <c r="D14" s="1824"/>
      <c r="E14" s="1825"/>
      <c r="F14" s="1825"/>
      <c r="G14" s="1825"/>
      <c r="H14" s="1825"/>
      <c r="I14" s="1825"/>
      <c r="J14" s="1825"/>
      <c r="K14" s="1825"/>
      <c r="L14" s="1822"/>
      <c r="M14" s="1825"/>
    </row>
    <row r="15" spans="2:14" ht="20.100000000000001" customHeight="1" x14ac:dyDescent="0.2">
      <c r="B15" s="1112" t="s">
        <v>2103</v>
      </c>
      <c r="C15" s="1823"/>
      <c r="D15" s="1824"/>
      <c r="E15" s="1825"/>
      <c r="F15" s="1825"/>
      <c r="G15" s="1825"/>
      <c r="H15" s="1825"/>
      <c r="I15" s="1825"/>
      <c r="J15" s="1825"/>
      <c r="K15" s="1825"/>
      <c r="L15" s="1822"/>
      <c r="M15" s="1825"/>
    </row>
    <row r="16" spans="2:14" ht="20.100000000000001" customHeight="1" x14ac:dyDescent="0.2">
      <c r="B16" s="2037" t="s">
        <v>2170</v>
      </c>
      <c r="C16" s="1823"/>
      <c r="D16" s="1824"/>
      <c r="E16" s="1825"/>
      <c r="F16" s="1825"/>
      <c r="G16" s="1825"/>
      <c r="H16" s="1825"/>
      <c r="I16" s="1825"/>
      <c r="J16" s="1825"/>
      <c r="K16" s="1825"/>
      <c r="L16" s="1822"/>
      <c r="M16" s="1825"/>
    </row>
    <row r="17" spans="2:14" ht="20.100000000000001" customHeight="1" x14ac:dyDescent="0.2">
      <c r="B17" s="2041" t="s">
        <v>2104</v>
      </c>
      <c r="C17" s="1823">
        <v>93.778000000000006</v>
      </c>
      <c r="D17" s="1824">
        <v>2019</v>
      </c>
      <c r="E17" s="1825">
        <v>211166</v>
      </c>
      <c r="F17" s="1825">
        <v>0</v>
      </c>
      <c r="G17" s="1825">
        <v>211166</v>
      </c>
      <c r="H17" s="1825">
        <v>0</v>
      </c>
      <c r="I17" s="1825">
        <v>0</v>
      </c>
      <c r="J17" s="1825">
        <v>0</v>
      </c>
      <c r="K17" s="1825">
        <v>0</v>
      </c>
      <c r="L17" s="1822">
        <f>G17+I17+K17</f>
        <v>211166</v>
      </c>
      <c r="M17" s="1825" t="s">
        <v>2068</v>
      </c>
    </row>
    <row r="18" spans="2:14" ht="20.100000000000001" customHeight="1" x14ac:dyDescent="0.2">
      <c r="B18" s="1112"/>
      <c r="C18" s="1823"/>
      <c r="D18" s="1824">
        <v>2020</v>
      </c>
      <c r="E18" s="1825">
        <v>0</v>
      </c>
      <c r="F18" s="1825">
        <v>183210</v>
      </c>
      <c r="G18" s="1825">
        <v>0</v>
      </c>
      <c r="H18" s="1825">
        <v>0</v>
      </c>
      <c r="I18" s="1825">
        <v>183210</v>
      </c>
      <c r="J18" s="1825">
        <v>0</v>
      </c>
      <c r="K18" s="1825">
        <v>0</v>
      </c>
      <c r="L18" s="1822">
        <f>G18+I18+J18</f>
        <v>183210</v>
      </c>
      <c r="M18" s="1825" t="s">
        <v>2068</v>
      </c>
    </row>
    <row r="19" spans="2:14" ht="20.100000000000001" customHeight="1" x14ac:dyDescent="0.2">
      <c r="B19" s="1112"/>
      <c r="C19" s="1823"/>
      <c r="D19" s="1824"/>
      <c r="E19" s="1825"/>
      <c r="F19" s="1825">
        <f>SUM(F17:F18)</f>
        <v>183210</v>
      </c>
      <c r="G19" s="1825"/>
      <c r="H19" s="1825"/>
      <c r="I19" s="1825">
        <f>SUM(I17:I18)</f>
        <v>183210</v>
      </c>
      <c r="J19" s="1825"/>
      <c r="K19" s="1825"/>
      <c r="L19" s="1822"/>
      <c r="M19" s="1825"/>
    </row>
    <row r="20" spans="2:14" ht="20.100000000000001" customHeight="1" x14ac:dyDescent="0.2">
      <c r="B20" s="1112"/>
      <c r="C20" s="1823"/>
      <c r="D20" s="1824"/>
      <c r="E20" s="1825"/>
      <c r="F20" s="1825"/>
      <c r="G20" s="1825"/>
      <c r="H20" s="1825"/>
      <c r="I20" s="1825"/>
      <c r="J20" s="1825"/>
      <c r="K20" s="1825"/>
      <c r="L20" s="1822"/>
      <c r="M20" s="1825"/>
    </row>
    <row r="21" spans="2:14" ht="20.100000000000001" customHeight="1" x14ac:dyDescent="0.2">
      <c r="B21" s="1112" t="s">
        <v>2171</v>
      </c>
      <c r="C21" s="1823"/>
      <c r="D21" s="1824"/>
      <c r="E21" s="1825"/>
      <c r="F21" s="1825">
        <f>F19</f>
        <v>183210</v>
      </c>
      <c r="G21" s="1825"/>
      <c r="H21" s="1825"/>
      <c r="I21" s="1825">
        <f>I19</f>
        <v>183210</v>
      </c>
      <c r="J21" s="1825"/>
      <c r="K21" s="1825"/>
      <c r="L21" s="1822"/>
      <c r="M21" s="1825"/>
    </row>
    <row r="22" spans="2:14" ht="20.100000000000001" customHeight="1" x14ac:dyDescent="0.2">
      <c r="B22" s="1112"/>
      <c r="C22" s="1823"/>
      <c r="D22" s="1824"/>
      <c r="E22" s="1825"/>
      <c r="F22" s="1825"/>
      <c r="G22" s="1825"/>
      <c r="H22" s="1825"/>
      <c r="I22" s="1825"/>
      <c r="J22" s="1825"/>
      <c r="K22" s="1825"/>
      <c r="L22" s="1822"/>
      <c r="M22" s="1825"/>
    </row>
    <row r="23" spans="2:14" ht="20.100000000000001" customHeight="1" x14ac:dyDescent="0.2">
      <c r="B23" s="1112" t="s">
        <v>2105</v>
      </c>
      <c r="C23" s="1823"/>
      <c r="D23" s="1824"/>
      <c r="E23" s="1825"/>
      <c r="F23" s="1825">
        <f>F19+' SEFA (4)'!F26+' SEFA'!F29</f>
        <v>9082102</v>
      </c>
      <c r="G23" s="1825"/>
      <c r="H23" s="1825"/>
      <c r="I23" s="1825">
        <f>I19+' SEFA (4)'!I26+' SEFA'!I29</f>
        <v>8866554</v>
      </c>
      <c r="J23" s="1825"/>
      <c r="K23" s="1825"/>
      <c r="L23" s="1822"/>
      <c r="M23" s="1825"/>
    </row>
    <row r="24" spans="2:14" ht="20.100000000000001" customHeight="1" x14ac:dyDescent="0.2">
      <c r="B24" s="1112"/>
      <c r="C24" s="1823"/>
      <c r="D24" s="1824"/>
      <c r="E24" s="1825"/>
      <c r="F24" s="1825"/>
      <c r="G24" s="1825"/>
      <c r="H24" s="1825"/>
      <c r="I24" s="1825"/>
      <c r="J24" s="1825"/>
      <c r="K24" s="1825"/>
      <c r="L24" s="1822"/>
      <c r="M24" s="1825"/>
    </row>
    <row r="25" spans="2:14" ht="20.100000000000001" customHeight="1" x14ac:dyDescent="0.2">
      <c r="B25" s="1112"/>
      <c r="C25" s="1823"/>
      <c r="D25" s="1824"/>
      <c r="E25" s="1825"/>
      <c r="F25" s="1825"/>
      <c r="G25" s="1825"/>
      <c r="H25" s="1825"/>
      <c r="I25" s="1825"/>
      <c r="J25" s="1825"/>
      <c r="K25" s="1825"/>
      <c r="L25" s="1822"/>
      <c r="M25" s="1825"/>
    </row>
    <row r="26" spans="2:14" ht="20.100000000000001" customHeight="1" x14ac:dyDescent="0.2">
      <c r="B26" s="1112"/>
      <c r="C26" s="1823"/>
      <c r="D26" s="1824"/>
      <c r="E26" s="1825"/>
      <c r="F26" s="1825"/>
      <c r="G26" s="1825"/>
      <c r="H26" s="1825"/>
      <c r="I26" s="1825"/>
      <c r="J26" s="1825"/>
      <c r="K26" s="1825"/>
      <c r="L26" s="1822"/>
      <c r="M26" s="1825"/>
    </row>
    <row r="27" spans="2:14" ht="20.100000000000001" customHeight="1" x14ac:dyDescent="0.2">
      <c r="B27" s="1112"/>
      <c r="C27" s="1823"/>
      <c r="D27" s="1824"/>
      <c r="E27" s="1825"/>
      <c r="F27" s="1825"/>
      <c r="G27" s="1825"/>
      <c r="H27" s="1825"/>
      <c r="I27" s="1825"/>
      <c r="J27" s="1825"/>
      <c r="K27" s="1825"/>
      <c r="L27" s="1822"/>
      <c r="M27" s="1825"/>
    </row>
    <row r="28" spans="2:14" ht="20.100000000000001" customHeight="1" x14ac:dyDescent="0.2">
      <c r="B28" s="1112"/>
      <c r="C28" s="1823"/>
      <c r="D28" s="1824"/>
      <c r="E28" s="1825"/>
      <c r="F28" s="1825"/>
      <c r="G28" s="1825"/>
      <c r="H28" s="1825"/>
      <c r="I28" s="1825"/>
      <c r="J28" s="1825"/>
      <c r="K28" s="1825"/>
      <c r="L28" s="1822"/>
      <c r="M28" s="1825"/>
    </row>
    <row r="29" spans="2:14" ht="20.100000000000001" customHeight="1" x14ac:dyDescent="0.2">
      <c r="B29" s="1112"/>
      <c r="C29" s="1823"/>
      <c r="D29" s="1824"/>
      <c r="E29" s="1825"/>
      <c r="F29" s="1825"/>
      <c r="G29" s="1825"/>
      <c r="H29" s="1825"/>
      <c r="I29" s="1825"/>
      <c r="J29" s="1825"/>
      <c r="K29" s="1825"/>
      <c r="L29" s="1822"/>
      <c r="M29" s="1825"/>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1710</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1808</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1711</v>
      </c>
      <c r="C39" s="1134"/>
      <c r="D39" s="1134"/>
      <c r="E39" s="1134"/>
      <c r="F39" s="1134"/>
      <c r="G39" s="1134"/>
      <c r="H39" s="1134"/>
      <c r="I39" s="1135"/>
      <c r="J39" s="1135"/>
      <c r="K39" s="1135"/>
      <c r="L39" s="1135"/>
      <c r="M39" s="1135"/>
    </row>
    <row r="40" spans="2:14" ht="11.25" customHeight="1" x14ac:dyDescent="0.2">
      <c r="B40" s="1136" t="s">
        <v>1566</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1712</v>
      </c>
      <c r="C42" s="1135"/>
      <c r="D42" s="1135"/>
      <c r="E42" s="1135"/>
      <c r="F42" s="1135"/>
      <c r="G42" s="1135"/>
      <c r="H42" s="1135"/>
      <c r="I42" s="1135"/>
      <c r="J42" s="1135"/>
      <c r="K42" s="1135"/>
      <c r="L42" s="1135"/>
      <c r="M42" s="1135"/>
    </row>
    <row r="43" spans="2:14" ht="11.25" customHeight="1" x14ac:dyDescent="0.2">
      <c r="B43" s="1075" t="s">
        <v>1567</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1713</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1714</v>
      </c>
      <c r="C47" s="1137"/>
      <c r="D47" s="1138"/>
      <c r="E47" s="1075"/>
      <c r="F47" s="1075"/>
      <c r="G47" s="1075"/>
      <c r="H47" s="1075"/>
      <c r="I47" s="1075"/>
      <c r="J47" s="1075"/>
      <c r="K47" s="1139"/>
      <c r="L47" s="1139"/>
      <c r="M47" s="1075"/>
    </row>
    <row r="48" spans="2:14" ht="11.25" customHeight="1" x14ac:dyDescent="0.2">
      <c r="B48" s="1075" t="s">
        <v>1568</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09" right="0" top="0.5" bottom="0.5" header="0.25" footer="0.25"/>
  <pageSetup scale="77" firstPageNumber="38" fitToWidth="0" orientation="landscape" useFirstPageNumber="1" r:id="rId1"/>
  <headerFooter alignWithMargins="0">
    <oddHeader>&amp;R&amp;8Page 41e</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McLean County Unit School District No. 5</v>
      </c>
      <c r="B1" s="2586"/>
      <c r="C1" s="2586"/>
      <c r="D1" s="2586"/>
      <c r="E1" s="2586"/>
      <c r="F1" s="2586"/>
    </row>
    <row r="2" spans="1:7" ht="13.5" customHeight="1" x14ac:dyDescent="0.2">
      <c r="A2" s="2574" t="str">
        <f>'Single Audit Cover'!E7</f>
        <v>17-064-0050-26</v>
      </c>
      <c r="B2" s="2574"/>
      <c r="C2" s="2574"/>
      <c r="D2" s="2574"/>
      <c r="E2" s="2574"/>
      <c r="F2" s="2574"/>
      <c r="G2" s="1050"/>
    </row>
    <row r="3" spans="1:7" ht="15.75" customHeight="1" x14ac:dyDescent="0.2">
      <c r="A3" s="2587" t="s">
        <v>1259</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1" t="s">
        <v>1704</v>
      </c>
      <c r="C6" s="295"/>
      <c r="D6" s="295"/>
    </row>
    <row r="7" spans="1:7" ht="60.95" customHeight="1" x14ac:dyDescent="0.2">
      <c r="A7" s="2585" t="s">
        <v>2159</v>
      </c>
      <c r="B7" s="2585"/>
      <c r="C7" s="2585"/>
      <c r="D7" s="2585"/>
      <c r="E7" s="2585"/>
      <c r="F7" s="2585"/>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t="s">
        <v>2124</v>
      </c>
      <c r="D10" s="1055" t="s">
        <v>1530</v>
      </c>
      <c r="E10" s="1056"/>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85" t="s">
        <v>2133</v>
      </c>
      <c r="B13" s="2585"/>
      <c r="C13" s="2585"/>
      <c r="D13" s="2585"/>
      <c r="E13" s="2585"/>
      <c r="F13" s="2585"/>
    </row>
    <row r="14" spans="1:7" ht="9.75" customHeight="1" x14ac:dyDescent="0.2">
      <c r="C14" s="1035"/>
      <c r="D14" s="1035"/>
    </row>
    <row r="15" spans="1:7" ht="13.5" customHeight="1" x14ac:dyDescent="0.2">
      <c r="C15" s="1475" t="s">
        <v>1258</v>
      </c>
      <c r="D15" s="2583" t="s">
        <v>1257</v>
      </c>
      <c r="E15" s="2583"/>
      <c r="F15" s="2583"/>
    </row>
    <row r="16" spans="1:7" ht="13.5" customHeight="1" x14ac:dyDescent="0.2">
      <c r="A16" s="1057"/>
      <c r="B16" s="1051" t="s">
        <v>1256</v>
      </c>
      <c r="C16" s="1475" t="s">
        <v>1255</v>
      </c>
      <c r="D16" s="2584" t="s">
        <v>1570</v>
      </c>
      <c r="E16" s="2584"/>
      <c r="F16" s="2584"/>
    </row>
    <row r="17" spans="1:6" ht="20.45" customHeight="1" x14ac:dyDescent="0.2">
      <c r="A17" s="1058"/>
      <c r="B17" s="1059" t="s">
        <v>2123</v>
      </c>
      <c r="C17" s="1060"/>
      <c r="D17" s="2578"/>
      <c r="E17" s="2578"/>
      <c r="F17" s="2578"/>
    </row>
    <row r="18" spans="1:6" ht="20.65" customHeight="1" x14ac:dyDescent="0.2">
      <c r="A18" s="1058"/>
      <c r="B18" s="1059"/>
      <c r="C18" s="1060"/>
      <c r="D18" s="2578"/>
      <c r="E18" s="2578"/>
      <c r="F18" s="2578"/>
    </row>
    <row r="19" spans="1:6" ht="20.65" customHeight="1" x14ac:dyDescent="0.2">
      <c r="A19" s="1058"/>
      <c r="B19" s="1059"/>
      <c r="C19" s="1060"/>
      <c r="D19" s="2578"/>
      <c r="E19" s="2578"/>
      <c r="F19" s="2578"/>
    </row>
    <row r="20" spans="1:6" ht="20.65" customHeight="1" x14ac:dyDescent="0.2">
      <c r="A20" s="1058"/>
      <c r="B20" s="1059"/>
      <c r="C20" s="1060"/>
      <c r="D20" s="2578"/>
      <c r="E20" s="2578"/>
      <c r="F20" s="2578"/>
    </row>
    <row r="21" spans="1:6" ht="20.65" customHeight="1" x14ac:dyDescent="0.2">
      <c r="A21" s="1058"/>
      <c r="B21" s="1059"/>
      <c r="C21" s="1060"/>
      <c r="D21" s="2578"/>
      <c r="E21" s="2578"/>
      <c r="F21" s="2578"/>
    </row>
    <row r="22" spans="1:6" ht="20.65" customHeight="1" x14ac:dyDescent="0.2">
      <c r="A22" s="1058"/>
      <c r="B22" s="1059"/>
      <c r="C22" s="1060"/>
      <c r="D22" s="2578"/>
      <c r="E22" s="2578"/>
      <c r="F22" s="2578"/>
    </row>
    <row r="23" spans="1:6" ht="20.65" customHeight="1" x14ac:dyDescent="0.2">
      <c r="A23" s="1058"/>
      <c r="B23" s="1059"/>
      <c r="C23" s="1060"/>
      <c r="D23" s="2578"/>
      <c r="E23" s="2578"/>
      <c r="F23" s="2578"/>
    </row>
    <row r="24" spans="1:6" ht="20.65" customHeight="1" x14ac:dyDescent="0.2">
      <c r="A24" s="1058"/>
      <c r="B24" s="1059"/>
      <c r="C24" s="1060"/>
      <c r="D24" s="2578"/>
      <c r="E24" s="2578"/>
      <c r="F24" s="2578"/>
    </row>
    <row r="25" spans="1:6" ht="20.65" customHeight="1" x14ac:dyDescent="0.2">
      <c r="A25" s="1058"/>
      <c r="B25" s="1059"/>
      <c r="C25" s="1060"/>
      <c r="D25" s="2578"/>
      <c r="E25" s="2578"/>
      <c r="F25" s="2578"/>
    </row>
    <row r="26" spans="1:6" ht="20.65" customHeight="1" x14ac:dyDescent="0.2">
      <c r="A26" s="1058"/>
      <c r="B26" s="1059"/>
      <c r="C26" s="1060"/>
      <c r="D26" s="2578"/>
      <c r="E26" s="2578"/>
      <c r="F26" s="2578"/>
    </row>
    <row r="27" spans="1:6" ht="20.65" customHeight="1" x14ac:dyDescent="0.2">
      <c r="A27" s="1058"/>
      <c r="B27" s="1059"/>
      <c r="C27" s="1060"/>
      <c r="D27" s="2578"/>
      <c r="E27" s="2578"/>
      <c r="F27" s="2578"/>
    </row>
    <row r="28" spans="1:6" ht="20.65" customHeight="1" x14ac:dyDescent="0.2">
      <c r="A28" s="1058"/>
      <c r="B28" s="1059"/>
      <c r="C28" s="1060"/>
      <c r="D28" s="2578"/>
      <c r="E28" s="2578"/>
      <c r="F28" s="2578"/>
    </row>
    <row r="29" spans="1:6" ht="20.65" customHeight="1" x14ac:dyDescent="0.2">
      <c r="A29" s="1058"/>
      <c r="B29" s="1059"/>
      <c r="C29" s="1060"/>
      <c r="D29" s="2578"/>
      <c r="E29" s="2578"/>
      <c r="F29" s="2578"/>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579" t="s">
        <v>2160</v>
      </c>
      <c r="B32" s="2579"/>
      <c r="C32" s="2579"/>
      <c r="D32" s="2579"/>
      <c r="E32" s="2579"/>
      <c r="F32" s="2579"/>
    </row>
    <row r="33" spans="1:6" ht="13.5" customHeight="1" x14ac:dyDescent="0.2">
      <c r="A33" s="306" t="s">
        <v>1416</v>
      </c>
      <c r="B33" s="306"/>
      <c r="C33" s="1063">
        <f>' SEFA'!I23</f>
        <v>207295</v>
      </c>
      <c r="D33" s="1525"/>
      <c r="E33" s="1061"/>
    </row>
    <row r="34" spans="1:6" ht="13.5" customHeight="1" x14ac:dyDescent="0.2">
      <c r="A34" s="306" t="s">
        <v>1807</v>
      </c>
      <c r="B34" s="306"/>
      <c r="C34" s="1064">
        <f>' SEFA'!I25</f>
        <v>83819</v>
      </c>
      <c r="D34" s="1525" t="s">
        <v>1571</v>
      </c>
      <c r="E34" s="2580">
        <f>+C33+C34</f>
        <v>291114</v>
      </c>
      <c r="F34" s="2581"/>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v>0</v>
      </c>
      <c r="D38" s="1525"/>
      <c r="E38" s="1061"/>
    </row>
    <row r="39" spans="1:6" ht="14.25" customHeight="1" x14ac:dyDescent="0.2">
      <c r="A39" s="306"/>
      <c r="B39" s="306" t="s">
        <v>1418</v>
      </c>
      <c r="C39" s="1067">
        <v>0</v>
      </c>
      <c r="D39" s="1525"/>
      <c r="E39" s="1061"/>
    </row>
    <row r="40" spans="1:6" ht="14.25" customHeight="1" x14ac:dyDescent="0.2">
      <c r="A40" s="306"/>
      <c r="B40" s="306" t="s">
        <v>1419</v>
      </c>
      <c r="C40" s="1067">
        <v>0</v>
      </c>
      <c r="D40" s="1525"/>
      <c r="E40" s="1061"/>
    </row>
    <row r="41" spans="1:6" ht="14.25" customHeight="1" x14ac:dyDescent="0.2">
      <c r="A41" s="306"/>
      <c r="B41" s="306" t="s">
        <v>1420</v>
      </c>
      <c r="C41" s="1067">
        <v>0</v>
      </c>
      <c r="D41" s="1525"/>
      <c r="E41" s="1061"/>
    </row>
    <row r="42" spans="1:6" ht="14.25" customHeight="1" x14ac:dyDescent="0.2">
      <c r="A42" s="306" t="s">
        <v>1421</v>
      </c>
      <c r="B42" s="306"/>
      <c r="C42" s="1523">
        <v>0</v>
      </c>
      <c r="D42" s="1525"/>
      <c r="E42" s="1061"/>
    </row>
    <row r="43" spans="1:6" ht="14.25" customHeight="1" x14ac:dyDescent="0.2">
      <c r="A43" s="306" t="s">
        <v>1422</v>
      </c>
      <c r="B43" s="306"/>
      <c r="C43" s="1068" t="s">
        <v>379</v>
      </c>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2" t="s">
        <v>1572</v>
      </c>
      <c r="C49" s="2582"/>
      <c r="D49" s="2582"/>
      <c r="E49" s="1167"/>
    </row>
    <row r="50" spans="1:5" s="1075" customFormat="1" ht="3.75" customHeight="1" x14ac:dyDescent="0.2">
      <c r="A50" s="1074"/>
      <c r="B50" s="1474"/>
      <c r="C50" s="1474"/>
      <c r="D50" s="1474"/>
      <c r="E50" s="1167"/>
    </row>
    <row r="51" spans="1:5" s="1075" customFormat="1" ht="20.25" customHeight="1" x14ac:dyDescent="0.2">
      <c r="A51" s="1076">
        <v>6</v>
      </c>
      <c r="B51" s="2577" t="s">
        <v>1533</v>
      </c>
      <c r="C51" s="2577"/>
      <c r="D51" s="2577"/>
    </row>
    <row r="52" spans="1:5" ht="14.25" customHeight="1" x14ac:dyDescent="0.2">
      <c r="A52" s="1076"/>
      <c r="B52" s="2577"/>
      <c r="C52" s="2577"/>
      <c r="D52" s="257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McLean County Unit School District No. 5</v>
      </c>
      <c r="C1" s="2601"/>
      <c r="D1" s="2601"/>
      <c r="E1" s="2601"/>
      <c r="F1" s="2601"/>
      <c r="G1" s="2601"/>
      <c r="H1" s="2601"/>
      <c r="I1" s="2601"/>
      <c r="J1" s="1177"/>
    </row>
    <row r="2" spans="2:10" s="295" customFormat="1" ht="12.75" customHeight="1" x14ac:dyDescent="0.2">
      <c r="B2" s="2602" t="str">
        <f>'Single Audit Cover'!E7</f>
        <v>17-064-0050-26</v>
      </c>
      <c r="C2" s="2603"/>
      <c r="D2" s="2603"/>
      <c r="E2" s="2603"/>
      <c r="F2" s="2603"/>
      <c r="G2" s="2603"/>
      <c r="H2" s="2603"/>
      <c r="I2" s="2603"/>
      <c r="J2" s="1177"/>
    </row>
    <row r="3" spans="2:10" s="295" customFormat="1" ht="12.75" customHeight="1" x14ac:dyDescent="0.2">
      <c r="B3" s="2604" t="s">
        <v>1273</v>
      </c>
      <c r="C3" s="2605"/>
      <c r="D3" s="2605"/>
      <c r="E3" s="2605"/>
      <c r="F3" s="2605"/>
      <c r="G3" s="2605"/>
      <c r="H3" s="2605"/>
      <c r="I3" s="2605"/>
      <c r="J3" s="1178"/>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4" t="s">
        <v>1272</v>
      </c>
      <c r="C7" s="2605"/>
      <c r="D7" s="2605"/>
      <c r="E7" s="2605"/>
      <c r="F7" s="2605"/>
      <c r="G7" s="2605"/>
      <c r="H7" s="2605"/>
      <c r="I7" s="2605"/>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606" t="s">
        <v>2134</v>
      </c>
      <c r="D11" s="2606"/>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t="s">
        <v>2124</v>
      </c>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t="s">
        <v>2124</v>
      </c>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t="s">
        <v>2124</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t="s">
        <v>2124</v>
      </c>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t="s">
        <v>2124</v>
      </c>
      <c r="H27" s="1075" t="s">
        <v>1264</v>
      </c>
      <c r="I27" s="1075"/>
    </row>
    <row r="28" spans="2:9" s="295" customFormat="1" ht="12.75" customHeight="1" x14ac:dyDescent="0.2">
      <c r="B28" s="1137"/>
      <c r="C28" s="1057"/>
      <c r="E28" s="1033"/>
    </row>
    <row r="29" spans="2:9" s="295" customFormat="1" ht="12.75" customHeight="1" x14ac:dyDescent="0.2">
      <c r="B29" s="1137" t="s">
        <v>1263</v>
      </c>
      <c r="C29" s="1057"/>
      <c r="D29" s="2607" t="s">
        <v>2134</v>
      </c>
      <c r="E29" s="2607"/>
      <c r="F29" s="2607"/>
      <c r="G29" s="2607"/>
      <c r="H29" s="2607"/>
      <c r="I29" s="2607"/>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t="s">
        <v>2124</v>
      </c>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608" t="s">
        <v>1724</v>
      </c>
      <c r="D37" s="2609"/>
      <c r="E37" s="2609"/>
      <c r="F37" s="2610"/>
      <c r="G37" s="2608" t="s">
        <v>1574</v>
      </c>
      <c r="H37" s="2609"/>
      <c r="I37" s="2610"/>
    </row>
    <row r="38" spans="2:9" ht="16.5" customHeight="1" x14ac:dyDescent="0.2">
      <c r="B38" s="1199" t="s">
        <v>2135</v>
      </c>
      <c r="C38" s="2596" t="s">
        <v>2136</v>
      </c>
      <c r="D38" s="2597"/>
      <c r="E38" s="2597"/>
      <c r="F38" s="2598"/>
      <c r="G38" s="2611">
        <f>' SEFA (3)'!I21</f>
        <v>3643545</v>
      </c>
      <c r="H38" s="2612"/>
      <c r="I38" s="2613"/>
    </row>
    <row r="39" spans="2:9" ht="16.5" customHeight="1" x14ac:dyDescent="0.2">
      <c r="B39" s="1199"/>
      <c r="C39" s="2596"/>
      <c r="D39" s="2597"/>
      <c r="E39" s="2597"/>
      <c r="F39" s="2598"/>
      <c r="G39" s="2599"/>
      <c r="H39" s="2599"/>
      <c r="I39" s="2599"/>
    </row>
    <row r="40" spans="2:9" ht="16.5" customHeight="1" x14ac:dyDescent="0.2">
      <c r="B40" s="1199"/>
      <c r="C40" s="2596"/>
      <c r="D40" s="2597"/>
      <c r="E40" s="2597"/>
      <c r="F40" s="2598"/>
      <c r="G40" s="2599"/>
      <c r="H40" s="2599"/>
      <c r="I40" s="2599"/>
    </row>
    <row r="41" spans="2:9" ht="16.5" customHeight="1" x14ac:dyDescent="0.2">
      <c r="B41" s="1199"/>
      <c r="C41" s="2596"/>
      <c r="D41" s="2597"/>
      <c r="E41" s="2597"/>
      <c r="F41" s="2598"/>
      <c r="G41" s="2599"/>
      <c r="H41" s="2599"/>
      <c r="I41" s="2599"/>
    </row>
    <row r="42" spans="2:9" ht="16.5" customHeight="1" x14ac:dyDescent="0.2">
      <c r="B42" s="1199"/>
      <c r="C42" s="2596"/>
      <c r="D42" s="2597"/>
      <c r="E42" s="2597"/>
      <c r="F42" s="2598"/>
      <c r="G42" s="2599"/>
      <c r="H42" s="2599"/>
      <c r="I42" s="2599"/>
    </row>
    <row r="43" spans="2:9" ht="16.5" customHeight="1" x14ac:dyDescent="0.2">
      <c r="B43" s="1199"/>
      <c r="C43" s="2589" t="s">
        <v>1575</v>
      </c>
      <c r="D43" s="2590"/>
      <c r="E43" s="2590"/>
      <c r="F43" s="2591"/>
      <c r="G43" s="2592">
        <f>SUM(G38:I42)</f>
        <v>3643545</v>
      </c>
      <c r="H43" s="2592"/>
      <c r="I43" s="2592"/>
    </row>
    <row r="44" spans="2:9" ht="12.75" customHeight="1" x14ac:dyDescent="0.2"/>
    <row r="45" spans="2:9" ht="12.75" customHeight="1" x14ac:dyDescent="0.2">
      <c r="B45" s="1917" t="str">
        <f>"Total Federal Expenditures for 7/1/"&amp;MID('AFR20'!E2,3,2)-1&amp;"-6/30/"&amp;MID('AFR20'!E2,3,2)</f>
        <v>Total Federal Expenditures for 7/1/19-6/30/20</v>
      </c>
      <c r="C45" s="1918"/>
      <c r="D45" s="2593">
        <f>' SEFA (5)'!I23</f>
        <v>8866554</v>
      </c>
      <c r="E45" s="2594"/>
    </row>
    <row r="46" spans="2:9" ht="5.25" customHeight="1" x14ac:dyDescent="0.2">
      <c r="B46" s="1200"/>
      <c r="D46" s="1201"/>
      <c r="E46" s="1202"/>
    </row>
    <row r="47" spans="2:9" ht="12.75" customHeight="1" x14ac:dyDescent="0.2">
      <c r="B47" s="1075" t="s">
        <v>1576</v>
      </c>
      <c r="C47" s="1075"/>
      <c r="D47" s="1203">
        <f>+G43/D45</f>
        <v>0.41093134942842507</v>
      </c>
      <c r="E47" s="1204"/>
      <c r="F47" s="1205"/>
      <c r="I47" s="1206"/>
    </row>
    <row r="48" spans="2:9" ht="9.9499999999999993" customHeight="1" x14ac:dyDescent="0.2"/>
    <row r="49" spans="1:9" x14ac:dyDescent="0.2">
      <c r="B49" s="1137" t="s">
        <v>1261</v>
      </c>
      <c r="C49" s="1057"/>
      <c r="D49" s="1057"/>
      <c r="E49" s="2595">
        <v>750000</v>
      </c>
      <c r="F49" s="2595"/>
      <c r="G49" s="2595"/>
      <c r="H49" s="300"/>
    </row>
    <row r="51" spans="1:9" ht="13.5" customHeight="1" x14ac:dyDescent="0.2">
      <c r="B51" s="1137" t="s">
        <v>1260</v>
      </c>
      <c r="C51" s="1057"/>
      <c r="E51" s="1193"/>
      <c r="F51" s="1075" t="s">
        <v>878</v>
      </c>
      <c r="G51" s="1193" t="s">
        <v>2124</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fitToWidth="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McLean County Unit School District No. 5</v>
      </c>
      <c r="C1" s="2600"/>
      <c r="D1" s="2600"/>
      <c r="E1" s="2600"/>
      <c r="F1" s="2600"/>
      <c r="G1" s="2600"/>
      <c r="H1" s="2600"/>
      <c r="I1" s="2600"/>
      <c r="J1" s="2600"/>
      <c r="K1" s="2600"/>
      <c r="L1" s="1143"/>
      <c r="M1" s="1143"/>
    </row>
    <row r="2" spans="1:13" ht="12" customHeight="1" x14ac:dyDescent="0.2">
      <c r="B2" s="2602" t="str">
        <f>'Single Audit Cover'!E7</f>
        <v>17-064-0050-26</v>
      </c>
      <c r="C2" s="2602"/>
      <c r="D2" s="2602"/>
      <c r="E2" s="2602"/>
      <c r="F2" s="2602"/>
      <c r="G2" s="2602"/>
      <c r="H2" s="2602"/>
      <c r="I2" s="2602"/>
      <c r="J2" s="2602"/>
      <c r="K2" s="2602"/>
      <c r="L2" s="1144"/>
      <c r="M2" s="1145"/>
    </row>
    <row r="3" spans="1:13" ht="10.35" customHeight="1" x14ac:dyDescent="0.2">
      <c r="B3" s="2616" t="s">
        <v>1273</v>
      </c>
      <c r="C3" s="2616"/>
      <c r="D3" s="2616"/>
      <c r="E3" s="2616"/>
      <c r="F3" s="2616"/>
      <c r="G3" s="2616"/>
      <c r="H3" s="2616"/>
      <c r="I3" s="2616"/>
      <c r="J3" s="2616"/>
      <c r="K3" s="2616"/>
      <c r="L3" s="1146"/>
      <c r="M3" s="1146"/>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7" t="s">
        <v>1284</v>
      </c>
      <c r="C7" s="2617"/>
      <c r="D7" s="2618"/>
      <c r="E7" s="2618"/>
      <c r="F7" s="2618"/>
      <c r="G7" s="2618"/>
      <c r="H7" s="2618"/>
      <c r="I7" s="2618"/>
      <c r="J7" s="2618"/>
      <c r="K7" s="261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19" t="str">
        <f>'AFR20'!$E$2&amp;"-"</f>
        <v>2020-</v>
      </c>
      <c r="D10" s="1154" t="s">
        <v>2123</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15"/>
      <c r="C14" s="2615"/>
      <c r="D14" s="2615"/>
      <c r="E14" s="2615"/>
      <c r="F14" s="2615"/>
      <c r="G14" s="2615"/>
      <c r="H14" s="2615"/>
      <c r="I14" s="2615"/>
      <c r="J14" s="2615"/>
      <c r="K14" s="261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15"/>
      <c r="C17" s="2615"/>
      <c r="D17" s="2615"/>
      <c r="E17" s="2615"/>
      <c r="F17" s="2615"/>
      <c r="G17" s="2615"/>
      <c r="H17" s="2615"/>
      <c r="I17" s="2615"/>
      <c r="J17" s="2615"/>
      <c r="K17" s="2615"/>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619"/>
      <c r="C20" s="2619"/>
      <c r="D20" s="2615"/>
      <c r="E20" s="2615"/>
      <c r="F20" s="2615"/>
      <c r="G20" s="2615"/>
      <c r="H20" s="2615"/>
      <c r="I20" s="2615"/>
      <c r="J20" s="2615"/>
      <c r="K20" s="2615"/>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15"/>
      <c r="C23" s="2615"/>
      <c r="D23" s="2615"/>
      <c r="E23" s="2615"/>
      <c r="F23" s="2615"/>
      <c r="G23" s="2615"/>
      <c r="H23" s="2615"/>
      <c r="I23" s="2615"/>
      <c r="J23" s="2615"/>
      <c r="K23" s="2615"/>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15"/>
      <c r="C26" s="2615"/>
      <c r="D26" s="2615"/>
      <c r="E26" s="2615"/>
      <c r="F26" s="2615"/>
      <c r="G26" s="2615"/>
      <c r="H26" s="2615"/>
      <c r="I26" s="2615"/>
      <c r="J26" s="2615"/>
      <c r="K26" s="2615"/>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14"/>
      <c r="C29" s="2614"/>
      <c r="D29" s="2615"/>
      <c r="E29" s="2615"/>
      <c r="F29" s="2615"/>
      <c r="G29" s="2615"/>
      <c r="H29" s="2615"/>
      <c r="I29" s="2615"/>
      <c r="J29" s="2615"/>
      <c r="K29" s="261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14"/>
      <c r="C32" s="2614"/>
      <c r="D32" s="2615"/>
      <c r="E32" s="2615"/>
      <c r="F32" s="2615"/>
      <c r="G32" s="2615"/>
      <c r="H32" s="2615"/>
      <c r="I32" s="2615"/>
      <c r="J32" s="2615"/>
      <c r="K32" s="261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48"/>
  <sheetViews>
    <sheetView showGridLines="0" view="pageBreakPreview" zoomScaleNormal="110" zoomScaleSheetLayoutView="10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McLean County Unit School District No. 5</v>
      </c>
      <c r="C1" s="2623"/>
      <c r="D1" s="2623"/>
      <c r="E1" s="2623"/>
      <c r="F1" s="2623"/>
      <c r="G1" s="2623"/>
      <c r="H1" s="2623"/>
      <c r="I1" s="2623"/>
      <c r="J1" s="2623"/>
      <c r="K1" s="2623"/>
      <c r="L1" s="1220"/>
    </row>
    <row r="2" spans="1:12" ht="12.75" customHeight="1" x14ac:dyDescent="0.2">
      <c r="B2" s="2624" t="str">
        <f>'Single Audit Cover'!E7</f>
        <v>17-064-0050-26</v>
      </c>
      <c r="C2" s="2624"/>
      <c r="D2" s="2624"/>
      <c r="E2" s="2624"/>
      <c r="F2" s="2624"/>
      <c r="G2" s="2624"/>
      <c r="H2" s="2624"/>
      <c r="I2" s="2624"/>
      <c r="J2" s="2624"/>
      <c r="K2" s="2624"/>
      <c r="L2" s="1221"/>
    </row>
    <row r="3" spans="1:12" ht="12.75" customHeight="1" x14ac:dyDescent="0.2">
      <c r="B3" s="2616" t="s">
        <v>1273</v>
      </c>
      <c r="C3" s="2616"/>
      <c r="D3" s="2616"/>
      <c r="E3" s="2616"/>
      <c r="F3" s="2616"/>
      <c r="G3" s="2616"/>
      <c r="H3" s="2616"/>
      <c r="I3" s="2616"/>
      <c r="J3" s="2616"/>
      <c r="K3" s="2616"/>
      <c r="L3" s="1146"/>
    </row>
    <row r="4" spans="1:12" ht="12.75" customHeight="1" x14ac:dyDescent="0.2">
      <c r="B4" s="2616" t="str">
        <f>'Single Audit Cover'!A4</f>
        <v>Year Ending June 30, 2020</v>
      </c>
      <c r="C4" s="2616"/>
      <c r="D4" s="2616"/>
      <c r="E4" s="2616"/>
      <c r="F4" s="2616"/>
      <c r="G4" s="2616"/>
      <c r="H4" s="2616"/>
      <c r="I4" s="2616"/>
      <c r="J4" s="2616"/>
      <c r="K4" s="2616"/>
      <c r="L4" s="1146"/>
    </row>
    <row r="5" spans="1:12" ht="5.25" customHeight="1" x14ac:dyDescent="0.2">
      <c r="B5" s="1035" t="s">
        <v>1158</v>
      </c>
      <c r="C5" s="1035"/>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19" t="str">
        <f>'AFR20'!$E$2&amp;"-"</f>
        <v>2020-</v>
      </c>
      <c r="D8" s="1222" t="s">
        <v>2123</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07"/>
      <c r="G12" s="2607"/>
      <c r="H12" s="2607"/>
      <c r="I12" s="2607"/>
      <c r="J12" s="2607"/>
      <c r="K12" s="2607"/>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20"/>
      <c r="E14" s="2620"/>
      <c r="F14" s="2620"/>
      <c r="H14" s="1229" t="s">
        <v>1291</v>
      </c>
      <c r="I14" s="2621"/>
      <c r="J14" s="2621"/>
      <c r="K14" s="2621"/>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21"/>
      <c r="E16" s="2621"/>
      <c r="F16" s="2621"/>
      <c r="G16" s="2621"/>
      <c r="H16" s="2621"/>
      <c r="I16" s="2621"/>
      <c r="J16" s="2621"/>
      <c r="K16" s="2621"/>
      <c r="L16" s="300"/>
    </row>
    <row r="17" spans="2:12" ht="13.5" customHeight="1" x14ac:dyDescent="0.2">
      <c r="B17" s="1155" t="s">
        <v>1289</v>
      </c>
      <c r="C17" s="1155"/>
      <c r="D17" s="2622"/>
      <c r="E17" s="2622"/>
      <c r="F17" s="2622"/>
      <c r="G17" s="2622"/>
      <c r="H17" s="2622"/>
      <c r="I17" s="2622"/>
      <c r="J17" s="2622"/>
      <c r="K17" s="2622"/>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15"/>
      <c r="C20" s="2615"/>
      <c r="D20" s="2615"/>
      <c r="E20" s="2615"/>
      <c r="F20" s="2615"/>
      <c r="G20" s="2615"/>
      <c r="H20" s="2615"/>
      <c r="I20" s="2615"/>
      <c r="J20" s="2615"/>
      <c r="K20" s="261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52.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0" t="str">
        <f>'Single Audit Cover'!A7</f>
        <v>McLean County Unit School District No. 5</v>
      </c>
      <c r="C1" s="2600"/>
      <c r="D1" s="2600"/>
      <c r="E1" s="1239"/>
    </row>
    <row r="2" spans="2:5" s="1057" customFormat="1" ht="12.75" customHeight="1" x14ac:dyDescent="0.2">
      <c r="B2" s="2602" t="str">
        <f>'Single Audit Cover'!E7</f>
        <v>17-064-0050-26</v>
      </c>
      <c r="C2" s="2602"/>
      <c r="D2" s="2602"/>
      <c r="E2" s="1240"/>
    </row>
    <row r="3" spans="2:5" ht="12.75" customHeight="1" x14ac:dyDescent="0.2">
      <c r="B3" s="2616" t="s">
        <v>1739</v>
      </c>
      <c r="C3" s="2616"/>
      <c r="D3" s="2616"/>
      <c r="E3" s="1049"/>
    </row>
    <row r="4" spans="2:5" s="1057" customFormat="1" ht="12.75" customHeight="1" x14ac:dyDescent="0.2">
      <c r="B4" s="2626" t="str">
        <f>'Single Audit Cover'!A4</f>
        <v>Year Ending June 30, 2020</v>
      </c>
      <c r="C4" s="2626"/>
      <c r="D4" s="2626"/>
      <c r="E4" s="1241"/>
    </row>
    <row r="5" spans="2:5" s="1057" customFormat="1" ht="40.15" customHeight="1" x14ac:dyDescent="0.2">
      <c r="B5" s="1242" t="s">
        <v>1740</v>
      </c>
      <c r="C5" s="306"/>
      <c r="D5" s="306"/>
      <c r="E5" s="306"/>
    </row>
    <row r="6" spans="2:5" s="1057" customFormat="1" ht="13.5" customHeight="1" x14ac:dyDescent="0.2">
      <c r="B6" s="1243" t="s">
        <v>1303</v>
      </c>
      <c r="C6" s="1243" t="s">
        <v>1302</v>
      </c>
      <c r="D6" s="1243" t="s">
        <v>1741</v>
      </c>
    </row>
    <row r="7" spans="2:5" ht="42.75" customHeight="1" x14ac:dyDescent="0.2">
      <c r="B7" s="2042" t="s">
        <v>2137</v>
      </c>
      <c r="C7" s="2038" t="s">
        <v>2138</v>
      </c>
      <c r="D7" s="1194" t="s">
        <v>2172</v>
      </c>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1742</v>
      </c>
    </row>
    <row r="46" spans="2:5" ht="12.2" customHeight="1" x14ac:dyDescent="0.2">
      <c r="B46" s="1253" t="s">
        <v>1743</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scale="91" firstPageNumber="43" fitToHeight="0"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382</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2299341054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2.7199999999999998E-2</v>
      </c>
      <c r="E10" s="333" t="s">
        <v>997</v>
      </c>
      <c r="F10" s="332">
        <v>5.0000000000000001E-3</v>
      </c>
      <c r="G10" s="333" t="s">
        <v>997</v>
      </c>
      <c r="H10" s="332">
        <v>2E-3</v>
      </c>
      <c r="I10" s="333" t="s">
        <v>998</v>
      </c>
      <c r="J10" s="1423">
        <f>ROUND(D10+F10+H10,5)</f>
        <v>3.4200000000000001E-2</v>
      </c>
      <c r="K10" s="217"/>
      <c r="L10" s="332">
        <v>5.0000000000000001E-4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120306354</v>
      </c>
      <c r="E16" s="1546"/>
      <c r="F16" s="1545">
        <f>SUM('Acct Summary 7-8'!C17,'Acct Summary 7-8'!D17,'Acct Summary 7-8'!F17)</f>
        <v>134072971</v>
      </c>
      <c r="G16" s="1546"/>
      <c r="H16" s="1545">
        <f>SUM(D16-F16)</f>
        <v>-13766617</v>
      </c>
      <c r="I16" s="1547"/>
      <c r="J16" s="1545">
        <f>SUM('Acct Summary 7-8'!C81,'Acct Summary 7-8'!D81,'Acct Summary 7-8'!F81,'Acct Summary 7-8'!I81)</f>
        <v>54089353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317309065.45200002</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134294916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551</v>
      </c>
      <c r="B2" s="2215"/>
      <c r="C2" s="2215"/>
      <c r="D2" s="2215"/>
      <c r="E2" s="2215"/>
      <c r="F2" s="2215"/>
      <c r="G2" s="2215"/>
      <c r="H2" s="2215"/>
      <c r="I2" s="2215"/>
      <c r="J2" s="2215"/>
      <c r="K2" s="2215"/>
      <c r="L2" s="2215"/>
      <c r="M2" s="2215"/>
      <c r="N2" s="2215"/>
      <c r="O2" s="2215"/>
      <c r="P2" s="2215"/>
      <c r="Q2" s="2215"/>
      <c r="R2" s="2215"/>
    </row>
    <row r="3" spans="1:18" ht="12.75" x14ac:dyDescent="0.2">
      <c r="A3" s="2216" t="s">
        <v>1395</v>
      </c>
      <c r="B3" s="2216"/>
      <c r="C3" s="2216"/>
      <c r="D3" s="2216"/>
      <c r="E3" s="2216"/>
      <c r="F3" s="2216"/>
      <c r="G3" s="2216"/>
      <c r="H3" s="2216"/>
      <c r="I3" s="2216"/>
      <c r="J3" s="2216"/>
      <c r="K3" s="2216"/>
      <c r="L3" s="2216"/>
      <c r="M3" s="2216"/>
      <c r="N3" s="2216"/>
      <c r="O3" s="2216"/>
      <c r="P3" s="2216"/>
      <c r="Q3" s="2216"/>
      <c r="R3" s="2216"/>
    </row>
    <row r="4" spans="1:18" x14ac:dyDescent="0.2">
      <c r="A4" s="2217" t="s">
        <v>1536</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McLean County Unit School District No. 5</v>
      </c>
      <c r="E7" s="368"/>
      <c r="G7" s="247"/>
      <c r="H7" s="364"/>
      <c r="I7" s="364"/>
      <c r="J7" s="364"/>
      <c r="K7" s="364"/>
      <c r="L7" s="307"/>
      <c r="M7" s="307"/>
      <c r="N7" s="307"/>
      <c r="O7" s="307"/>
      <c r="P7" s="307"/>
    </row>
    <row r="8" spans="1:18" ht="12.75" x14ac:dyDescent="0.2">
      <c r="A8" s="307"/>
      <c r="B8" s="307"/>
      <c r="C8" s="366" t="s">
        <v>1114</v>
      </c>
      <c r="D8" s="369" t="str">
        <f>COVER!A13</f>
        <v>17-064-0050-26</v>
      </c>
      <c r="E8" s="370"/>
      <c r="G8" s="307"/>
      <c r="H8" s="307"/>
      <c r="I8" s="307"/>
      <c r="J8" s="307"/>
      <c r="K8" s="307"/>
      <c r="L8" s="307"/>
      <c r="M8" s="307"/>
      <c r="N8" s="307"/>
      <c r="O8" s="307"/>
      <c r="P8" s="307"/>
    </row>
    <row r="9" spans="1:18" ht="12.75" x14ac:dyDescent="0.2">
      <c r="A9" s="307"/>
      <c r="B9" s="307"/>
      <c r="C9" s="366" t="s">
        <v>707</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53860505</v>
      </c>
      <c r="I12" s="380"/>
      <c r="J12" s="380"/>
      <c r="K12" s="1558">
        <f>TRUNC((H12/H13*100000),5)/100000</f>
        <v>0.45221266860000003</v>
      </c>
      <c r="L12" s="381"/>
      <c r="M12" s="337" t="s">
        <v>1133</v>
      </c>
      <c r="N12" s="337"/>
      <c r="O12" s="1561">
        <v>0.35</v>
      </c>
      <c r="P12" s="213"/>
      <c r="Q12" s="213"/>
    </row>
    <row r="13" spans="1:18" s="382" customFormat="1" ht="12.75" x14ac:dyDescent="0.2">
      <c r="A13" s="213"/>
      <c r="B13" s="377"/>
      <c r="C13" s="2213" t="s">
        <v>1312</v>
      </c>
      <c r="D13" s="2214"/>
      <c r="E13" s="213"/>
      <c r="F13" s="383" t="s">
        <v>787</v>
      </c>
      <c r="G13" s="378"/>
      <c r="H13" s="1550">
        <f>SUM('Acct Summary 7-8'!C8+'Acct Summary 7-8'!D8+'Acct Summary 7-8'!F8+'Acct Summary 7-8'!I8)+H14</f>
        <v>119104370</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-1201984</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t="str">
        <f>IF(K17&gt;1.2,"1",IF(K17&gt;1.1,"2",IF(K17&gt;1,"3",4)))</f>
        <v>2</v>
      </c>
      <c r="P16" s="211"/>
      <c r="R16" s="361"/>
    </row>
    <row r="17" spans="1:18" s="382" customFormat="1" ht="11.25" x14ac:dyDescent="0.2">
      <c r="A17" s="213"/>
      <c r="B17" s="377"/>
      <c r="C17" s="213" t="s">
        <v>791</v>
      </c>
      <c r="D17" s="213"/>
      <c r="E17" s="213"/>
      <c r="F17" s="213" t="s">
        <v>440</v>
      </c>
      <c r="G17" s="378"/>
      <c r="H17" s="1550">
        <f>SUM('Acct Summary 7-8'!C17+'Acct Summary 7-8'!D17+'Acct Summary 7-8'!F17)</f>
        <v>134072971</v>
      </c>
      <c r="I17" s="380"/>
      <c r="J17" s="389"/>
      <c r="K17" s="1558">
        <f>TRUNC((H17/H18*100000),5)/100000</f>
        <v>1.1256763374000001</v>
      </c>
      <c r="L17" s="381"/>
      <c r="M17" s="390" t="s">
        <v>1160</v>
      </c>
      <c r="O17" s="1564" t="str">
        <f>IF(AND(O16="2", J20 &gt; 2),"1",IF(AND(O16 = "1", J20 &gt; 2),"2",IF(AND(O16="1", J20 &gt;1),"1","0")))</f>
        <v>1</v>
      </c>
      <c r="P17" s="213"/>
    </row>
    <row r="18" spans="1:18" s="382" customFormat="1" ht="11.25" x14ac:dyDescent="0.2">
      <c r="A18" s="213"/>
      <c r="B18" s="377"/>
      <c r="C18" s="2213" t="s">
        <v>1305</v>
      </c>
      <c r="D18" s="2214"/>
      <c r="E18" s="213"/>
      <c r="F18" s="391" t="s">
        <v>788</v>
      </c>
      <c r="G18" s="378"/>
      <c r="H18" s="1550">
        <f>SUM('Acct Summary 7-8'!C8+'Acct Summary 7-8'!D8+'Acct Summary 7-8'!F8+'Acct Summary 7-8'!I8)+H19</f>
        <v>119104370</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-1201984</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f>IF(K17&lt;=1,"0",TRUNC(((K12-0.1)/(K17-1)*100),5)/100)</f>
        <v>2.8025376</v>
      </c>
      <c r="K20" s="1558">
        <f>IF(K17&lt;=1,"0",IF(AND(O16="2", J20 &gt; 2),TRUNC(((K12-0.1)/(K17-1)*100),5)/100,IF(AND(O16 = "1", J20 &gt; 2),TRUNC(((K12-0.1)/(K17-1)*100),5)/100,IF(AND(O16="1", J20 &gt;1),TRUNC(((K12-0.1)/(K17-1)*100),5)/100,""))))</f>
        <v>2.8025376</v>
      </c>
      <c r="L20" s="213"/>
      <c r="M20" s="337" t="s">
        <v>1134</v>
      </c>
      <c r="N20" s="337"/>
      <c r="O20" s="1562">
        <f>(O16+O17)*O18</f>
        <v>1.0499999999999998</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3</v>
      </c>
      <c r="P23" s="211"/>
      <c r="R23" s="361"/>
    </row>
    <row r="24" spans="1:18" s="382" customFormat="1" ht="11.25" x14ac:dyDescent="0.2">
      <c r="A24" s="213"/>
      <c r="B24" s="377"/>
      <c r="C24" s="2210" t="s">
        <v>1394</v>
      </c>
      <c r="D24" s="2210"/>
      <c r="E24" s="213"/>
      <c r="F24" s="213" t="s">
        <v>441</v>
      </c>
      <c r="G24" s="378"/>
      <c r="H24" s="1550">
        <f>SUM('Assets-Liab 5-6'!C4+'Assets-Liab 5-6'!D4+'Assets-Liab 5-6'!F4+'Assets-Liab 5-6'!I4+'Assets-Liab 5-6'!C5+'Assets-Liab 5-6'!D5+'Assets-Liab 5-6'!F5+'Assets-Liab 5-6'!I5)</f>
        <v>53855411</v>
      </c>
      <c r="I24" s="394"/>
      <c r="J24" s="394"/>
      <c r="K24" s="1554">
        <f>TRUNC(((H24/H25*100000)/100000),2)</f>
        <v>144.6</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372424.91944000003</v>
      </c>
      <c r="I25" s="396"/>
      <c r="J25" s="396"/>
      <c r="K25" s="1557"/>
      <c r="L25" s="213"/>
      <c r="M25" s="337" t="s">
        <v>1134</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1889</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66841844.439779997</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3</v>
      </c>
      <c r="P31" s="211"/>
    </row>
    <row r="32" spans="1:18" s="382" customFormat="1" ht="11.25" x14ac:dyDescent="0.2">
      <c r="A32" s="213"/>
      <c r="B32" s="377"/>
      <c r="C32" s="213" t="s">
        <v>841</v>
      </c>
      <c r="D32" s="213"/>
      <c r="E32" s="213"/>
      <c r="F32" s="213"/>
      <c r="G32" s="378"/>
      <c r="H32" s="1550">
        <f>'FP Info 3'!H37</f>
        <v>134294916</v>
      </c>
      <c r="I32" s="392"/>
      <c r="J32" s="392"/>
      <c r="K32" s="1554">
        <f>TRUNC(100-((((H32/H33*100))*100)/100),2)</f>
        <v>57.67</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317309065.45200002</v>
      </c>
      <c r="I33" s="392"/>
      <c r="J33" s="392"/>
      <c r="K33" s="379"/>
      <c r="L33" s="213"/>
      <c r="M33" s="401" t="s">
        <v>1134</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3.45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0" zoomScaleNormal="8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9"/>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0" t="s">
        <v>966</v>
      </c>
      <c r="B3" s="2221"/>
      <c r="C3" s="1305"/>
      <c r="D3" s="1306"/>
      <c r="E3" s="1306"/>
      <c r="F3" s="1306"/>
      <c r="G3" s="1306"/>
      <c r="H3" s="1306"/>
      <c r="I3" s="1306"/>
      <c r="J3" s="1306"/>
      <c r="K3" s="1306"/>
      <c r="L3" s="1306"/>
      <c r="M3" s="1307"/>
      <c r="N3" s="1308"/>
    </row>
    <row r="4" spans="1:14" ht="13.5" customHeight="1" x14ac:dyDescent="0.2">
      <c r="A4" s="427" t="s">
        <v>1631</v>
      </c>
      <c r="B4" s="428"/>
      <c r="C4" s="1571">
        <f>5617141</f>
        <v>5617141</v>
      </c>
      <c r="D4" s="1572">
        <f>250377</f>
        <v>250377</v>
      </c>
      <c r="E4" s="1572">
        <f>12476694</f>
        <v>12476694</v>
      </c>
      <c r="F4" s="1572">
        <f>648987</f>
        <v>648987</v>
      </c>
      <c r="G4" s="1572">
        <f>1293259+350786</f>
        <v>1644045</v>
      </c>
      <c r="H4" s="1572"/>
      <c r="I4" s="1572">
        <v>10767606</v>
      </c>
      <c r="J4" s="1573"/>
      <c r="K4" s="1572">
        <f>3100239</f>
        <v>3100239</v>
      </c>
      <c r="L4" s="1572">
        <f>1713558+175950</f>
        <v>1889508</v>
      </c>
      <c r="M4" s="1574"/>
      <c r="N4" s="1575"/>
    </row>
    <row r="5" spans="1:14" x14ac:dyDescent="0.2">
      <c r="A5" s="427" t="s">
        <v>984</v>
      </c>
      <c r="B5" s="429">
        <v>120</v>
      </c>
      <c r="C5" s="1571"/>
      <c r="D5" s="1572"/>
      <c r="E5" s="1572"/>
      <c r="F5" s="1572"/>
      <c r="G5" s="1572"/>
      <c r="H5" s="1572"/>
      <c r="I5" s="1572">
        <v>36571300</v>
      </c>
      <c r="J5" s="1573"/>
      <c r="K5" s="1576">
        <v>853835</v>
      </c>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v>228848</v>
      </c>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v>5094</v>
      </c>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5622235</v>
      </c>
      <c r="D13" s="1586">
        <f t="shared" ref="D13:L13" si="0">SUM(D4:D12)</f>
        <v>250377</v>
      </c>
      <c r="E13" s="1586">
        <f t="shared" si="0"/>
        <v>12476694</v>
      </c>
      <c r="F13" s="1586">
        <f t="shared" si="0"/>
        <v>648987</v>
      </c>
      <c r="G13" s="1586">
        <f t="shared" si="0"/>
        <v>1644045</v>
      </c>
      <c r="H13" s="1586">
        <f t="shared" si="0"/>
        <v>0</v>
      </c>
      <c r="I13" s="1586">
        <f t="shared" si="0"/>
        <v>47567754</v>
      </c>
      <c r="J13" s="1586">
        <f t="shared" si="0"/>
        <v>0</v>
      </c>
      <c r="K13" s="1586">
        <f t="shared" si="0"/>
        <v>3954074</v>
      </c>
      <c r="L13" s="1586">
        <f t="shared" si="0"/>
        <v>1889508</v>
      </c>
      <c r="M13" s="1574"/>
      <c r="N13" s="1575"/>
    </row>
    <row r="14" spans="1:14" ht="18" customHeight="1" thickTop="1" x14ac:dyDescent="0.2">
      <c r="A14" s="2222" t="s">
        <v>146</v>
      </c>
      <c r="B14" s="2223"/>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f>'Cap Outlay Deprec 26'!L5</f>
        <v>2960561</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f>'Cap Outlay Deprec 26'!L8+'Cap Outlay Deprec 26'!L9</f>
        <v>130682018</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f>'Cap Outlay Deprec 26'!L10</f>
        <v>44323267</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f>'Cap Outlay Deprec 26'!L12+'Cap Outlay Deprec 26'!L13</f>
        <v>11853805</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f>'Cap Outlay Deprec 26'!L15</f>
        <v>408672</v>
      </c>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f>E13</f>
        <v>12476694</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6">
        <f>'Short-Term Long-Term Debt 24'!J49</f>
        <v>121818222</v>
      </c>
    </row>
    <row r="23" spans="1:14" ht="13.5" customHeight="1" thickBot="1" x14ac:dyDescent="0.25">
      <c r="A23" s="1425" t="s">
        <v>637</v>
      </c>
      <c r="B23" s="1428"/>
      <c r="C23" s="1574"/>
      <c r="D23" s="1574"/>
      <c r="E23" s="1574"/>
      <c r="F23" s="1574"/>
      <c r="G23" s="1574"/>
      <c r="H23" s="1574"/>
      <c r="I23" s="1574"/>
      <c r="J23" s="1574"/>
      <c r="K23" s="1574"/>
      <c r="L23" s="1574"/>
      <c r="M23" s="1593">
        <f>SUM(M15:M22)</f>
        <v>190228323</v>
      </c>
      <c r="N23" s="1593">
        <f>SUM(N21:N22)</f>
        <v>134294916</v>
      </c>
    </row>
    <row r="24" spans="1:14" ht="18" customHeight="1" thickTop="1" x14ac:dyDescent="0.2">
      <c r="A24" s="2224" t="s">
        <v>593</v>
      </c>
      <c r="B24" s="2225"/>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v>228848</v>
      </c>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v>1713558</v>
      </c>
      <c r="M33" s="1574"/>
      <c r="N33" s="1575"/>
    </row>
    <row r="34" spans="1:14" ht="13.5" customHeight="1" thickBot="1" x14ac:dyDescent="0.25">
      <c r="A34" s="1426" t="s">
        <v>648</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228848</v>
      </c>
      <c r="K34" s="1599">
        <f t="shared" si="1"/>
        <v>0</v>
      </c>
      <c r="L34" s="1600">
        <f>SUM(L33)</f>
        <v>1713558</v>
      </c>
      <c r="M34" s="1574"/>
      <c r="N34" s="1584"/>
    </row>
    <row r="35" spans="1:14" ht="18" customHeight="1" thickTop="1" x14ac:dyDescent="0.2">
      <c r="A35" s="2226" t="s">
        <v>525</v>
      </c>
      <c r="B35" s="2227"/>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134294916</v>
      </c>
    </row>
    <row r="37" spans="1:14" ht="13.5" thickBot="1" x14ac:dyDescent="0.25">
      <c r="A37" s="1425" t="s">
        <v>647</v>
      </c>
      <c r="B37" s="1428"/>
      <c r="C37" s="1581"/>
      <c r="D37" s="1581"/>
      <c r="E37" s="1581"/>
      <c r="F37" s="1581"/>
      <c r="G37" s="1581"/>
      <c r="H37" s="1581"/>
      <c r="I37" s="1581"/>
      <c r="J37" s="1581"/>
      <c r="K37" s="1581"/>
      <c r="L37" s="1584"/>
      <c r="M37" s="1574"/>
      <c r="N37" s="1593">
        <f>SUM(N36:N36)</f>
        <v>134294916</v>
      </c>
    </row>
    <row r="38" spans="1:14" s="307" customFormat="1" ht="13.5" customHeight="1" thickTop="1" x14ac:dyDescent="0.2">
      <c r="A38" s="438" t="s">
        <v>416</v>
      </c>
      <c r="B38" s="432">
        <v>714</v>
      </c>
      <c r="C38" s="1572"/>
      <c r="D38" s="1572"/>
      <c r="E38" s="1572"/>
      <c r="F38" s="1572"/>
      <c r="G38" s="1572"/>
      <c r="H38" s="1572"/>
      <c r="I38" s="1572"/>
      <c r="J38" s="1573"/>
      <c r="K38" s="1572"/>
      <c r="L38" s="1585">
        <v>175950</v>
      </c>
      <c r="M38" s="1603"/>
      <c r="N38" s="1603"/>
    </row>
    <row r="39" spans="1:14" s="307" customFormat="1" ht="13.5" customHeight="1" x14ac:dyDescent="0.2">
      <c r="A39" s="438" t="s">
        <v>338</v>
      </c>
      <c r="B39" s="432">
        <v>730</v>
      </c>
      <c r="C39" s="1572">
        <f>'Acct Summary 7-8'!C81</f>
        <v>5622235</v>
      </c>
      <c r="D39" s="1572">
        <f>'Acct Summary 7-8'!D81</f>
        <v>250377</v>
      </c>
      <c r="E39" s="1572">
        <f>'Acct Summary 7-8'!E81</f>
        <v>12476694</v>
      </c>
      <c r="F39" s="1572">
        <f>'Acct Summary 7-8'!F81</f>
        <v>648987</v>
      </c>
      <c r="G39" s="1572">
        <f>'Acct Summary 7-8'!G81</f>
        <v>1644045</v>
      </c>
      <c r="H39" s="1572"/>
      <c r="I39" s="1572">
        <f>'Acct Summary 7-8'!I81</f>
        <v>47567754</v>
      </c>
      <c r="J39" s="1573">
        <f>'Acct Summary 7-8'!J81</f>
        <v>-228848</v>
      </c>
      <c r="K39" s="1572">
        <f>'Acct Summary 7-8'!K81</f>
        <v>3954074</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190228323</v>
      </c>
      <c r="N40" s="1603"/>
    </row>
    <row r="41" spans="1:14" ht="13.5" customHeight="1" thickBot="1" x14ac:dyDescent="0.25">
      <c r="A41" s="1425" t="s">
        <v>649</v>
      </c>
      <c r="B41" s="1404"/>
      <c r="C41" s="1593">
        <f>(SUM(C34,C37,C38,C39))</f>
        <v>5622235</v>
      </c>
      <c r="D41" s="1593">
        <f t="shared" ref="D41:L41" si="2">SUM(D34,D37,D38:D39)</f>
        <v>250377</v>
      </c>
      <c r="E41" s="1593">
        <f t="shared" si="2"/>
        <v>12476694</v>
      </c>
      <c r="F41" s="1593">
        <f t="shared" si="2"/>
        <v>648987</v>
      </c>
      <c r="G41" s="1593">
        <f t="shared" si="2"/>
        <v>1644045</v>
      </c>
      <c r="H41" s="1593">
        <f t="shared" si="2"/>
        <v>0</v>
      </c>
      <c r="I41" s="1593">
        <f t="shared" si="2"/>
        <v>47567754</v>
      </c>
      <c r="J41" s="1593">
        <f t="shared" si="2"/>
        <v>0</v>
      </c>
      <c r="K41" s="1593">
        <f t="shared" si="2"/>
        <v>3954074</v>
      </c>
      <c r="L41" s="1593">
        <f t="shared" si="2"/>
        <v>1889508</v>
      </c>
      <c r="M41" s="1593">
        <f>SUM(M40)</f>
        <v>190228323</v>
      </c>
      <c r="N41" s="1593">
        <f>SUM(N37)</f>
        <v>134294916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90" zoomScaleNormal="9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7"/>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8" t="s">
        <v>1164</v>
      </c>
      <c r="B3" s="2249"/>
      <c r="C3" s="1310"/>
      <c r="D3" s="1311"/>
      <c r="E3" s="1311"/>
      <c r="F3" s="1311"/>
      <c r="G3" s="1311"/>
      <c r="H3" s="1311"/>
      <c r="I3" s="1311"/>
      <c r="J3" s="1311"/>
      <c r="K3" s="1312"/>
      <c r="L3" s="446"/>
    </row>
    <row r="4" spans="1:13" ht="15.75" customHeight="1" x14ac:dyDescent="0.2">
      <c r="A4" s="1536" t="s">
        <v>1481</v>
      </c>
      <c r="B4" s="1537">
        <v>1000</v>
      </c>
      <c r="C4" s="1605">
        <f>'Revenues 9-14'!C109</f>
        <v>63033163</v>
      </c>
      <c r="D4" s="1605">
        <f>'Revenues 9-14'!D109</f>
        <v>11462345</v>
      </c>
      <c r="E4" s="1605">
        <f>'Revenues 9-14'!E109</f>
        <v>26817224</v>
      </c>
      <c r="F4" s="1605">
        <f>'Revenues 9-14'!F109</f>
        <v>4056418</v>
      </c>
      <c r="G4" s="1605">
        <f>'Revenues 9-14'!G109</f>
        <v>4072539</v>
      </c>
      <c r="H4" s="1605">
        <f>'Revenues 9-14'!H109</f>
        <v>0</v>
      </c>
      <c r="I4" s="1605">
        <f>'Revenues 9-14'!I109</f>
        <v>1216587</v>
      </c>
      <c r="J4" s="1605">
        <f>'Revenues 9-14'!J109</f>
        <v>5024620</v>
      </c>
      <c r="K4" s="1605">
        <f>'Revenues 9-14'!K109</f>
        <v>1197400</v>
      </c>
      <c r="L4" s="325"/>
    </row>
    <row r="5" spans="1:13" ht="15.75" customHeight="1" x14ac:dyDescent="0.2">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5"/>
    </row>
    <row r="6" spans="1:13" ht="15.75" customHeight="1" x14ac:dyDescent="0.2">
      <c r="A6" s="1313" t="s">
        <v>1483</v>
      </c>
      <c r="B6" s="1315">
        <v>3000</v>
      </c>
      <c r="C6" s="1606">
        <f>'Revenues 9-14'!C170</f>
        <v>24949060</v>
      </c>
      <c r="D6" s="1606">
        <f>'Revenues 9-14'!D170</f>
        <v>50000</v>
      </c>
      <c r="E6" s="1606">
        <f>'Revenues 9-14'!E170</f>
        <v>0</v>
      </c>
      <c r="F6" s="1606">
        <f>'Revenues 9-14'!F170</f>
        <v>6504360</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1484</v>
      </c>
      <c r="B7" s="1315">
        <v>4000</v>
      </c>
      <c r="C7" s="1606">
        <f>'Revenues 9-14'!C267</f>
        <v>9034421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1161</v>
      </c>
      <c r="B8" s="1406"/>
      <c r="C8" s="1593">
        <f>SUM(C4:C7)</f>
        <v>97016644</v>
      </c>
      <c r="D8" s="1593">
        <f t="shared" ref="D8:K8" si="0">SUM(D4:D7)</f>
        <v>11512345</v>
      </c>
      <c r="E8" s="1593">
        <f t="shared" si="0"/>
        <v>26817224</v>
      </c>
      <c r="F8" s="1593">
        <f t="shared" si="0"/>
        <v>10560778</v>
      </c>
      <c r="G8" s="1593">
        <f t="shared" si="0"/>
        <v>4072539</v>
      </c>
      <c r="H8" s="1593">
        <f t="shared" si="0"/>
        <v>0</v>
      </c>
      <c r="I8" s="1593">
        <f t="shared" si="0"/>
        <v>1216587</v>
      </c>
      <c r="J8" s="1593">
        <f t="shared" si="0"/>
        <v>5024620</v>
      </c>
      <c r="K8" s="1593">
        <f t="shared" si="0"/>
        <v>1197400</v>
      </c>
      <c r="L8" s="325"/>
    </row>
    <row r="9" spans="1:13" ht="15.75" thickTop="1" x14ac:dyDescent="0.2">
      <c r="A9" s="449" t="s">
        <v>1633</v>
      </c>
      <c r="B9" s="450">
        <v>3998</v>
      </c>
      <c r="C9" s="1585">
        <v>56397782</v>
      </c>
      <c r="D9" s="1612"/>
      <c r="E9" s="1585"/>
      <c r="F9" s="1585"/>
      <c r="G9" s="1613"/>
      <c r="H9" s="1585"/>
      <c r="I9" s="1608" t="s">
        <v>1158</v>
      </c>
      <c r="J9" s="1582"/>
      <c r="K9" s="1585"/>
      <c r="L9" s="325"/>
    </row>
    <row r="10" spans="1:13" s="452" customFormat="1" ht="13.5" thickBot="1" x14ac:dyDescent="0.25">
      <c r="A10" s="1425" t="s">
        <v>1162</v>
      </c>
      <c r="B10" s="1406"/>
      <c r="C10" s="1593">
        <f>SUM(C8:C9)</f>
        <v>153414426</v>
      </c>
      <c r="D10" s="1593">
        <f t="shared" ref="D10:K10" si="1">SUM(D8:D9)</f>
        <v>11512345</v>
      </c>
      <c r="E10" s="1593">
        <f t="shared" si="1"/>
        <v>26817224</v>
      </c>
      <c r="F10" s="1593">
        <f t="shared" si="1"/>
        <v>10560778</v>
      </c>
      <c r="G10" s="1593">
        <f t="shared" si="1"/>
        <v>4072539</v>
      </c>
      <c r="H10" s="1593">
        <f t="shared" si="1"/>
        <v>0</v>
      </c>
      <c r="I10" s="1593">
        <f t="shared" si="1"/>
        <v>1216587</v>
      </c>
      <c r="J10" s="1593">
        <f t="shared" si="1"/>
        <v>5024620</v>
      </c>
      <c r="K10" s="1593">
        <f t="shared" si="1"/>
        <v>1197400</v>
      </c>
      <c r="L10" s="451"/>
    </row>
    <row r="11" spans="1:13" s="452" customFormat="1" ht="16.7" customHeight="1" thickTop="1" x14ac:dyDescent="0.2">
      <c r="A11" s="2222" t="s">
        <v>1165</v>
      </c>
      <c r="B11" s="2223"/>
      <c r="C11" s="1601"/>
      <c r="D11" s="1602"/>
      <c r="E11" s="1602"/>
      <c r="F11" s="1602"/>
      <c r="G11" s="1602"/>
      <c r="H11" s="1602"/>
      <c r="I11" s="1602"/>
      <c r="J11" s="1602"/>
      <c r="K11" s="1614"/>
      <c r="L11" s="451"/>
    </row>
    <row r="12" spans="1:13" ht="15.75" customHeight="1" x14ac:dyDescent="0.2">
      <c r="A12" s="1313" t="s">
        <v>452</v>
      </c>
      <c r="B12" s="1315">
        <v>1000</v>
      </c>
      <c r="C12" s="1605">
        <f>'Expenditures 15-22'!K33</f>
        <v>83698204</v>
      </c>
      <c r="D12" s="1615" t="s">
        <v>1158</v>
      </c>
      <c r="E12" s="1574" t="s">
        <v>1158</v>
      </c>
      <c r="F12" s="1574" t="s">
        <v>1158</v>
      </c>
      <c r="G12" s="1605">
        <f>'Expenditures 15-22'!K229</f>
        <v>2139379</v>
      </c>
      <c r="H12" s="1616"/>
      <c r="I12" s="1574" t="s">
        <v>1158</v>
      </c>
      <c r="J12" s="1574" t="s">
        <v>1158</v>
      </c>
      <c r="K12" s="1616" t="s">
        <v>1158</v>
      </c>
      <c r="L12" s="325"/>
    </row>
    <row r="13" spans="1:13" ht="15.75" customHeight="1" x14ac:dyDescent="0.2">
      <c r="A13" s="1313" t="s">
        <v>453</v>
      </c>
      <c r="B13" s="1315">
        <v>2000</v>
      </c>
      <c r="C13" s="1606">
        <f>'Expenditures 15-22'!K74</f>
        <v>26433171</v>
      </c>
      <c r="D13" s="1606">
        <f>'Expenditures 15-22'!K129</f>
        <v>11943221</v>
      </c>
      <c r="E13" s="1575" t="s">
        <v>1158</v>
      </c>
      <c r="F13" s="1606">
        <f>'Expenditures 15-22'!K184</f>
        <v>10261853</v>
      </c>
      <c r="G13" s="1606">
        <f>'Expenditures 15-22'!K279</f>
        <v>2342124</v>
      </c>
      <c r="H13" s="1606">
        <f>'Expenditures 15-22'!K303</f>
        <v>0</v>
      </c>
      <c r="I13" s="1574" t="s">
        <v>1158</v>
      </c>
      <c r="J13" s="1606">
        <f>'Expenditures 15-22'!K330</f>
        <v>5709571</v>
      </c>
      <c r="K13" s="1617">
        <f>'Expenditures 15-22'!K352</f>
        <v>5731846</v>
      </c>
      <c r="L13" s="325"/>
    </row>
    <row r="14" spans="1:13" ht="15.75" customHeight="1" x14ac:dyDescent="0.2">
      <c r="A14" s="1313" t="s">
        <v>445</v>
      </c>
      <c r="B14" s="1315">
        <v>3000</v>
      </c>
      <c r="C14" s="1606">
        <f>'Expenditures 15-22'!K75</f>
        <v>623807</v>
      </c>
      <c r="D14" s="1606">
        <f>'Expenditures 15-22'!K130</f>
        <v>0</v>
      </c>
      <c r="E14" s="1615" t="s">
        <v>1158</v>
      </c>
      <c r="F14" s="1606">
        <f>'Expenditures 15-22'!K185</f>
        <v>0</v>
      </c>
      <c r="G14" s="1606">
        <f>'Expenditures 15-22'!K280</f>
        <v>62361</v>
      </c>
      <c r="H14" s="1611"/>
      <c r="I14" s="1574" t="s">
        <v>1158</v>
      </c>
      <c r="J14" s="1574" t="s">
        <v>1158</v>
      </c>
      <c r="K14" s="1611" t="s">
        <v>1158</v>
      </c>
      <c r="L14" s="325"/>
    </row>
    <row r="15" spans="1:13" ht="15.75" customHeight="1" x14ac:dyDescent="0.2">
      <c r="A15" s="1313" t="s">
        <v>107</v>
      </c>
      <c r="B15" s="1315">
        <v>4000</v>
      </c>
      <c r="C15" s="1606">
        <f>'Expenditures 15-22'!K102</f>
        <v>589257</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5"/>
    </row>
    <row r="16" spans="1:13" ht="15.75" customHeight="1" x14ac:dyDescent="0.2">
      <c r="A16" s="1313" t="s">
        <v>446</v>
      </c>
      <c r="B16" s="1315">
        <v>5000</v>
      </c>
      <c r="C16" s="1606">
        <f>'Expenditures 15-22'!K112</f>
        <v>37396</v>
      </c>
      <c r="D16" s="1606">
        <f>'Expenditures 15-22'!K149</f>
        <v>0</v>
      </c>
      <c r="E16" s="1606">
        <f>'Expenditures 15-22'!K172</f>
        <v>31320257</v>
      </c>
      <c r="F16" s="1606">
        <f>'Expenditures 15-22'!K208</f>
        <v>486062</v>
      </c>
      <c r="G16" s="1606">
        <f>'Expenditures 15-22'!K293</f>
        <v>0</v>
      </c>
      <c r="H16" s="1619"/>
      <c r="I16" s="1574" t="s">
        <v>1158</v>
      </c>
      <c r="J16" s="1620">
        <f>'Expenditures 15-22'!K340</f>
        <v>0</v>
      </c>
      <c r="K16" s="1606">
        <f>'Expenditures 15-22'!K365</f>
        <v>0</v>
      </c>
      <c r="L16" s="325"/>
    </row>
    <row r="17" spans="1:12" ht="13.5" thickBot="1" x14ac:dyDescent="0.25">
      <c r="A17" s="1405" t="s">
        <v>48</v>
      </c>
      <c r="B17" s="1406"/>
      <c r="C17" s="1593">
        <f t="shared" ref="C17:H17" si="2">SUM(C12:C16)</f>
        <v>111381835</v>
      </c>
      <c r="D17" s="1593">
        <f t="shared" si="2"/>
        <v>11943221</v>
      </c>
      <c r="E17" s="1593">
        <f t="shared" si="2"/>
        <v>31320257</v>
      </c>
      <c r="F17" s="1593">
        <f t="shared" si="2"/>
        <v>10747915</v>
      </c>
      <c r="G17" s="1593">
        <f t="shared" si="2"/>
        <v>4543864</v>
      </c>
      <c r="H17" s="1593">
        <f t="shared" si="2"/>
        <v>0</v>
      </c>
      <c r="I17" s="1574"/>
      <c r="J17" s="1593">
        <f>SUM(J12:J16)</f>
        <v>5709571</v>
      </c>
      <c r="K17" s="1593">
        <f>SUM(K12:K16)</f>
        <v>5731846</v>
      </c>
      <c r="L17" s="325"/>
    </row>
    <row r="18" spans="1:12" ht="15" customHeight="1" thickTop="1" x14ac:dyDescent="0.2">
      <c r="A18" s="1429" t="s">
        <v>1634</v>
      </c>
      <c r="B18" s="1430">
        <v>4180</v>
      </c>
      <c r="C18" s="1605">
        <f t="shared" ref="C18:H18" si="3">C9</f>
        <v>56397782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167779617</v>
      </c>
      <c r="D19" s="1593">
        <f t="shared" si="4"/>
        <v>11943221</v>
      </c>
      <c r="E19" s="1593">
        <f t="shared" si="4"/>
        <v>31320257</v>
      </c>
      <c r="F19" s="1593">
        <f t="shared" si="4"/>
        <v>10747915</v>
      </c>
      <c r="G19" s="1593">
        <f t="shared" si="4"/>
        <v>4543864</v>
      </c>
      <c r="H19" s="1593">
        <f t="shared" si="4"/>
        <v>0</v>
      </c>
      <c r="I19" s="1574"/>
      <c r="J19" s="1593">
        <f>SUM(J17:J18)</f>
        <v>5709571</v>
      </c>
      <c r="K19" s="1593">
        <f>SUM(K17:K18)</f>
        <v>5731846</v>
      </c>
      <c r="L19" s="325"/>
    </row>
    <row r="20" spans="1:12" ht="16.5" thickTop="1" thickBot="1" x14ac:dyDescent="0.25">
      <c r="A20" s="2238" t="s">
        <v>1635</v>
      </c>
      <c r="B20" s="2239"/>
      <c r="C20" s="1621">
        <f>C8-C17</f>
        <v>-14365191</v>
      </c>
      <c r="D20" s="1621">
        <f t="shared" ref="D20:K20" si="5">D8-D17</f>
        <v>-430876</v>
      </c>
      <c r="E20" s="1621">
        <f t="shared" si="5"/>
        <v>-4503033</v>
      </c>
      <c r="F20" s="1621">
        <f t="shared" si="5"/>
        <v>-187137</v>
      </c>
      <c r="G20" s="1621">
        <f t="shared" si="5"/>
        <v>-471325</v>
      </c>
      <c r="H20" s="1621">
        <f t="shared" si="5"/>
        <v>0</v>
      </c>
      <c r="I20" s="1621">
        <f t="shared" si="5"/>
        <v>1216587</v>
      </c>
      <c r="J20" s="1621">
        <f t="shared" si="5"/>
        <v>-684951</v>
      </c>
      <c r="K20" s="1621">
        <f t="shared" si="5"/>
        <v>-4534446</v>
      </c>
      <c r="L20" s="325"/>
    </row>
    <row r="21" spans="1:12" ht="16.7" customHeight="1" thickTop="1" x14ac:dyDescent="0.2">
      <c r="A21" s="2250" t="s">
        <v>590</v>
      </c>
      <c r="B21" s="2251"/>
      <c r="C21" s="1601"/>
      <c r="D21" s="1602"/>
      <c r="E21" s="1602"/>
      <c r="F21" s="1602"/>
      <c r="G21" s="1602"/>
      <c r="H21" s="1602"/>
      <c r="I21" s="1602"/>
      <c r="J21" s="1602"/>
      <c r="K21" s="1614"/>
      <c r="L21" s="453"/>
    </row>
    <row r="22" spans="1:12" ht="15.75" customHeight="1" collapsed="1" x14ac:dyDescent="0.2">
      <c r="A22" s="2246" t="s">
        <v>591</v>
      </c>
      <c r="B22" s="2247"/>
      <c r="C22" s="1581"/>
      <c r="D22" s="1581"/>
      <c r="E22" s="1581"/>
      <c r="F22" s="1581"/>
      <c r="G22" s="1581"/>
      <c r="H22" s="1581"/>
      <c r="I22" s="1581"/>
      <c r="J22" s="1581"/>
      <c r="K22" s="1581"/>
      <c r="L22" s="325"/>
    </row>
    <row r="23" spans="1:12" s="433" customFormat="1" ht="15.75" customHeight="1" x14ac:dyDescent="0.2">
      <c r="A23" s="2242" t="s">
        <v>289</v>
      </c>
      <c r="B23" s="2243"/>
      <c r="C23" s="1584"/>
      <c r="D23" s="1581"/>
      <c r="E23" s="1581"/>
      <c r="F23" s="1581"/>
      <c r="G23" s="1581"/>
      <c r="H23" s="1581"/>
      <c r="I23" s="1581"/>
      <c r="J23" s="1581"/>
      <c r="K23" s="1581"/>
      <c r="L23" s="453"/>
    </row>
    <row r="24" spans="1:12" s="433" customFormat="1" ht="13.5" customHeight="1" x14ac:dyDescent="0.2">
      <c r="A24" s="1259" t="s">
        <v>1636</v>
      </c>
      <c r="B24" s="454">
        <v>7110</v>
      </c>
      <c r="C24" s="1573"/>
      <c r="D24" s="1581"/>
      <c r="E24" s="1581"/>
      <c r="F24" s="1581"/>
      <c r="G24" s="1581"/>
      <c r="H24" s="1581"/>
      <c r="I24" s="1581"/>
      <c r="J24" s="1581"/>
      <c r="K24" s="1581"/>
      <c r="L24" s="453"/>
    </row>
    <row r="25" spans="1:12" s="433" customFormat="1" ht="13.5" customHeight="1" x14ac:dyDescent="0.2">
      <c r="A25" s="1259" t="s">
        <v>1637</v>
      </c>
      <c r="B25" s="454">
        <v>7110</v>
      </c>
      <c r="C25" s="1573">
        <v>9882069</v>
      </c>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1767</v>
      </c>
      <c r="B30" s="455">
        <v>7160</v>
      </c>
      <c r="C30" s="1581"/>
      <c r="D30" s="1573"/>
      <c r="E30" s="1581"/>
      <c r="F30" s="1581"/>
      <c r="G30" s="1581"/>
      <c r="H30" s="1581"/>
      <c r="I30" s="1581"/>
      <c r="J30" s="1581"/>
      <c r="K30" s="1581"/>
      <c r="L30" s="453"/>
    </row>
    <row r="31" spans="1:12" s="433" customFormat="1" ht="26.25" x14ac:dyDescent="0.2">
      <c r="A31" s="1259" t="s">
        <v>1771</v>
      </c>
      <c r="B31" s="455">
        <v>7170</v>
      </c>
      <c r="C31" s="1581"/>
      <c r="D31" s="1581"/>
      <c r="E31" s="1578"/>
      <c r="F31" s="1581"/>
      <c r="G31" s="1581"/>
      <c r="H31" s="1581"/>
      <c r="I31" s="1581"/>
      <c r="J31" s="1581"/>
      <c r="K31" s="1581"/>
      <c r="L31" s="453"/>
    </row>
    <row r="32" spans="1:12" s="433" customFormat="1" ht="15.75" customHeight="1" x14ac:dyDescent="0.2">
      <c r="A32" s="2244" t="s">
        <v>973</v>
      </c>
      <c r="B32" s="2245"/>
      <c r="C32" s="1581"/>
      <c r="D32" s="1581"/>
      <c r="E32" s="1579"/>
      <c r="F32" s="1581"/>
      <c r="G32" s="1581"/>
      <c r="H32" s="1581"/>
      <c r="I32" s="1581"/>
      <c r="J32" s="1581"/>
      <c r="K32" s="1581"/>
      <c r="L32" s="453"/>
    </row>
    <row r="33" spans="1:12" s="433" customFormat="1" x14ac:dyDescent="0.2">
      <c r="A33" s="1259" t="s">
        <v>408</v>
      </c>
      <c r="B33" s="454">
        <v>7210</v>
      </c>
      <c r="C33" s="1573"/>
      <c r="D33" s="1573"/>
      <c r="E33" s="1573"/>
      <c r="F33" s="1573"/>
      <c r="G33" s="1581"/>
      <c r="H33" s="1573"/>
      <c r="I33" s="1573">
        <v>29000000</v>
      </c>
      <c r="J33" s="1573"/>
      <c r="K33" s="1573"/>
      <c r="L33" s="453"/>
    </row>
    <row r="34" spans="1:12" s="433" customFormat="1" x14ac:dyDescent="0.2">
      <c r="A34" s="1259" t="s">
        <v>993</v>
      </c>
      <c r="B34" s="454">
        <v>7220</v>
      </c>
      <c r="C34" s="1573"/>
      <c r="D34" s="1573"/>
      <c r="E34" s="1573"/>
      <c r="F34" s="1573"/>
      <c r="G34" s="1581"/>
      <c r="H34" s="1582"/>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1638</v>
      </c>
      <c r="B36" s="454">
        <v>7300</v>
      </c>
      <c r="C36" s="1573"/>
      <c r="D36" s="1573">
        <v>750</v>
      </c>
      <c r="E36" s="1573"/>
      <c r="F36" s="1573">
        <v>1300</v>
      </c>
      <c r="G36" s="1573"/>
      <c r="H36" s="1573"/>
      <c r="I36" s="1579"/>
      <c r="J36" s="1573"/>
      <c r="K36" s="1573"/>
      <c r="L36" s="453"/>
    </row>
    <row r="37" spans="1:12" s="433" customFormat="1" x14ac:dyDescent="0.2">
      <c r="A37" s="1259" t="s">
        <v>437</v>
      </c>
      <c r="B37" s="454">
        <v>7400</v>
      </c>
      <c r="C37" s="1579"/>
      <c r="D37" s="1579"/>
      <c r="E37" s="1606">
        <f>SUM(C54:D57,H54:H57)</f>
        <v>1158453</v>
      </c>
      <c r="F37" s="1579"/>
      <c r="G37" s="1579"/>
      <c r="H37" s="1579"/>
      <c r="I37" s="1581"/>
      <c r="J37" s="1579"/>
      <c r="K37" s="1579"/>
      <c r="L37" s="453"/>
    </row>
    <row r="38" spans="1:12" s="433" customFormat="1" x14ac:dyDescent="0.2">
      <c r="A38" s="1259" t="s">
        <v>438</v>
      </c>
      <c r="B38" s="454">
        <v>7500</v>
      </c>
      <c r="C38" s="1581"/>
      <c r="D38" s="1581"/>
      <c r="E38" s="1606">
        <f>SUM(C58:D61,H58:H61)</f>
        <v>43531</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c r="E43" s="1573"/>
      <c r="F43" s="1573"/>
      <c r="G43" s="1573"/>
      <c r="H43" s="1573"/>
      <c r="I43" s="1573"/>
      <c r="J43" s="1573"/>
      <c r="K43" s="1573"/>
      <c r="L43" s="453"/>
    </row>
    <row r="44" spans="1:12" s="433" customFormat="1" ht="13.5" customHeight="1" thickBot="1" x14ac:dyDescent="0.25">
      <c r="A44" s="2252" t="s">
        <v>370</v>
      </c>
      <c r="B44" s="2253"/>
      <c r="C44" s="1623">
        <f>SUM(C24:C43)</f>
        <v>9882069</v>
      </c>
      <c r="D44" s="1623">
        <f t="shared" ref="D44:K44" si="6">SUM(D24:D43)</f>
        <v>750</v>
      </c>
      <c r="E44" s="1623">
        <f t="shared" si="6"/>
        <v>1201984</v>
      </c>
      <c r="F44" s="1623">
        <f t="shared" si="6"/>
        <v>1300</v>
      </c>
      <c r="G44" s="1623">
        <f t="shared" si="6"/>
        <v>0</v>
      </c>
      <c r="H44" s="1623">
        <f t="shared" si="6"/>
        <v>0</v>
      </c>
      <c r="I44" s="1623">
        <f t="shared" si="6"/>
        <v>29000000</v>
      </c>
      <c r="J44" s="1623">
        <f t="shared" si="6"/>
        <v>0</v>
      </c>
      <c r="K44" s="1623">
        <f t="shared" si="6"/>
        <v>0</v>
      </c>
      <c r="L44" s="453"/>
    </row>
    <row r="45" spans="1:12" ht="15.75" customHeight="1" thickTop="1" x14ac:dyDescent="0.2">
      <c r="A45" s="2246" t="s">
        <v>108</v>
      </c>
      <c r="B45" s="2247"/>
      <c r="C45" s="1624"/>
      <c r="D45" s="1624"/>
      <c r="E45" s="1624"/>
      <c r="F45" s="1624"/>
      <c r="G45" s="1624"/>
      <c r="H45" s="1624"/>
      <c r="I45" s="1624"/>
      <c r="J45" s="1624"/>
      <c r="K45" s="1624"/>
      <c r="L45" s="325"/>
    </row>
    <row r="46" spans="1:12" s="433" customFormat="1" ht="15.75" customHeight="1" x14ac:dyDescent="0.2">
      <c r="A46" s="2254" t="s">
        <v>109</v>
      </c>
      <c r="B46" s="2255"/>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6">
        <f>SUM(C24,C25:H25,J25:K25)</f>
        <v>9882069</v>
      </c>
      <c r="J47" s="1581"/>
      <c r="K47" s="1581"/>
      <c r="L47" s="456"/>
    </row>
    <row r="48" spans="1:12" s="433" customFormat="1" ht="15" x14ac:dyDescent="0.2">
      <c r="A48" s="1260" t="s">
        <v>1640</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1380</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v>513453</v>
      </c>
      <c r="D54" s="1625">
        <v>645000</v>
      </c>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v>17940</v>
      </c>
      <c r="D58" s="1626">
        <v>25591</v>
      </c>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v>163900</v>
      </c>
      <c r="J75" s="1625"/>
      <c r="K75" s="1627"/>
      <c r="L75" s="453"/>
    </row>
    <row r="76" spans="1:12" s="433" customFormat="1" ht="14.25" thickTop="1" thickBot="1" x14ac:dyDescent="0.25">
      <c r="A76" s="2228" t="s">
        <v>436</v>
      </c>
      <c r="B76" s="2229"/>
      <c r="C76" s="1623">
        <f t="shared" ref="C76:K76" si="7">SUM(C47:C75)</f>
        <v>531393</v>
      </c>
      <c r="D76" s="1623">
        <f t="shared" si="7"/>
        <v>670591</v>
      </c>
      <c r="E76" s="1623">
        <f t="shared" si="7"/>
        <v>0</v>
      </c>
      <c r="F76" s="1623">
        <f t="shared" si="7"/>
        <v>0</v>
      </c>
      <c r="G76" s="1623">
        <f t="shared" si="7"/>
        <v>0</v>
      </c>
      <c r="H76" s="1623">
        <f t="shared" si="7"/>
        <v>0</v>
      </c>
      <c r="I76" s="1623">
        <f t="shared" si="7"/>
        <v>10045969</v>
      </c>
      <c r="J76" s="1623">
        <f t="shared" si="7"/>
        <v>0</v>
      </c>
      <c r="K76" s="1623">
        <f t="shared" si="7"/>
        <v>0</v>
      </c>
      <c r="L76" s="453"/>
    </row>
    <row r="77" spans="1:12" ht="14.25" thickTop="1" thickBot="1" x14ac:dyDescent="0.25">
      <c r="A77" s="2230" t="s">
        <v>1166</v>
      </c>
      <c r="B77" s="2231"/>
      <c r="C77" s="1623">
        <f t="shared" ref="C77:K77" si="8">C44-C76</f>
        <v>9350676</v>
      </c>
      <c r="D77" s="1623">
        <f t="shared" si="8"/>
        <v>-669841</v>
      </c>
      <c r="E77" s="1623">
        <f t="shared" si="8"/>
        <v>1201984</v>
      </c>
      <c r="F77" s="1623">
        <f t="shared" si="8"/>
        <v>1300</v>
      </c>
      <c r="G77" s="1623">
        <f t="shared" si="8"/>
        <v>0</v>
      </c>
      <c r="H77" s="1623">
        <f t="shared" si="8"/>
        <v>0</v>
      </c>
      <c r="I77" s="1623">
        <f t="shared" si="8"/>
        <v>18954031</v>
      </c>
      <c r="J77" s="1623">
        <f t="shared" si="8"/>
        <v>0</v>
      </c>
      <c r="K77" s="1623">
        <f t="shared" si="8"/>
        <v>0</v>
      </c>
      <c r="L77" s="325"/>
    </row>
    <row r="78" spans="1:12" ht="21.75" customHeight="1" thickTop="1" thickBot="1" x14ac:dyDescent="0.25">
      <c r="A78" s="2234" t="s">
        <v>592</v>
      </c>
      <c r="B78" s="2235"/>
      <c r="C78" s="1628">
        <f t="shared" ref="C78:K78" si="9">C20+C77</f>
        <v>-5014515</v>
      </c>
      <c r="D78" s="1628">
        <f t="shared" si="9"/>
        <v>-1100717</v>
      </c>
      <c r="E78" s="1628">
        <f t="shared" si="9"/>
        <v>-3301049</v>
      </c>
      <c r="F78" s="1628">
        <f t="shared" si="9"/>
        <v>-185837</v>
      </c>
      <c r="G78" s="1628">
        <f t="shared" si="9"/>
        <v>-471325</v>
      </c>
      <c r="H78" s="1628">
        <f t="shared" si="9"/>
        <v>0</v>
      </c>
      <c r="I78" s="1628">
        <f t="shared" si="9"/>
        <v>20170618</v>
      </c>
      <c r="J78" s="1628">
        <f t="shared" si="9"/>
        <v>-684951</v>
      </c>
      <c r="K78" s="1628">
        <f t="shared" si="9"/>
        <v>-4534446</v>
      </c>
      <c r="L78" s="457"/>
    </row>
    <row r="79" spans="1:12" ht="13.5" thickTop="1" x14ac:dyDescent="0.2">
      <c r="A79" s="1843" t="str">
        <f>"Fund Balances - July 1, "&amp;'AFR20'!E2-1</f>
        <v>Fund Balances - July 1, 2019</v>
      </c>
      <c r="B79" s="458"/>
      <c r="C79" s="1582">
        <v>10636750</v>
      </c>
      <c r="D79" s="1629">
        <v>1351094</v>
      </c>
      <c r="E79" s="1629">
        <v>15777743</v>
      </c>
      <c r="F79" s="1629">
        <v>834824</v>
      </c>
      <c r="G79" s="1629">
        <v>2115370</v>
      </c>
      <c r="H79" s="1629">
        <v>0</v>
      </c>
      <c r="I79" s="1629">
        <v>27397136</v>
      </c>
      <c r="J79" s="1629">
        <v>456103</v>
      </c>
      <c r="K79" s="1629">
        <v>8488520</v>
      </c>
      <c r="L79" s="325"/>
    </row>
    <row r="80" spans="1:12" x14ac:dyDescent="0.2">
      <c r="A80" s="2240" t="s">
        <v>1768</v>
      </c>
      <c r="B80" s="2241"/>
      <c r="C80" s="1573"/>
      <c r="D80" s="1573"/>
      <c r="E80" s="1573"/>
      <c r="F80" s="1573"/>
      <c r="G80" s="1573"/>
      <c r="H80" s="1573"/>
      <c r="I80" s="1573"/>
      <c r="J80" s="1573"/>
      <c r="K80" s="1573"/>
      <c r="L80" s="325"/>
    </row>
    <row r="81" spans="1:12" ht="13.5" thickBot="1" x14ac:dyDescent="0.25">
      <c r="A81" s="2232" t="str">
        <f>"Fund Balances - June 30, "&amp;'AFR20'!E2</f>
        <v>Fund Balances - June 30, 2020</v>
      </c>
      <c r="B81" s="2233"/>
      <c r="C81" s="1593">
        <f>(SUM(C78:C80))</f>
        <v>5622235</v>
      </c>
      <c r="D81" s="1593">
        <f>SUM(D78:D80)</f>
        <v>250377</v>
      </c>
      <c r="E81" s="1593">
        <f t="shared" ref="E81:K81" si="10">SUM(E78:E80)</f>
        <v>12476694</v>
      </c>
      <c r="F81" s="1593">
        <f t="shared" si="10"/>
        <v>648987</v>
      </c>
      <c r="G81" s="1593">
        <f t="shared" si="10"/>
        <v>1644045</v>
      </c>
      <c r="H81" s="1593">
        <f t="shared" si="10"/>
        <v>0</v>
      </c>
      <c r="I81" s="1593">
        <f t="shared" si="10"/>
        <v>47567754</v>
      </c>
      <c r="J81" s="1593">
        <f t="shared" si="10"/>
        <v>-228848</v>
      </c>
      <c r="K81" s="1593">
        <f t="shared" si="10"/>
        <v>3954074</v>
      </c>
      <c r="L81" s="325"/>
    </row>
    <row r="82" spans="1:12" ht="0.75" customHeight="1" thickTop="1" thickBot="1" x14ac:dyDescent="0.25">
      <c r="A82" s="459" t="s">
        <v>339</v>
      </c>
      <c r="B82" s="460"/>
      <c r="C82" s="461">
        <f>(C81-C79)</f>
        <v>-5014515</v>
      </c>
      <c r="D82" s="461">
        <f t="shared" ref="D82:K82" si="11">(D81-D79)</f>
        <v>-1100717</v>
      </c>
      <c r="E82" s="461">
        <f t="shared" si="11"/>
        <v>-3301049</v>
      </c>
      <c r="F82" s="461">
        <f t="shared" si="11"/>
        <v>-185837</v>
      </c>
      <c r="G82" s="461">
        <f t="shared" si="11"/>
        <v>-471325</v>
      </c>
      <c r="H82" s="461">
        <f t="shared" si="11"/>
        <v>0</v>
      </c>
      <c r="I82" s="461">
        <f t="shared" si="11"/>
        <v>20170618</v>
      </c>
      <c r="J82" s="461">
        <f t="shared" si="11"/>
        <v>-684951</v>
      </c>
      <c r="K82" s="461">
        <f t="shared" si="11"/>
        <v>-4534446</v>
      </c>
    </row>
    <row r="83" spans="1:12" ht="14.25" hidden="1" thickTop="1" thickBot="1" x14ac:dyDescent="0.25">
      <c r="A83" s="462" t="s">
        <v>340</v>
      </c>
      <c r="B83" s="428"/>
      <c r="C83" s="463">
        <f>C82/C81</f>
        <v>-0.89190775554561486</v>
      </c>
      <c r="D83" s="463">
        <f t="shared" ref="D83:K83" si="12">D82/D81</f>
        <v>-4.3962384723836454</v>
      </c>
      <c r="E83" s="463">
        <f t="shared" si="12"/>
        <v>-0.2645772189331565</v>
      </c>
      <c r="F83" s="463">
        <f t="shared" si="12"/>
        <v>-0.28634934135814738</v>
      </c>
      <c r="G83" s="463">
        <f t="shared" si="12"/>
        <v>-0.28668619167966813</v>
      </c>
      <c r="H83" s="463" t="e">
        <f t="shared" si="12"/>
        <v>#DIV/0!</v>
      </c>
      <c r="I83" s="463">
        <f t="shared" si="12"/>
        <v>0.424039739189704</v>
      </c>
      <c r="J83" s="463">
        <f t="shared" si="12"/>
        <v>2.99303904775222</v>
      </c>
      <c r="K83" s="463">
        <f t="shared" si="12"/>
        <v>-1.146778234297082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60" activePane="bottomLeft" state="frozen"/>
      <selection activeCell="H16" sqref="H16"/>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1775</v>
      </c>
      <c r="B1" s="416"/>
      <c r="C1" s="417" t="s">
        <v>421</v>
      </c>
      <c r="D1" s="417" t="s">
        <v>422</v>
      </c>
      <c r="E1" s="417" t="s">
        <v>423</v>
      </c>
      <c r="F1" s="417" t="s">
        <v>424</v>
      </c>
      <c r="G1" s="417" t="s">
        <v>425</v>
      </c>
      <c r="H1" s="417" t="s">
        <v>426</v>
      </c>
      <c r="I1" s="417" t="s">
        <v>427</v>
      </c>
      <c r="J1" s="417" t="s">
        <v>428</v>
      </c>
      <c r="K1" s="417" t="s">
        <v>750</v>
      </c>
    </row>
    <row r="2" spans="1:12" ht="36" x14ac:dyDescent="0.2">
      <c r="A2" s="2237"/>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5">
        <v>54813514</v>
      </c>
      <c r="D5" s="1585">
        <v>10075984</v>
      </c>
      <c r="E5" s="1572">
        <v>26687987</v>
      </c>
      <c r="F5" s="1630">
        <v>4030363</v>
      </c>
      <c r="G5" s="1572">
        <v>1662963</v>
      </c>
      <c r="H5" s="1572"/>
      <c r="I5" s="1572">
        <v>1007578</v>
      </c>
      <c r="J5" s="1573">
        <v>4999209</v>
      </c>
      <c r="K5" s="1572">
        <v>1007578</v>
      </c>
    </row>
    <row r="6" spans="1:12" ht="15" x14ac:dyDescent="0.2">
      <c r="A6" s="427" t="s">
        <v>1642</v>
      </c>
      <c r="B6" s="429">
        <v>1130</v>
      </c>
      <c r="C6" s="1572">
        <v>372804</v>
      </c>
      <c r="D6" s="1572">
        <v>634774</v>
      </c>
      <c r="E6" s="1579"/>
      <c r="F6" s="1579"/>
      <c r="G6" s="1574"/>
      <c r="H6" s="1574"/>
      <c r="I6" s="1574"/>
      <c r="J6" s="1574"/>
      <c r="K6" s="1574"/>
    </row>
    <row r="7" spans="1:12" x14ac:dyDescent="0.2">
      <c r="A7" s="427" t="s">
        <v>110</v>
      </c>
      <c r="B7" s="471">
        <v>1140</v>
      </c>
      <c r="C7" s="1572">
        <f>621004+185045</f>
        <v>806049</v>
      </c>
      <c r="D7" s="1572"/>
      <c r="E7" s="1574"/>
      <c r="F7" s="1573"/>
      <c r="G7" s="1573"/>
      <c r="H7" s="1573"/>
      <c r="I7" s="1574"/>
      <c r="J7" s="1574"/>
      <c r="K7" s="1574"/>
    </row>
    <row r="8" spans="1:12" x14ac:dyDescent="0.2">
      <c r="A8" s="427" t="s">
        <v>409</v>
      </c>
      <c r="B8" s="429">
        <v>1150</v>
      </c>
      <c r="C8" s="1579"/>
      <c r="D8" s="1579"/>
      <c r="E8" s="1581"/>
      <c r="F8" s="1581"/>
      <c r="G8" s="1585">
        <v>2211702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55992367</v>
      </c>
      <c r="D12" s="1632">
        <f t="shared" si="0"/>
        <v>10710758</v>
      </c>
      <c r="E12" s="1632">
        <f t="shared" si="0"/>
        <v>26687987</v>
      </c>
      <c r="F12" s="1632">
        <f t="shared" si="0"/>
        <v>4030363</v>
      </c>
      <c r="G12" s="1632">
        <f t="shared" si="0"/>
        <v>3874665</v>
      </c>
      <c r="H12" s="1632">
        <f t="shared" si="0"/>
        <v>0</v>
      </c>
      <c r="I12" s="1632">
        <f t="shared" si="0"/>
        <v>1007578</v>
      </c>
      <c r="J12" s="1632">
        <f t="shared" si="0"/>
        <v>4999209</v>
      </c>
      <c r="K12" s="1593">
        <f t="shared" si="0"/>
        <v>1007578</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63560</v>
      </c>
      <c r="D14" s="1572">
        <v>12158</v>
      </c>
      <c r="E14" s="1572">
        <v>30832</v>
      </c>
      <c r="F14" s="1572">
        <v>4575</v>
      </c>
      <c r="G14" s="1572">
        <v>4300</v>
      </c>
      <c r="H14" s="1572"/>
      <c r="I14" s="1572">
        <v>1144</v>
      </c>
      <c r="J14" s="1573">
        <v>5631</v>
      </c>
      <c r="K14" s="1572">
        <v>1144</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1643</v>
      </c>
      <c r="B16" s="471">
        <v>1230</v>
      </c>
      <c r="C16" s="1631">
        <v>1797172</v>
      </c>
      <c r="D16" s="1572"/>
      <c r="E16" s="1572"/>
      <c r="F16" s="1572"/>
      <c r="G16" s="1572">
        <v>179915</v>
      </c>
      <c r="H16" s="1572"/>
      <c r="I16" s="1572"/>
      <c r="J16" s="1573"/>
      <c r="K16" s="1572"/>
    </row>
    <row r="17" spans="1:11" ht="12.75" customHeight="1" x14ac:dyDescent="0.2">
      <c r="A17" s="427" t="s">
        <v>801</v>
      </c>
      <c r="B17" s="429">
        <v>1290</v>
      </c>
      <c r="C17" s="1631"/>
      <c r="D17" s="1572"/>
      <c r="E17" s="1572"/>
      <c r="F17" s="1572"/>
      <c r="G17" s="1572"/>
      <c r="H17" s="1572"/>
      <c r="I17" s="1572"/>
      <c r="J17" s="1573"/>
      <c r="K17" s="1572"/>
    </row>
    <row r="18" spans="1:11" ht="12.75" customHeight="1" thickBot="1" x14ac:dyDescent="0.25">
      <c r="A18" s="1405" t="s">
        <v>533</v>
      </c>
      <c r="B18" s="1406"/>
      <c r="C18" s="1634">
        <f>SUM(C14:C17)</f>
        <v>1860732</v>
      </c>
      <c r="D18" s="1634">
        <f t="shared" ref="D18:K18" si="1">SUM(D14:D17)</f>
        <v>12158</v>
      </c>
      <c r="E18" s="1634">
        <f t="shared" si="1"/>
        <v>30832</v>
      </c>
      <c r="F18" s="1634">
        <f t="shared" si="1"/>
        <v>4575</v>
      </c>
      <c r="G18" s="1634">
        <f t="shared" si="1"/>
        <v>184215</v>
      </c>
      <c r="H18" s="1634">
        <f t="shared" si="1"/>
        <v>0</v>
      </c>
      <c r="I18" s="1634">
        <f t="shared" si="1"/>
        <v>1144</v>
      </c>
      <c r="J18" s="1634">
        <f t="shared" si="1"/>
        <v>5631</v>
      </c>
      <c r="K18" s="1635">
        <f t="shared" si="1"/>
        <v>1144</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1064</v>
      </c>
      <c r="B22" s="429">
        <v>1313</v>
      </c>
      <c r="C22" s="1631"/>
      <c r="D22" s="1574"/>
      <c r="E22" s="1574"/>
      <c r="F22" s="1574"/>
      <c r="G22" s="1574"/>
      <c r="H22" s="1574"/>
      <c r="I22" s="1574"/>
      <c r="J22" s="1574"/>
      <c r="K22" s="1574"/>
    </row>
    <row r="23" spans="1:11" ht="12.75" customHeight="1" x14ac:dyDescent="0.2">
      <c r="A23" s="427" t="s">
        <v>1065</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1091</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v>170996</v>
      </c>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170996</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1066</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58197</v>
      </c>
      <c r="D65" s="1572">
        <v>10177</v>
      </c>
      <c r="E65" s="1572">
        <v>98405</v>
      </c>
      <c r="F65" s="1573">
        <v>15112</v>
      </c>
      <c r="G65" s="1572">
        <v>13659</v>
      </c>
      <c r="H65" s="1572"/>
      <c r="I65" s="1572">
        <v>207865</v>
      </c>
      <c r="J65" s="1573">
        <v>7877</v>
      </c>
      <c r="K65" s="1572">
        <v>188678</v>
      </c>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58197</v>
      </c>
      <c r="D67" s="1593">
        <f t="shared" ref="D67:K67" si="2">SUM(D65:D66)</f>
        <v>10177</v>
      </c>
      <c r="E67" s="1593">
        <f t="shared" si="2"/>
        <v>98405</v>
      </c>
      <c r="F67" s="1593">
        <f t="shared" si="2"/>
        <v>15112</v>
      </c>
      <c r="G67" s="1593">
        <f t="shared" si="2"/>
        <v>13659</v>
      </c>
      <c r="H67" s="1593">
        <f t="shared" si="2"/>
        <v>0</v>
      </c>
      <c r="I67" s="1593">
        <f t="shared" si="2"/>
        <v>207865</v>
      </c>
      <c r="J67" s="1593">
        <f t="shared" si="2"/>
        <v>7877</v>
      </c>
      <c r="K67" s="1593">
        <f t="shared" si="2"/>
        <v>188678</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v>2381973</v>
      </c>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v>20</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c r="D73" s="1574"/>
      <c r="E73" s="1574"/>
      <c r="F73" s="1574"/>
      <c r="G73" s="1574"/>
      <c r="H73" s="1574"/>
      <c r="I73" s="1574"/>
      <c r="J73" s="1574"/>
      <c r="K73" s="1574"/>
    </row>
    <row r="74" spans="1:11" ht="12.75" customHeight="1" x14ac:dyDescent="0.2">
      <c r="A74" s="427" t="s">
        <v>25</v>
      </c>
      <c r="B74" s="429">
        <v>1690</v>
      </c>
      <c r="C74" s="1631">
        <v>68085</v>
      </c>
      <c r="D74" s="1574"/>
      <c r="E74" s="1574"/>
      <c r="F74" s="1574"/>
      <c r="G74" s="1574"/>
      <c r="H74" s="1574"/>
      <c r="I74" s="1574"/>
      <c r="J74" s="1574"/>
      <c r="K74" s="1574"/>
    </row>
    <row r="75" spans="1:11" ht="12.75" customHeight="1" thickBot="1" x14ac:dyDescent="0.25">
      <c r="A75" s="1405" t="s">
        <v>543</v>
      </c>
      <c r="B75" s="1406"/>
      <c r="C75" s="1593">
        <f>SUM(C69:C74)</f>
        <v>2450078</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v>118055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v>677269</v>
      </c>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795324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1057678</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v>131</v>
      </c>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v>394</v>
      </c>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5" t="s">
        <v>241</v>
      </c>
      <c r="B93" s="1406"/>
      <c r="C93" s="1593">
        <f>SUM(C84:C92)</f>
        <v>1058203</v>
      </c>
      <c r="D93" s="1574"/>
      <c r="E93" s="1574"/>
      <c r="F93" s="1574"/>
      <c r="G93" s="1574"/>
      <c r="H93" s="1574"/>
      <c r="I93" s="1574"/>
      <c r="J93" s="1574"/>
      <c r="K93" s="1574"/>
    </row>
    <row r="94" spans="1:11" ht="15.75" customHeight="1" thickTop="1" x14ac:dyDescent="0.2">
      <c r="A94" s="1329" t="s">
        <v>1126</v>
      </c>
      <c r="B94" s="1331">
        <v>1900</v>
      </c>
      <c r="C94" s="1633"/>
      <c r="D94" s="1616"/>
      <c r="E94" s="1574"/>
      <c r="F94" s="1574"/>
      <c r="G94" s="1574"/>
      <c r="H94" s="1574"/>
      <c r="I94" s="1574"/>
      <c r="J94" s="1574"/>
      <c r="K94" s="1574"/>
    </row>
    <row r="95" spans="1:11" ht="12.75" customHeight="1" x14ac:dyDescent="0.2">
      <c r="A95" s="427" t="s">
        <v>1054</v>
      </c>
      <c r="B95" s="429">
        <v>1910</v>
      </c>
      <c r="C95" s="1572"/>
      <c r="D95" s="1631">
        <v>73283</v>
      </c>
      <c r="E95" s="1616"/>
      <c r="F95" s="1616"/>
      <c r="G95" s="1616"/>
      <c r="H95" s="1616"/>
      <c r="I95" s="1616"/>
      <c r="J95" s="1616"/>
      <c r="K95" s="1616"/>
    </row>
    <row r="96" spans="1:11" ht="12.75" customHeight="1" x14ac:dyDescent="0.2">
      <c r="A96" s="427" t="s">
        <v>387</v>
      </c>
      <c r="B96" s="429">
        <v>1920</v>
      </c>
      <c r="C96" s="1631">
        <v>354862</v>
      </c>
      <c r="D96" s="1631"/>
      <c r="E96" s="1583"/>
      <c r="F96" s="1582">
        <v>150</v>
      </c>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v>70745</v>
      </c>
      <c r="D99" s="1572"/>
      <c r="E99" s="1572"/>
      <c r="F99" s="1572">
        <v>1800</v>
      </c>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65376</v>
      </c>
      <c r="D101" s="1622"/>
      <c r="E101" s="1584"/>
      <c r="F101" s="1622"/>
      <c r="G101" s="1579"/>
      <c r="H101" s="1622"/>
      <c r="I101" s="1574"/>
      <c r="J101" s="1579"/>
      <c r="K101" s="1579"/>
    </row>
    <row r="102" spans="1:12" ht="12.75" customHeight="1" x14ac:dyDescent="0.2">
      <c r="A102" s="427" t="s">
        <v>245</v>
      </c>
      <c r="B102" s="429">
        <v>1980</v>
      </c>
      <c r="C102" s="1597">
        <v>8096</v>
      </c>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c r="I103" s="1574"/>
      <c r="J103" s="1609"/>
      <c r="K103" s="1609"/>
    </row>
    <row r="104" spans="1:12" ht="12.75" customHeight="1" x14ac:dyDescent="0.2">
      <c r="A104" s="427" t="s">
        <v>824</v>
      </c>
      <c r="B104" s="429">
        <v>1991</v>
      </c>
      <c r="C104" s="1597"/>
      <c r="D104" s="1572"/>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1412</v>
      </c>
      <c r="B106" s="429">
        <v>1993</v>
      </c>
      <c r="C106" s="1572">
        <v>33830</v>
      </c>
      <c r="D106" s="1597">
        <v>195730</v>
      </c>
      <c r="E106" s="1573"/>
      <c r="F106" s="1573"/>
      <c r="G106" s="1573"/>
      <c r="H106" s="1573"/>
      <c r="I106" s="1616"/>
      <c r="J106" s="1573"/>
      <c r="K106" s="1573"/>
    </row>
    <row r="107" spans="1:12" ht="12.75" customHeight="1" x14ac:dyDescent="0.2">
      <c r="A107" s="427" t="s">
        <v>78</v>
      </c>
      <c r="B107" s="429">
        <v>1999</v>
      </c>
      <c r="C107" s="1631">
        <v>114357</v>
      </c>
      <c r="D107" s="1572">
        <v>460239</v>
      </c>
      <c r="E107" s="1572"/>
      <c r="F107" s="1572">
        <v>4418</v>
      </c>
      <c r="G107" s="1572"/>
      <c r="H107" s="1572"/>
      <c r="I107" s="1572"/>
      <c r="J107" s="1573">
        <v>11903</v>
      </c>
      <c r="K107" s="1572"/>
    </row>
    <row r="108" spans="1:12" ht="12.75" customHeight="1" thickBot="1" x14ac:dyDescent="0.25">
      <c r="A108" s="1405" t="s">
        <v>483</v>
      </c>
      <c r="B108" s="1407"/>
      <c r="C108" s="1632">
        <f>SUM(C95:C107)</f>
        <v>647266</v>
      </c>
      <c r="D108" s="1632">
        <f t="shared" ref="D108:K108" si="3">SUM(D95:D107)</f>
        <v>729252</v>
      </c>
      <c r="E108" s="1632">
        <f t="shared" si="3"/>
        <v>0</v>
      </c>
      <c r="F108" s="1632">
        <f t="shared" si="3"/>
        <v>6368</v>
      </c>
      <c r="G108" s="1632">
        <f t="shared" si="3"/>
        <v>0</v>
      </c>
      <c r="H108" s="1632">
        <f t="shared" si="3"/>
        <v>0</v>
      </c>
      <c r="I108" s="1632">
        <f t="shared" si="3"/>
        <v>0</v>
      </c>
      <c r="J108" s="1632">
        <f t="shared" si="3"/>
        <v>11903</v>
      </c>
      <c r="K108" s="1593">
        <f t="shared" si="3"/>
        <v>0</v>
      </c>
    </row>
    <row r="109" spans="1:12" ht="14.25" thickTop="1" thickBot="1" x14ac:dyDescent="0.25">
      <c r="A109" s="1408" t="s">
        <v>246</v>
      </c>
      <c r="B109" s="1409" t="s">
        <v>565</v>
      </c>
      <c r="C109" s="1640">
        <f t="shared" ref="C109:K109" si="4">SUM(C12,C18,C40,C63,C67,C75,C82,C93,C108,)</f>
        <v>63033163</v>
      </c>
      <c r="D109" s="1640">
        <f t="shared" si="4"/>
        <v>11462345</v>
      </c>
      <c r="E109" s="1640">
        <f t="shared" si="4"/>
        <v>26817224</v>
      </c>
      <c r="F109" s="1640">
        <f t="shared" si="4"/>
        <v>4056418</v>
      </c>
      <c r="G109" s="1640">
        <f t="shared" si="4"/>
        <v>4072539</v>
      </c>
      <c r="H109" s="1640">
        <f t="shared" si="4"/>
        <v>0</v>
      </c>
      <c r="I109" s="1640">
        <f t="shared" si="4"/>
        <v>1216587</v>
      </c>
      <c r="J109" s="1640">
        <f t="shared" si="4"/>
        <v>5024620</v>
      </c>
      <c r="K109" s="1628">
        <f t="shared" si="4"/>
        <v>1197400</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1473</v>
      </c>
      <c r="B116" s="1333"/>
      <c r="C116" s="1642"/>
      <c r="D116" s="1616"/>
      <c r="E116" s="1639"/>
      <c r="F116" s="1616"/>
      <c r="G116" s="1616"/>
      <c r="H116" s="1639"/>
      <c r="I116" s="1574"/>
      <c r="J116" s="1616"/>
      <c r="K116" s="1616"/>
    </row>
    <row r="117" spans="1:11" ht="12.75" customHeight="1" x14ac:dyDescent="0.2">
      <c r="A117" s="427" t="s">
        <v>1647</v>
      </c>
      <c r="B117" s="478">
        <v>3001</v>
      </c>
      <c r="C117" s="1612">
        <v>21178328</v>
      </c>
      <c r="D117" s="1585"/>
      <c r="E117" s="1572"/>
      <c r="F117" s="1585"/>
      <c r="G117" s="1585"/>
      <c r="H117" s="1572"/>
      <c r="I117" s="1574"/>
      <c r="J117" s="1573"/>
      <c r="K117" s="1572"/>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c r="D119" s="1572"/>
      <c r="E119" s="1572"/>
      <c r="F119" s="1572"/>
      <c r="G119" s="1572"/>
      <c r="H119" s="1572"/>
      <c r="I119" s="1574"/>
      <c r="J119" s="1573"/>
      <c r="K119" s="1572"/>
    </row>
    <row r="120" spans="1:11" ht="12.75" customHeight="1" x14ac:dyDescent="0.2">
      <c r="A120" s="1538" t="s">
        <v>1891</v>
      </c>
      <c r="B120" s="478">
        <v>3030</v>
      </c>
      <c r="C120" s="1631"/>
      <c r="D120" s="1572"/>
      <c r="E120" s="1572"/>
      <c r="F120" s="1572"/>
      <c r="G120" s="1572"/>
      <c r="H120" s="1572"/>
      <c r="I120" s="1574"/>
      <c r="J120" s="1573"/>
      <c r="K120" s="1572"/>
    </row>
    <row r="121" spans="1:11" x14ac:dyDescent="0.2">
      <c r="A121" s="1265" t="s">
        <v>1774</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21178328</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1472</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v>1540058</v>
      </c>
      <c r="D125" s="1639"/>
      <c r="E125" s="1574"/>
      <c r="F125" s="1630"/>
      <c r="G125" s="1574"/>
      <c r="H125" s="1574"/>
      <c r="I125" s="1574"/>
      <c r="J125" s="1574"/>
      <c r="K125" s="1574"/>
    </row>
    <row r="126" spans="1:11" ht="12.75" customHeight="1" x14ac:dyDescent="0.2">
      <c r="A126" s="427" t="s">
        <v>1428</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284668</v>
      </c>
      <c r="D128" s="1639"/>
      <c r="E128" s="1574"/>
      <c r="F128" s="1572"/>
      <c r="G128" s="1574"/>
      <c r="H128" s="1574"/>
      <c r="I128" s="1574"/>
      <c r="J128" s="1574"/>
      <c r="K128" s="1574"/>
    </row>
    <row r="129" spans="1:11" ht="12.75" customHeight="1" x14ac:dyDescent="0.2">
      <c r="A129" s="427" t="s">
        <v>1429</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1824726</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v>25180</v>
      </c>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25180</v>
      </c>
      <c r="D141" s="1632">
        <f>SUM(D134:D140)</f>
        <v>0</v>
      </c>
      <c r="E141" s="1639" t="s">
        <v>1158</v>
      </c>
      <c r="F141" s="1581"/>
      <c r="G141" s="1632">
        <f>SUM(G134:G140)</f>
        <v>0</v>
      </c>
      <c r="H141" s="1574" t="s">
        <v>1158</v>
      </c>
      <c r="I141" s="1574" t="s">
        <v>1158</v>
      </c>
      <c r="J141" s="1574" t="s">
        <v>1158</v>
      </c>
      <c r="K141" s="1574" t="s">
        <v>1158</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v>235939</v>
      </c>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235939</v>
      </c>
      <c r="D145" s="1574"/>
      <c r="E145" s="1608"/>
      <c r="F145" s="1574"/>
      <c r="G145" s="1600">
        <f>SUM(G143:G144)</f>
        <v>0</v>
      </c>
      <c r="H145" s="1574"/>
      <c r="I145" s="1574"/>
      <c r="J145" s="1574"/>
      <c r="K145" s="1574"/>
    </row>
    <row r="146" spans="1:11" s="197" customFormat="1" ht="12.75" customHeight="1" thickTop="1" x14ac:dyDescent="0.2">
      <c r="A146" s="1267" t="s">
        <v>1046</v>
      </c>
      <c r="B146" s="482">
        <v>3360</v>
      </c>
      <c r="C146" s="1645">
        <v>32943</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38169</v>
      </c>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1430</v>
      </c>
      <c r="B152" s="478">
        <v>3500</v>
      </c>
      <c r="C152" s="1631"/>
      <c r="D152" s="1572"/>
      <c r="E152" s="1639"/>
      <c r="F152" s="1572">
        <v>2601331</v>
      </c>
      <c r="G152" s="1573"/>
      <c r="H152" s="1574"/>
      <c r="I152" s="1574"/>
      <c r="J152" s="1574"/>
      <c r="K152" s="1574"/>
    </row>
    <row r="153" spans="1:11" ht="12.75" customHeight="1" x14ac:dyDescent="0.2">
      <c r="A153" s="427" t="s">
        <v>1047</v>
      </c>
      <c r="B153" s="478">
        <v>3510</v>
      </c>
      <c r="C153" s="1631"/>
      <c r="D153" s="1572"/>
      <c r="E153" s="1639"/>
      <c r="F153" s="1572">
        <v>3903029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6504360</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c r="D158" s="1574"/>
      <c r="E158" s="1639"/>
      <c r="F158" s="1650"/>
      <c r="G158" s="1650"/>
      <c r="H158" s="1574"/>
      <c r="I158" s="1574"/>
      <c r="J158" s="1574"/>
      <c r="K158" s="1574"/>
    </row>
    <row r="159" spans="1:11" ht="12.75" customHeight="1" thickTop="1" thickBot="1" x14ac:dyDescent="0.25">
      <c r="A159" s="1269" t="s">
        <v>1041</v>
      </c>
      <c r="B159" s="484">
        <v>3705</v>
      </c>
      <c r="C159" s="1650">
        <v>1481368</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1431</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132407</v>
      </c>
      <c r="D168" s="1654"/>
      <c r="E168" s="1654"/>
      <c r="F168" s="1654"/>
      <c r="G168" s="1655"/>
      <c r="H168" s="1656"/>
      <c r="I168" s="1655"/>
      <c r="J168" s="1655"/>
      <c r="K168" s="1656"/>
    </row>
    <row r="169" spans="1:11" ht="12.75" customHeight="1" thickTop="1" thickBot="1" x14ac:dyDescent="0.25">
      <c r="A169" s="2256" t="s">
        <v>394</v>
      </c>
      <c r="B169" s="2257"/>
      <c r="C169" s="1657">
        <f t="shared" ref="C169:K169" si="6">SUM(C132,C141,C145,C146:C150,C155,C156:C167,C168)</f>
        <v>3770732</v>
      </c>
      <c r="D169" s="1657">
        <f t="shared" si="6"/>
        <v>50000</v>
      </c>
      <c r="E169" s="1657">
        <f t="shared" si="6"/>
        <v>0</v>
      </c>
      <c r="F169" s="1657">
        <f t="shared" si="6"/>
        <v>6504360</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24949060</v>
      </c>
      <c r="D170" s="1640">
        <f t="shared" si="7"/>
        <v>50000</v>
      </c>
      <c r="E170" s="1640">
        <f t="shared" si="7"/>
        <v>0</v>
      </c>
      <c r="F170" s="1640">
        <f t="shared" si="7"/>
        <v>6504360</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58" t="s">
        <v>1474</v>
      </c>
      <c r="B172" s="2259"/>
      <c r="C172" s="1615"/>
      <c r="D172" s="1615"/>
      <c r="E172" s="1608"/>
      <c r="F172" s="1574"/>
      <c r="G172" s="1574"/>
      <c r="H172" s="1574"/>
      <c r="I172" s="1574"/>
      <c r="J172" s="1574"/>
      <c r="K172" s="1574"/>
    </row>
    <row r="173" spans="1:11" ht="12.6" customHeight="1" x14ac:dyDescent="0.2">
      <c r="A173" s="436" t="s">
        <v>1034</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62" t="s">
        <v>1645</v>
      </c>
      <c r="B175" s="2263"/>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6" t="s">
        <v>1644</v>
      </c>
      <c r="B176" s="2267"/>
      <c r="C176" s="1658"/>
      <c r="D176" s="1659"/>
      <c r="E176" s="1660"/>
      <c r="F176" s="1661"/>
      <c r="G176" s="1661"/>
      <c r="H176" s="1661"/>
      <c r="I176" s="1661"/>
      <c r="J176" s="1661"/>
      <c r="K176" s="1661"/>
    </row>
    <row r="177" spans="1:11" ht="12.75" customHeight="1" x14ac:dyDescent="0.2">
      <c r="A177" s="427" t="s">
        <v>1035</v>
      </c>
      <c r="B177" s="429">
        <v>4045</v>
      </c>
      <c r="C177" s="1631"/>
      <c r="D177" s="1574"/>
      <c r="E177" s="1639"/>
      <c r="F177" s="1574"/>
      <c r="G177" s="1574"/>
      <c r="H177" s="1574"/>
      <c r="I177" s="1574"/>
      <c r="J177" s="1574"/>
      <c r="K177" s="1574"/>
    </row>
    <row r="178" spans="1:11" ht="12.75" customHeight="1" x14ac:dyDescent="0.2">
      <c r="A178" s="427" t="s">
        <v>1036</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64" t="s">
        <v>779</v>
      </c>
      <c r="B181" s="2265"/>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0" t="s">
        <v>1776</v>
      </c>
      <c r="B182" s="2261"/>
      <c r="C182" s="1662"/>
      <c r="D182" s="1644"/>
      <c r="E182" s="1608"/>
      <c r="F182" s="1644"/>
      <c r="G182" s="1644"/>
      <c r="H182" s="1574"/>
      <c r="I182" s="1574"/>
      <c r="J182" s="1574"/>
      <c r="K182" s="1574"/>
    </row>
    <row r="183" spans="1:11" ht="15.75" customHeight="1" x14ac:dyDescent="0.2">
      <c r="A183" s="1340" t="s">
        <v>1584</v>
      </c>
      <c r="B183" s="1341"/>
      <c r="C183" s="1642"/>
      <c r="D183" s="1616"/>
      <c r="E183" s="1608"/>
      <c r="F183" s="1616"/>
      <c r="G183" s="1616"/>
      <c r="H183" s="1574"/>
      <c r="I183" s="1574"/>
      <c r="J183" s="1574"/>
      <c r="K183" s="1574"/>
    </row>
    <row r="184" spans="1:11" ht="12.75" customHeight="1" x14ac:dyDescent="0.2">
      <c r="A184" s="427" t="s">
        <v>1585</v>
      </c>
      <c r="B184" s="429">
        <v>4100</v>
      </c>
      <c r="C184" s="1612"/>
      <c r="D184" s="1585"/>
      <c r="E184" s="1639"/>
      <c r="F184" s="1585"/>
      <c r="G184" s="1585"/>
      <c r="H184" s="1574"/>
      <c r="I184" s="1574"/>
      <c r="J184" s="1574"/>
      <c r="K184" s="1574"/>
    </row>
    <row r="185" spans="1:11" ht="12.75" customHeight="1" x14ac:dyDescent="0.2">
      <c r="A185" s="427" t="s">
        <v>1586</v>
      </c>
      <c r="B185" s="429">
        <v>4105</v>
      </c>
      <c r="C185" s="1631"/>
      <c r="D185" s="1572"/>
      <c r="E185" s="1639"/>
      <c r="F185" s="1572"/>
      <c r="G185" s="1572"/>
      <c r="H185" s="1574"/>
      <c r="I185" s="1574"/>
      <c r="J185" s="1574"/>
      <c r="K185" s="1574"/>
    </row>
    <row r="186" spans="1:11" ht="12.75" customHeight="1" x14ac:dyDescent="0.2">
      <c r="A186" s="427" t="s">
        <v>1588</v>
      </c>
      <c r="B186" s="429">
        <v>4107</v>
      </c>
      <c r="C186" s="1631"/>
      <c r="D186" s="1572"/>
      <c r="E186" s="1639"/>
      <c r="F186" s="1572"/>
      <c r="G186" s="1572"/>
      <c r="H186" s="1574"/>
      <c r="I186" s="1574"/>
      <c r="J186" s="1574"/>
      <c r="K186" s="1574"/>
    </row>
    <row r="187" spans="1:11" ht="12.75" customHeight="1" x14ac:dyDescent="0.2">
      <c r="A187" s="427" t="s">
        <v>1587</v>
      </c>
      <c r="B187" s="429">
        <v>4199</v>
      </c>
      <c r="C187" s="1631"/>
      <c r="D187" s="1572"/>
      <c r="E187" s="1639"/>
      <c r="F187" s="1572"/>
      <c r="G187" s="1572"/>
      <c r="H187" s="1574"/>
      <c r="I187" s="1574"/>
      <c r="J187" s="1574"/>
      <c r="K187" s="1574"/>
    </row>
    <row r="188" spans="1:11" ht="12.75" customHeight="1" thickBot="1" x14ac:dyDescent="0.25">
      <c r="A188" s="1405" t="s">
        <v>1589</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1432</v>
      </c>
      <c r="B190" s="429">
        <v>4200</v>
      </c>
      <c r="C190" s="1573"/>
      <c r="D190" s="1574"/>
      <c r="E190" s="1639"/>
      <c r="F190" s="1633"/>
      <c r="G190" s="1663"/>
      <c r="H190" s="1574"/>
      <c r="I190" s="1574"/>
      <c r="J190" s="1574"/>
      <c r="K190" s="1574"/>
    </row>
    <row r="191" spans="1:11" ht="12.75" customHeight="1" x14ac:dyDescent="0.2">
      <c r="A191" s="427" t="s">
        <v>1048</v>
      </c>
      <c r="B191" s="429">
        <v>4210</v>
      </c>
      <c r="C191" s="1572">
        <v>1480452</v>
      </c>
      <c r="D191" s="1574"/>
      <c r="E191" s="1639"/>
      <c r="F191" s="1574"/>
      <c r="G191" s="1663"/>
      <c r="H191" s="1574"/>
      <c r="I191" s="1574"/>
      <c r="J191" s="1574"/>
      <c r="K191" s="1574"/>
    </row>
    <row r="192" spans="1:11" ht="12.75" customHeight="1" x14ac:dyDescent="0.2">
      <c r="A192" s="427" t="s">
        <v>1037</v>
      </c>
      <c r="B192" s="429">
        <v>4215</v>
      </c>
      <c r="C192" s="1631"/>
      <c r="D192" s="1574"/>
      <c r="E192" s="1639"/>
      <c r="F192" s="1574"/>
      <c r="G192" s="1663"/>
      <c r="H192" s="1574"/>
      <c r="I192" s="1574"/>
      <c r="J192" s="1574"/>
      <c r="K192" s="1574"/>
    </row>
    <row r="193" spans="1:11" ht="12.75" customHeight="1" x14ac:dyDescent="0.2">
      <c r="A193" s="427" t="s">
        <v>1049</v>
      </c>
      <c r="B193" s="429">
        <v>4220</v>
      </c>
      <c r="C193" s="1631">
        <v>441710</v>
      </c>
      <c r="D193" s="1574"/>
      <c r="E193" s="1639"/>
      <c r="F193" s="1574"/>
      <c r="G193" s="1663"/>
      <c r="H193" s="1574"/>
      <c r="I193" s="1574"/>
      <c r="J193" s="1574"/>
      <c r="K193" s="1574"/>
    </row>
    <row r="194" spans="1:11" ht="12.75" customHeight="1" x14ac:dyDescent="0.2">
      <c r="A194" s="427" t="s">
        <v>1433</v>
      </c>
      <c r="B194" s="429">
        <v>4225</v>
      </c>
      <c r="C194" s="1631">
        <v>157567</v>
      </c>
      <c r="D194" s="1574"/>
      <c r="E194" s="1639"/>
      <c r="F194" s="1574"/>
      <c r="G194" s="1663"/>
      <c r="H194" s="1574"/>
      <c r="I194" s="1574"/>
      <c r="J194" s="1574"/>
      <c r="K194" s="1574"/>
    </row>
    <row r="195" spans="1:11" ht="12.75" customHeight="1" x14ac:dyDescent="0.2">
      <c r="A195" s="427" t="s">
        <v>1434</v>
      </c>
      <c r="B195" s="429">
        <v>4226</v>
      </c>
      <c r="C195" s="1631"/>
      <c r="D195" s="1574"/>
      <c r="E195" s="1639"/>
      <c r="F195" s="1574"/>
      <c r="G195" s="1663"/>
      <c r="H195" s="1574"/>
      <c r="I195" s="1574"/>
      <c r="J195" s="1574"/>
      <c r="K195" s="1574"/>
    </row>
    <row r="196" spans="1:11" ht="12.75" customHeight="1" x14ac:dyDescent="0.2">
      <c r="A196" s="427" t="s">
        <v>786</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543</v>
      </c>
      <c r="B198" s="1406"/>
      <c r="C198" s="1593">
        <f>SUM(C190:C197)</f>
        <v>2079729</v>
      </c>
      <c r="D198" s="1574"/>
      <c r="E198" s="1574"/>
      <c r="F198" s="1574"/>
      <c r="G198" s="1593">
        <f>SUM(G190:G197)</f>
        <v>0</v>
      </c>
      <c r="H198" s="1574"/>
      <c r="I198" s="1574"/>
      <c r="J198" s="1574"/>
      <c r="K198" s="1574"/>
    </row>
    <row r="199" spans="1:11" ht="15.75" customHeight="1" thickTop="1" x14ac:dyDescent="0.2">
      <c r="A199" s="1337" t="s">
        <v>1127</v>
      </c>
      <c r="B199" s="1342"/>
      <c r="C199" s="1633"/>
      <c r="D199" s="1574"/>
      <c r="E199" s="1574"/>
      <c r="F199" s="1574"/>
      <c r="G199" s="1574"/>
      <c r="H199" s="1574"/>
      <c r="I199" s="1574"/>
      <c r="J199" s="1574"/>
      <c r="K199" s="1574"/>
    </row>
    <row r="200" spans="1:11" ht="12.75" customHeight="1" x14ac:dyDescent="0.2">
      <c r="A200" s="427" t="s">
        <v>911</v>
      </c>
      <c r="B200" s="429">
        <v>4300</v>
      </c>
      <c r="C200" s="1572">
        <v>1789300</v>
      </c>
      <c r="D200" s="1572"/>
      <c r="E200" s="1574"/>
      <c r="F200" s="1572"/>
      <c r="G200" s="1572"/>
      <c r="H200" s="1574"/>
      <c r="I200" s="1574"/>
      <c r="J200" s="1574"/>
      <c r="K200" s="1574"/>
    </row>
    <row r="201" spans="1:11" ht="12.75" customHeight="1" x14ac:dyDescent="0.2">
      <c r="A201" s="427" t="s">
        <v>912</v>
      </c>
      <c r="B201" s="429">
        <v>4305</v>
      </c>
      <c r="C201" s="1631">
        <v>91316</v>
      </c>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v>297040</v>
      </c>
      <c r="D203" s="1572"/>
      <c r="E203" s="1574"/>
      <c r="F203" s="1572"/>
      <c r="G203" s="1572"/>
      <c r="H203" s="1574"/>
      <c r="I203" s="1574"/>
      <c r="J203" s="1574"/>
      <c r="K203" s="1574"/>
    </row>
    <row r="204" spans="1:11" ht="12.75" customHeight="1" thickBot="1" x14ac:dyDescent="0.25">
      <c r="A204" s="1405" t="s">
        <v>396</v>
      </c>
      <c r="B204" s="1406"/>
      <c r="C204" s="1632">
        <f>SUM(C200:C203)</f>
        <v>2177656</v>
      </c>
      <c r="D204" s="1632">
        <f>SUM(D200:D203)</f>
        <v>0</v>
      </c>
      <c r="E204" s="1574"/>
      <c r="F204" s="1632">
        <f>SUM(F200:F203)</f>
        <v>0</v>
      </c>
      <c r="G204" s="1632">
        <f>SUM(G200:G203)</f>
        <v>0</v>
      </c>
      <c r="H204" s="1574"/>
      <c r="I204" s="1574"/>
      <c r="J204" s="1574"/>
      <c r="K204" s="1574"/>
    </row>
    <row r="205" spans="1:11" ht="15.75" customHeight="1" thickTop="1" x14ac:dyDescent="0.2">
      <c r="A205" s="1337" t="s">
        <v>1128</v>
      </c>
      <c r="B205" s="1342"/>
      <c r="C205" s="1633"/>
      <c r="D205" s="1633"/>
      <c r="E205" s="1574"/>
      <c r="F205" s="1633"/>
      <c r="G205" s="1633"/>
      <c r="H205" s="1574"/>
      <c r="I205" s="1574"/>
      <c r="J205" s="1574"/>
      <c r="K205" s="1574"/>
    </row>
    <row r="206" spans="1:11" ht="12.75" customHeight="1" x14ac:dyDescent="0.2">
      <c r="A206" s="427" t="s">
        <v>753</v>
      </c>
      <c r="B206" s="429">
        <v>4400</v>
      </c>
      <c r="C206" s="1631"/>
      <c r="D206" s="1572"/>
      <c r="E206" s="1574"/>
      <c r="F206" s="1572"/>
      <c r="G206" s="1572"/>
      <c r="H206" s="1574"/>
      <c r="I206" s="1574"/>
      <c r="J206" s="1574"/>
      <c r="K206" s="1574"/>
    </row>
    <row r="207" spans="1:11" ht="12.75" customHeight="1" x14ac:dyDescent="0.2">
      <c r="A207" s="427" t="s">
        <v>1435</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882</v>
      </c>
      <c r="B209" s="1406"/>
      <c r="C209" s="1632">
        <f>SUM(C206:C208)</f>
        <v>0</v>
      </c>
      <c r="D209" s="1632">
        <f>SUM(D206:D208)</f>
        <v>0</v>
      </c>
      <c r="E209" s="1574" t="s">
        <v>1158</v>
      </c>
      <c r="F209" s="1632">
        <f>SUM(F206:F208)</f>
        <v>0</v>
      </c>
      <c r="G209" s="1632">
        <f>SUM(G206:G208)</f>
        <v>0</v>
      </c>
      <c r="H209" s="1574"/>
      <c r="I209" s="1574"/>
      <c r="J209" s="1574"/>
      <c r="K209" s="1574"/>
    </row>
    <row r="210" spans="1:11" ht="15.75" customHeight="1" thickTop="1" x14ac:dyDescent="0.2">
      <c r="A210" s="1337" t="s">
        <v>1082</v>
      </c>
      <c r="B210" s="1342"/>
      <c r="C210" s="1633"/>
      <c r="D210" s="1633"/>
      <c r="E210" s="1574"/>
      <c r="F210" s="1633"/>
      <c r="G210" s="1633"/>
      <c r="H210" s="1574"/>
      <c r="I210" s="1574"/>
      <c r="J210" s="1574"/>
      <c r="K210" s="1574"/>
    </row>
    <row r="211" spans="1:11" ht="12.75" customHeight="1" x14ac:dyDescent="0.2">
      <c r="A211" s="427" t="s">
        <v>1042</v>
      </c>
      <c r="B211" s="429">
        <v>4600</v>
      </c>
      <c r="C211" s="1631">
        <v>64690</v>
      </c>
      <c r="D211" s="1572"/>
      <c r="E211" s="1574"/>
      <c r="F211" s="1572"/>
      <c r="G211" s="1572"/>
      <c r="H211" s="1574"/>
      <c r="I211" s="1574"/>
      <c r="J211" s="1574"/>
      <c r="K211" s="1574"/>
    </row>
    <row r="212" spans="1:11" ht="12.75" customHeight="1" x14ac:dyDescent="0.2">
      <c r="A212" s="427" t="s">
        <v>1043</v>
      </c>
      <c r="B212" s="429">
        <v>4605</v>
      </c>
      <c r="C212" s="1631"/>
      <c r="D212" s="1572"/>
      <c r="E212" s="1574"/>
      <c r="F212" s="1572"/>
      <c r="G212" s="1572"/>
      <c r="H212" s="1574"/>
      <c r="I212" s="1574"/>
      <c r="J212" s="1574"/>
      <c r="K212" s="1574"/>
    </row>
    <row r="213" spans="1:11" ht="12.75" customHeight="1" x14ac:dyDescent="0.2">
      <c r="A213" s="427" t="s">
        <v>1436</v>
      </c>
      <c r="B213" s="475">
        <v>4620</v>
      </c>
      <c r="C213" s="1631">
        <v>2778760</v>
      </c>
      <c r="D213" s="1572"/>
      <c r="E213" s="1574"/>
      <c r="F213" s="1572"/>
      <c r="G213" s="1572"/>
      <c r="H213" s="1574"/>
      <c r="I213" s="1574"/>
      <c r="J213" s="1574"/>
      <c r="K213" s="1574"/>
    </row>
    <row r="214" spans="1:11" ht="12.75" customHeight="1" x14ac:dyDescent="0.2">
      <c r="A214" s="427" t="s">
        <v>1044</v>
      </c>
      <c r="B214" s="429">
        <v>4625</v>
      </c>
      <c r="C214" s="1631">
        <v>762026</v>
      </c>
      <c r="D214" s="1572"/>
      <c r="E214" s="1574"/>
      <c r="F214" s="1572"/>
      <c r="G214" s="1572"/>
      <c r="H214" s="1574"/>
      <c r="I214" s="1574"/>
      <c r="J214" s="1574"/>
      <c r="K214" s="1574"/>
    </row>
    <row r="215" spans="1:11" ht="12.75" customHeight="1" x14ac:dyDescent="0.2">
      <c r="A215" s="427" t="s">
        <v>1045</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443</v>
      </c>
      <c r="B217" s="1406"/>
      <c r="C217" s="1632">
        <f>SUM(C211:C216)</f>
        <v>3605476</v>
      </c>
      <c r="D217" s="1632">
        <f>SUM(D211:D216)</f>
        <v>0</v>
      </c>
      <c r="E217" s="1574"/>
      <c r="F217" s="1632">
        <f>SUM(F211:F216)</f>
        <v>0</v>
      </c>
      <c r="G217" s="1632">
        <f>SUM(G211:G216)</f>
        <v>0</v>
      </c>
      <c r="H217" s="1574"/>
      <c r="I217" s="1574"/>
      <c r="J217" s="1574"/>
      <c r="K217" s="1574"/>
    </row>
    <row r="218" spans="1:11" ht="15.75" customHeight="1" thickTop="1" x14ac:dyDescent="0.2">
      <c r="A218" s="1337" t="s">
        <v>1083</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1117</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1437</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1403</v>
      </c>
      <c r="B253" s="487">
        <v>4901</v>
      </c>
      <c r="C253" s="1665"/>
      <c r="D253" s="1575"/>
      <c r="E253" s="1574"/>
      <c r="F253" s="1574"/>
      <c r="G253" s="1574"/>
      <c r="H253" s="1574"/>
      <c r="I253" s="1574"/>
      <c r="J253" s="1574"/>
      <c r="K253" s="1574"/>
    </row>
    <row r="254" spans="1:11" ht="12.75" customHeight="1" thickTop="1" thickBot="1" x14ac:dyDescent="0.25">
      <c r="A254" s="1272" t="s">
        <v>1445</v>
      </c>
      <c r="B254" s="488">
        <v>4902</v>
      </c>
      <c r="C254" s="1666">
        <v>193466</v>
      </c>
      <c r="D254" s="1667"/>
      <c r="E254" s="1575"/>
      <c r="F254" s="1667"/>
      <c r="G254" s="1667"/>
      <c r="H254" s="1575"/>
      <c r="I254" s="1574"/>
      <c r="J254" s="1575"/>
      <c r="K254" s="1575"/>
    </row>
    <row r="255" spans="1:11" ht="12.75" customHeight="1" thickTop="1" thickBot="1" x14ac:dyDescent="0.25">
      <c r="A255" s="427" t="s">
        <v>1438</v>
      </c>
      <c r="B255" s="429">
        <v>4905</v>
      </c>
      <c r="C255" s="1648"/>
      <c r="D255" s="1574"/>
      <c r="E255" s="1574"/>
      <c r="F255" s="1652"/>
      <c r="G255" s="1648"/>
      <c r="H255" s="1574"/>
      <c r="I255" s="1574"/>
      <c r="J255" s="1574"/>
      <c r="K255" s="1574"/>
    </row>
    <row r="256" spans="1:11" ht="12.75" customHeight="1" thickTop="1" thickBot="1" x14ac:dyDescent="0.25">
      <c r="A256" s="427" t="s">
        <v>1439</v>
      </c>
      <c r="B256" s="429">
        <v>4909</v>
      </c>
      <c r="C256" s="1650">
        <v>60251</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358418</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1892</v>
      </c>
      <c r="B261" s="429">
        <v>4981</v>
      </c>
      <c r="C261" s="1649"/>
      <c r="D261" s="1650"/>
      <c r="E261" s="1574"/>
      <c r="F261" s="1650"/>
      <c r="G261" s="1650"/>
      <c r="H261" s="1574"/>
      <c r="I261" s="1574"/>
      <c r="J261" s="1574"/>
      <c r="K261" s="1574"/>
    </row>
    <row r="262" spans="1:11" ht="12.75" customHeight="1" thickTop="1" thickBot="1" x14ac:dyDescent="0.25">
      <c r="A262" s="1539" t="s">
        <v>1893</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183210</v>
      </c>
      <c r="D263" s="1650"/>
      <c r="E263" s="1574"/>
      <c r="F263" s="1650"/>
      <c r="G263" s="1650"/>
      <c r="H263" s="1574"/>
      <c r="I263" s="1574"/>
      <c r="J263" s="1574"/>
      <c r="K263" s="1574"/>
    </row>
    <row r="264" spans="1:11" ht="12.75" customHeight="1" thickTop="1" thickBot="1" x14ac:dyDescent="0.25">
      <c r="A264" s="427" t="s">
        <v>373</v>
      </c>
      <c r="B264" s="429">
        <v>4992</v>
      </c>
      <c r="C264" s="1649">
        <v>243433</v>
      </c>
      <c r="D264" s="1650"/>
      <c r="E264" s="1574"/>
      <c r="F264" s="1650"/>
      <c r="G264" s="1650"/>
      <c r="H264" s="1574"/>
      <c r="I264" s="1574"/>
      <c r="J264" s="1574"/>
      <c r="K264" s="1574"/>
    </row>
    <row r="265" spans="1:11" s="489" customFormat="1" ht="12.75" customHeight="1" thickTop="1" thickBot="1" x14ac:dyDescent="0.25">
      <c r="A265" s="479" t="s">
        <v>75</v>
      </c>
      <c r="B265" s="475">
        <v>4998</v>
      </c>
      <c r="C265" s="1649">
        <v>132782</v>
      </c>
      <c r="D265" s="1650"/>
      <c r="E265" s="1574"/>
      <c r="F265" s="1650"/>
      <c r="G265" s="1650"/>
      <c r="H265" s="1625"/>
      <c r="I265" s="1574"/>
      <c r="J265" s="1574"/>
      <c r="K265" s="1625"/>
    </row>
    <row r="266" spans="1:11" ht="14.25" thickTop="1" thickBot="1" x14ac:dyDescent="0.25">
      <c r="A266" s="1405" t="s">
        <v>1646</v>
      </c>
      <c r="B266" s="1418"/>
      <c r="C266" s="1640">
        <f t="shared" ref="C266:H266" si="10">SUM(C188,C198,C204,C209,C217,C221,C222,C252:C265)</f>
        <v>9034421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1076</v>
      </c>
      <c r="B267" s="1420" t="s">
        <v>854</v>
      </c>
      <c r="C267" s="1640">
        <f>SUM(C175,C181,C266)</f>
        <v>9034421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97016644</v>
      </c>
      <c r="D268" s="1640">
        <f t="shared" si="12"/>
        <v>11512345</v>
      </c>
      <c r="E268" s="1640">
        <f t="shared" si="12"/>
        <v>26817224</v>
      </c>
      <c r="F268" s="1640">
        <f t="shared" si="12"/>
        <v>10560778</v>
      </c>
      <c r="G268" s="1640">
        <f t="shared" si="12"/>
        <v>4072539</v>
      </c>
      <c r="H268" s="1640">
        <f t="shared" si="12"/>
        <v>0</v>
      </c>
      <c r="I268" s="1640">
        <f t="shared" si="12"/>
        <v>1216587</v>
      </c>
      <c r="J268" s="1640">
        <f t="shared" si="12"/>
        <v>5024620</v>
      </c>
      <c r="K268" s="1628">
        <f t="shared" si="12"/>
        <v>1197400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312" activePane="bottomLeft" state="frozen"/>
      <selection activeCell="H16" sqref="H16"/>
      <selection pane="bottomLeft" activeCell="P324" sqref="P3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4" t="s">
        <v>293</v>
      </c>
      <c r="B3" s="2275"/>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41544899</v>
      </c>
      <c r="D5" s="1572">
        <v>6343629</v>
      </c>
      <c r="E5" s="1572">
        <v>148871</v>
      </c>
      <c r="F5" s="1572">
        <v>1010186</v>
      </c>
      <c r="G5" s="1572">
        <v>6990</v>
      </c>
      <c r="H5" s="1572">
        <f>19961-8</f>
        <v>19953</v>
      </c>
      <c r="I5" s="1573">
        <f>34754</f>
        <v>34754</v>
      </c>
      <c r="J5" s="1573"/>
      <c r="K5" s="1671">
        <f>SUM(C5:J5)</f>
        <v>49109282</v>
      </c>
      <c r="L5" s="1572">
        <v>49537959</v>
      </c>
    </row>
    <row r="6" spans="1:14" x14ac:dyDescent="0.2">
      <c r="A6" s="1273" t="s">
        <v>1415</v>
      </c>
      <c r="B6" s="503" t="s">
        <v>1413</v>
      </c>
      <c r="C6" s="1581"/>
      <c r="D6" s="1581"/>
      <c r="E6" s="1572">
        <v>271691</v>
      </c>
      <c r="F6" s="1581"/>
      <c r="G6" s="1581"/>
      <c r="H6" s="1581"/>
      <c r="I6" s="1581"/>
      <c r="J6" s="1581"/>
      <c r="K6" s="1671">
        <f>SUM(C6,E6)</f>
        <v>271691</v>
      </c>
      <c r="L6" s="1572"/>
    </row>
    <row r="7" spans="1:14" x14ac:dyDescent="0.2">
      <c r="A7" s="1273" t="s">
        <v>162</v>
      </c>
      <c r="B7" s="503" t="s">
        <v>960</v>
      </c>
      <c r="C7" s="1573"/>
      <c r="D7" s="1573"/>
      <c r="E7" s="1573"/>
      <c r="F7" s="1573"/>
      <c r="G7" s="1573"/>
      <c r="H7" s="1573"/>
      <c r="I7" s="1573"/>
      <c r="J7" s="1573"/>
      <c r="K7" s="1671">
        <f t="shared" ref="K7:K32" si="0">SUM(C7:J7)</f>
        <v>0</v>
      </c>
      <c r="L7" s="1572"/>
    </row>
    <row r="8" spans="1:14" x14ac:dyDescent="0.2">
      <c r="A8" s="1273" t="s">
        <v>163</v>
      </c>
      <c r="B8" s="503">
        <v>1200</v>
      </c>
      <c r="C8" s="1572">
        <v>19160652</v>
      </c>
      <c r="D8" s="1572">
        <v>4336360</v>
      </c>
      <c r="E8" s="1572">
        <v>180773</v>
      </c>
      <c r="F8" s="1572">
        <v>314777</v>
      </c>
      <c r="G8" s="1572"/>
      <c r="H8" s="1572">
        <v>4426538</v>
      </c>
      <c r="I8" s="1573">
        <v>26759</v>
      </c>
      <c r="J8" s="1573"/>
      <c r="K8" s="1671">
        <f t="shared" si="0"/>
        <v>28445859</v>
      </c>
      <c r="L8" s="1572">
        <v>28262572</v>
      </c>
    </row>
    <row r="9" spans="1:14" x14ac:dyDescent="0.2">
      <c r="A9" s="1273" t="s">
        <v>715</v>
      </c>
      <c r="B9" s="503" t="s">
        <v>961</v>
      </c>
      <c r="C9" s="1573">
        <v>971026</v>
      </c>
      <c r="D9" s="1573">
        <v>220682</v>
      </c>
      <c r="E9" s="1573">
        <v>6210</v>
      </c>
      <c r="F9" s="1573">
        <v>36505</v>
      </c>
      <c r="G9" s="1573"/>
      <c r="H9" s="1573"/>
      <c r="I9" s="1573"/>
      <c r="J9" s="1573"/>
      <c r="K9" s="1671">
        <f t="shared" si="0"/>
        <v>1234423</v>
      </c>
      <c r="L9" s="1572">
        <v>1400034</v>
      </c>
    </row>
    <row r="10" spans="1:14" x14ac:dyDescent="0.2">
      <c r="A10" s="1273" t="s">
        <v>716</v>
      </c>
      <c r="B10" s="503">
        <v>1250</v>
      </c>
      <c r="C10" s="1572">
        <v>1211262</v>
      </c>
      <c r="D10" s="1572">
        <v>283281</v>
      </c>
      <c r="E10" s="1572">
        <v>271</v>
      </c>
      <c r="F10" s="1572">
        <v>440454</v>
      </c>
      <c r="G10" s="1572"/>
      <c r="H10" s="1572"/>
      <c r="I10" s="1573"/>
      <c r="J10" s="1573"/>
      <c r="K10" s="1671">
        <f t="shared" si="0"/>
        <v>1935268</v>
      </c>
      <c r="L10" s="1572">
        <v>2127721</v>
      </c>
    </row>
    <row r="11" spans="1:14" x14ac:dyDescent="0.2">
      <c r="A11" s="1273" t="s">
        <v>1119</v>
      </c>
      <c r="B11" s="503" t="s">
        <v>160</v>
      </c>
      <c r="C11" s="1573"/>
      <c r="D11" s="1573"/>
      <c r="E11" s="1573"/>
      <c r="F11" s="1573"/>
      <c r="G11" s="1573"/>
      <c r="H11" s="1573"/>
      <c r="I11" s="1573"/>
      <c r="J11" s="1573"/>
      <c r="K11" s="1671">
        <f t="shared" si="0"/>
        <v>0</v>
      </c>
      <c r="L11" s="1572"/>
    </row>
    <row r="12" spans="1:14" x14ac:dyDescent="0.2">
      <c r="A12" s="1273" t="s">
        <v>955</v>
      </c>
      <c r="B12" s="503">
        <v>1300</v>
      </c>
      <c r="C12" s="1572"/>
      <c r="D12" s="1572"/>
      <c r="E12" s="1572"/>
      <c r="F12" s="1572"/>
      <c r="G12" s="1572"/>
      <c r="H12" s="1572"/>
      <c r="I12" s="1573"/>
      <c r="J12" s="1573"/>
      <c r="K12" s="1671">
        <f t="shared" si="0"/>
        <v>0</v>
      </c>
      <c r="L12" s="1572"/>
    </row>
    <row r="13" spans="1:14" x14ac:dyDescent="0.2">
      <c r="A13" s="1273" t="s">
        <v>717</v>
      </c>
      <c r="B13" s="503">
        <v>1400</v>
      </c>
      <c r="C13" s="1572"/>
      <c r="D13" s="1572"/>
      <c r="E13" s="1572">
        <v>155</v>
      </c>
      <c r="F13" s="1572">
        <v>6086</v>
      </c>
      <c r="G13" s="1572"/>
      <c r="H13" s="1572"/>
      <c r="I13" s="1573"/>
      <c r="J13" s="1573"/>
      <c r="K13" s="1671">
        <f t="shared" si="0"/>
        <v>6241</v>
      </c>
      <c r="L13" s="1572">
        <v>26271</v>
      </c>
    </row>
    <row r="14" spans="1:14" x14ac:dyDescent="0.2">
      <c r="A14" s="1273" t="s">
        <v>956</v>
      </c>
      <c r="B14" s="503">
        <v>1500</v>
      </c>
      <c r="C14" s="1572">
        <v>656581</v>
      </c>
      <c r="D14" s="1572">
        <v>22077</v>
      </c>
      <c r="E14" s="1572">
        <v>167186</v>
      </c>
      <c r="F14" s="1572">
        <v>162268</v>
      </c>
      <c r="G14" s="1572">
        <v>15044</v>
      </c>
      <c r="H14" s="1572">
        <v>48274</v>
      </c>
      <c r="I14" s="1573"/>
      <c r="J14" s="1573"/>
      <c r="K14" s="1671">
        <f t="shared" si="0"/>
        <v>1071430</v>
      </c>
      <c r="L14" s="1572">
        <v>1042993</v>
      </c>
    </row>
    <row r="15" spans="1:14" x14ac:dyDescent="0.2">
      <c r="A15" s="1273" t="s">
        <v>957</v>
      </c>
      <c r="B15" s="503">
        <v>1600</v>
      </c>
      <c r="C15" s="1572">
        <v>153618</v>
      </c>
      <c r="D15" s="1572">
        <v>13572</v>
      </c>
      <c r="E15" s="1572"/>
      <c r="F15" s="1572">
        <v>1256</v>
      </c>
      <c r="G15" s="1572"/>
      <c r="H15" s="1572"/>
      <c r="I15" s="1573"/>
      <c r="J15" s="1573"/>
      <c r="K15" s="1671">
        <f t="shared" si="0"/>
        <v>168446</v>
      </c>
      <c r="L15" s="1572">
        <v>130700</v>
      </c>
    </row>
    <row r="16" spans="1:14" x14ac:dyDescent="0.2">
      <c r="A16" s="1273" t="s">
        <v>979</v>
      </c>
      <c r="B16" s="503" t="s">
        <v>420</v>
      </c>
      <c r="C16" s="1572"/>
      <c r="D16" s="1572"/>
      <c r="E16" s="1572"/>
      <c r="F16" s="1572"/>
      <c r="G16" s="1572"/>
      <c r="H16" s="1572"/>
      <c r="I16" s="1573"/>
      <c r="J16" s="1573"/>
      <c r="K16" s="1671">
        <f t="shared" si="0"/>
        <v>0</v>
      </c>
      <c r="L16" s="1572"/>
    </row>
    <row r="17" spans="1:12" x14ac:dyDescent="0.2">
      <c r="A17" s="1273" t="s">
        <v>718</v>
      </c>
      <c r="B17" s="503" t="s">
        <v>161</v>
      </c>
      <c r="C17" s="1573">
        <v>12837</v>
      </c>
      <c r="D17" s="1573">
        <v>486</v>
      </c>
      <c r="E17" s="1573"/>
      <c r="F17" s="1573"/>
      <c r="G17" s="1573"/>
      <c r="H17" s="1573"/>
      <c r="I17" s="1573"/>
      <c r="J17" s="1573"/>
      <c r="K17" s="1671">
        <f t="shared" si="0"/>
        <v>13323</v>
      </c>
      <c r="L17" s="1572">
        <v>15571</v>
      </c>
    </row>
    <row r="18" spans="1:12" x14ac:dyDescent="0.2">
      <c r="A18" s="1273" t="s">
        <v>1077</v>
      </c>
      <c r="B18" s="503">
        <v>1800</v>
      </c>
      <c r="C18" s="1572">
        <v>1210720</v>
      </c>
      <c r="D18" s="1572">
        <v>206625</v>
      </c>
      <c r="E18" s="1572"/>
      <c r="F18" s="1572">
        <v>1816</v>
      </c>
      <c r="G18" s="1572"/>
      <c r="H18" s="1572"/>
      <c r="I18" s="1573"/>
      <c r="J18" s="1573"/>
      <c r="K18" s="1671">
        <f t="shared" si="0"/>
        <v>1419161</v>
      </c>
      <c r="L18" s="1572">
        <v>1345023</v>
      </c>
    </row>
    <row r="19" spans="1:12" x14ac:dyDescent="0.2">
      <c r="A19" s="1273" t="s">
        <v>133</v>
      </c>
      <c r="B19" s="503">
        <v>1900</v>
      </c>
      <c r="C19" s="1572"/>
      <c r="D19" s="1572"/>
      <c r="E19" s="1572"/>
      <c r="F19" s="1572"/>
      <c r="G19" s="1572"/>
      <c r="H19" s="1572">
        <v>23080</v>
      </c>
      <c r="I19" s="1573"/>
      <c r="J19" s="1573"/>
      <c r="K19" s="1671">
        <f t="shared" si="0"/>
        <v>23080</v>
      </c>
      <c r="L19" s="1572">
        <v>84000</v>
      </c>
    </row>
    <row r="20" spans="1:12" x14ac:dyDescent="0.2">
      <c r="A20" s="1274" t="s">
        <v>732</v>
      </c>
      <c r="B20" s="494" t="s">
        <v>719</v>
      </c>
      <c r="C20" s="1581"/>
      <c r="D20" s="1581"/>
      <c r="E20" s="1581"/>
      <c r="F20" s="1581"/>
      <c r="G20" s="1581"/>
      <c r="H20" s="1578"/>
      <c r="I20" s="1672"/>
      <c r="J20" s="1579"/>
      <c r="K20" s="1671">
        <f t="shared" si="0"/>
        <v>0</v>
      </c>
      <c r="L20" s="1576"/>
    </row>
    <row r="21" spans="1:12" x14ac:dyDescent="0.2">
      <c r="A21" s="1274" t="s">
        <v>733</v>
      </c>
      <c r="B21" s="494" t="s">
        <v>720</v>
      </c>
      <c r="C21" s="1581"/>
      <c r="D21" s="1581"/>
      <c r="E21" s="1581"/>
      <c r="F21" s="1581"/>
      <c r="G21" s="1581"/>
      <c r="H21" s="1578"/>
      <c r="I21" s="1672"/>
      <c r="J21" s="1581"/>
      <c r="K21" s="1671">
        <f t="shared" si="0"/>
        <v>0</v>
      </c>
      <c r="L21" s="1576"/>
    </row>
    <row r="22" spans="1:12" x14ac:dyDescent="0.2">
      <c r="A22" s="1274" t="s">
        <v>734</v>
      </c>
      <c r="B22" s="494" t="s">
        <v>721</v>
      </c>
      <c r="C22" s="1581"/>
      <c r="D22" s="1581"/>
      <c r="E22" s="1581"/>
      <c r="F22" s="1581"/>
      <c r="G22" s="1581"/>
      <c r="H22" s="1578"/>
      <c r="I22" s="1672"/>
      <c r="J22" s="1581"/>
      <c r="K22" s="1671">
        <f t="shared" si="0"/>
        <v>0</v>
      </c>
      <c r="L22" s="1576"/>
    </row>
    <row r="23" spans="1:12" x14ac:dyDescent="0.2">
      <c r="A23" s="1274" t="s">
        <v>735</v>
      </c>
      <c r="B23" s="494" t="s">
        <v>722</v>
      </c>
      <c r="C23" s="1581"/>
      <c r="D23" s="1581"/>
      <c r="E23" s="1581"/>
      <c r="F23" s="1581"/>
      <c r="G23" s="1581"/>
      <c r="H23" s="1578"/>
      <c r="I23" s="1672"/>
      <c r="J23" s="1581"/>
      <c r="K23" s="1671">
        <f t="shared" si="0"/>
        <v>0</v>
      </c>
      <c r="L23" s="1576"/>
    </row>
    <row r="24" spans="1:12" ht="12.75" customHeight="1" x14ac:dyDescent="0.2">
      <c r="A24" s="1274" t="s">
        <v>736</v>
      </c>
      <c r="B24" s="494" t="s">
        <v>723</v>
      </c>
      <c r="C24" s="1581"/>
      <c r="D24" s="1581"/>
      <c r="E24" s="1581"/>
      <c r="F24" s="1581"/>
      <c r="G24" s="1581"/>
      <c r="H24" s="1578"/>
      <c r="I24" s="1672"/>
      <c r="J24" s="1581"/>
      <c r="K24" s="1671">
        <f t="shared" si="0"/>
        <v>0</v>
      </c>
      <c r="L24" s="1576"/>
    </row>
    <row r="25" spans="1:12" ht="12.75" customHeight="1" x14ac:dyDescent="0.2">
      <c r="A25" s="1274" t="s">
        <v>796</v>
      </c>
      <c r="B25" s="494" t="s">
        <v>724</v>
      </c>
      <c r="C25" s="1581"/>
      <c r="D25" s="1581"/>
      <c r="E25" s="1581"/>
      <c r="F25" s="1581"/>
      <c r="G25" s="1581"/>
      <c r="H25" s="1578"/>
      <c r="I25" s="1672"/>
      <c r="J25" s="1581"/>
      <c r="K25" s="1671">
        <f t="shared" si="0"/>
        <v>0</v>
      </c>
      <c r="L25" s="1576"/>
    </row>
    <row r="26" spans="1:12" x14ac:dyDescent="0.2">
      <c r="A26" s="1274" t="s">
        <v>617</v>
      </c>
      <c r="B26" s="494" t="s">
        <v>725</v>
      </c>
      <c r="C26" s="1581"/>
      <c r="D26" s="1581"/>
      <c r="E26" s="1581"/>
      <c r="F26" s="1581"/>
      <c r="G26" s="1581"/>
      <c r="H26" s="1578"/>
      <c r="I26" s="1672"/>
      <c r="J26" s="1581"/>
      <c r="K26" s="1671">
        <f t="shared" si="0"/>
        <v>0</v>
      </c>
      <c r="L26" s="1576"/>
    </row>
    <row r="27" spans="1:12" x14ac:dyDescent="0.2">
      <c r="A27" s="1274" t="s">
        <v>618</v>
      </c>
      <c r="B27" s="494" t="s">
        <v>726</v>
      </c>
      <c r="C27" s="1581"/>
      <c r="D27" s="1581"/>
      <c r="E27" s="1581"/>
      <c r="F27" s="1581"/>
      <c r="G27" s="1581"/>
      <c r="H27" s="1578"/>
      <c r="I27" s="1672"/>
      <c r="J27" s="1581"/>
      <c r="K27" s="1671">
        <f t="shared" si="0"/>
        <v>0</v>
      </c>
      <c r="L27" s="1576"/>
    </row>
    <row r="28" spans="1:12" x14ac:dyDescent="0.2">
      <c r="A28" s="1274" t="s">
        <v>149</v>
      </c>
      <c r="B28" s="494" t="s">
        <v>727</v>
      </c>
      <c r="C28" s="1581"/>
      <c r="D28" s="1581"/>
      <c r="E28" s="1581"/>
      <c r="F28" s="1581"/>
      <c r="G28" s="1581"/>
      <c r="H28" s="1578"/>
      <c r="I28" s="1672"/>
      <c r="J28" s="1581"/>
      <c r="K28" s="1671">
        <f t="shared" si="0"/>
        <v>0</v>
      </c>
      <c r="L28" s="1576"/>
    </row>
    <row r="29" spans="1:12" x14ac:dyDescent="0.2">
      <c r="A29" s="1274" t="s">
        <v>150</v>
      </c>
      <c r="B29" s="494" t="s">
        <v>728</v>
      </c>
      <c r="C29" s="1581"/>
      <c r="D29" s="1581"/>
      <c r="E29" s="1581"/>
      <c r="F29" s="1581"/>
      <c r="G29" s="1581"/>
      <c r="H29" s="1578"/>
      <c r="I29" s="1672"/>
      <c r="J29" s="1581"/>
      <c r="K29" s="1671">
        <f t="shared" si="0"/>
        <v>0</v>
      </c>
      <c r="L29" s="1576"/>
    </row>
    <row r="30" spans="1:12" x14ac:dyDescent="0.2">
      <c r="A30" s="1274" t="s">
        <v>151</v>
      </c>
      <c r="B30" s="494" t="s">
        <v>729</v>
      </c>
      <c r="C30" s="1581"/>
      <c r="D30" s="1581"/>
      <c r="E30" s="1581"/>
      <c r="F30" s="1581"/>
      <c r="G30" s="1581"/>
      <c r="H30" s="1578"/>
      <c r="I30" s="1672"/>
      <c r="J30" s="1581"/>
      <c r="K30" s="1671">
        <f t="shared" si="0"/>
        <v>0</v>
      </c>
      <c r="L30" s="1576"/>
    </row>
    <row r="31" spans="1:12" x14ac:dyDescent="0.2">
      <c r="A31" s="1274" t="s">
        <v>152</v>
      </c>
      <c r="B31" s="494" t="s">
        <v>730</v>
      </c>
      <c r="C31" s="1581"/>
      <c r="D31" s="1581"/>
      <c r="E31" s="1581"/>
      <c r="F31" s="1581"/>
      <c r="G31" s="1581"/>
      <c r="H31" s="1578"/>
      <c r="I31" s="1672"/>
      <c r="J31" s="1581"/>
      <c r="K31" s="1671">
        <f t="shared" si="0"/>
        <v>0</v>
      </c>
      <c r="L31" s="1576"/>
    </row>
    <row r="32" spans="1:12" x14ac:dyDescent="0.2">
      <c r="A32" s="1275" t="s">
        <v>1118</v>
      </c>
      <c r="B32" s="503" t="s">
        <v>731</v>
      </c>
      <c r="C32" s="1581"/>
      <c r="D32" s="1581"/>
      <c r="E32" s="1581"/>
      <c r="F32" s="1581"/>
      <c r="G32" s="1581"/>
      <c r="H32" s="1578"/>
      <c r="I32" s="1672"/>
      <c r="J32" s="1584"/>
      <c r="K32" s="1671">
        <f t="shared" si="0"/>
        <v>0</v>
      </c>
      <c r="L32" s="1576"/>
    </row>
    <row r="33" spans="1:14" ht="12.75" customHeight="1" thickBot="1" x14ac:dyDescent="0.25">
      <c r="A33" s="1379" t="s">
        <v>1648</v>
      </c>
      <c r="B33" s="1380" t="s">
        <v>565</v>
      </c>
      <c r="C33" s="1673">
        <f>SUM(C5:C32)</f>
        <v>64921595</v>
      </c>
      <c r="D33" s="1673">
        <f t="shared" ref="D33:L33" si="1">SUM(D5:D32)</f>
        <v>11426712</v>
      </c>
      <c r="E33" s="1673">
        <f t="shared" si="1"/>
        <v>775157</v>
      </c>
      <c r="F33" s="1673">
        <f t="shared" si="1"/>
        <v>1973348</v>
      </c>
      <c r="G33" s="1673">
        <f t="shared" si="1"/>
        <v>22034</v>
      </c>
      <c r="H33" s="1673">
        <f t="shared" si="1"/>
        <v>4517845</v>
      </c>
      <c r="I33" s="1673">
        <f t="shared" si="1"/>
        <v>61513</v>
      </c>
      <c r="J33" s="1673">
        <f t="shared" si="1"/>
        <v>0</v>
      </c>
      <c r="K33" s="1673">
        <f t="shared" si="1"/>
        <v>83698204</v>
      </c>
      <c r="L33" s="1673">
        <f t="shared" si="1"/>
        <v>83972844</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1079</v>
      </c>
      <c r="B36" s="503">
        <v>2110</v>
      </c>
      <c r="C36" s="1585">
        <v>1295124</v>
      </c>
      <c r="D36" s="1585">
        <v>198306</v>
      </c>
      <c r="E36" s="1585">
        <v>901</v>
      </c>
      <c r="F36" s="1585"/>
      <c r="G36" s="1585"/>
      <c r="H36" s="1585"/>
      <c r="I36" s="1573"/>
      <c r="J36" s="1573"/>
      <c r="K36" s="1671">
        <f t="shared" ref="K36:K41" si="2">SUM(C36:J36)</f>
        <v>1494331</v>
      </c>
      <c r="L36" s="1572">
        <v>1483110</v>
      </c>
    </row>
    <row r="37" spans="1:14" x14ac:dyDescent="0.2">
      <c r="A37" s="1273" t="s">
        <v>1080</v>
      </c>
      <c r="B37" s="503">
        <v>2120</v>
      </c>
      <c r="C37" s="1572">
        <v>1545552</v>
      </c>
      <c r="D37" s="1572">
        <v>227910</v>
      </c>
      <c r="E37" s="1572">
        <v>200000</v>
      </c>
      <c r="F37" s="1572"/>
      <c r="G37" s="1572"/>
      <c r="H37" s="1572"/>
      <c r="I37" s="1573"/>
      <c r="J37" s="1573"/>
      <c r="K37" s="1671">
        <f t="shared" si="2"/>
        <v>1973462</v>
      </c>
      <c r="L37" s="1572">
        <v>1747050</v>
      </c>
    </row>
    <row r="38" spans="1:14" x14ac:dyDescent="0.2">
      <c r="A38" s="1273" t="s">
        <v>196</v>
      </c>
      <c r="B38" s="503">
        <v>2130</v>
      </c>
      <c r="C38" s="1572">
        <v>537584</v>
      </c>
      <c r="D38" s="1572">
        <v>156904</v>
      </c>
      <c r="E38" s="1572">
        <v>2899</v>
      </c>
      <c r="F38" s="1572">
        <v>15931</v>
      </c>
      <c r="G38" s="1572"/>
      <c r="H38" s="1572"/>
      <c r="I38" s="1573">
        <v>1074</v>
      </c>
      <c r="J38" s="1573"/>
      <c r="K38" s="1671">
        <f t="shared" si="2"/>
        <v>714392</v>
      </c>
      <c r="L38" s="1572">
        <v>652627</v>
      </c>
    </row>
    <row r="39" spans="1:14" x14ac:dyDescent="0.2">
      <c r="A39" s="1273" t="s">
        <v>197</v>
      </c>
      <c r="B39" s="503">
        <v>2140</v>
      </c>
      <c r="C39" s="1572">
        <v>1017915</v>
      </c>
      <c r="D39" s="1572">
        <v>145439</v>
      </c>
      <c r="E39" s="1572">
        <v>1034</v>
      </c>
      <c r="F39" s="1572"/>
      <c r="G39" s="1572"/>
      <c r="H39" s="1572"/>
      <c r="I39" s="1573"/>
      <c r="J39" s="1573"/>
      <c r="K39" s="1671">
        <f t="shared" si="2"/>
        <v>1164388</v>
      </c>
      <c r="L39" s="1572">
        <v>890930</v>
      </c>
    </row>
    <row r="40" spans="1:14" x14ac:dyDescent="0.2">
      <c r="A40" s="1273" t="s">
        <v>198</v>
      </c>
      <c r="B40" s="503">
        <v>2150</v>
      </c>
      <c r="C40" s="1572">
        <v>540145</v>
      </c>
      <c r="D40" s="1572">
        <v>81725</v>
      </c>
      <c r="E40" s="1572"/>
      <c r="F40" s="1572"/>
      <c r="G40" s="1572"/>
      <c r="H40" s="1572"/>
      <c r="I40" s="1573"/>
      <c r="J40" s="1573"/>
      <c r="K40" s="1671">
        <f t="shared" si="2"/>
        <v>621870</v>
      </c>
      <c r="L40" s="1572">
        <v>556840</v>
      </c>
    </row>
    <row r="41" spans="1:14" x14ac:dyDescent="0.2">
      <c r="A41" s="1273" t="s">
        <v>1649</v>
      </c>
      <c r="B41" s="503">
        <v>2190</v>
      </c>
      <c r="C41" s="1572">
        <v>3628</v>
      </c>
      <c r="D41" s="1572">
        <v>39</v>
      </c>
      <c r="E41" s="1572"/>
      <c r="F41" s="1572">
        <v>540</v>
      </c>
      <c r="G41" s="1572"/>
      <c r="H41" s="1572"/>
      <c r="I41" s="1573"/>
      <c r="J41" s="1573"/>
      <c r="K41" s="1671">
        <f t="shared" si="2"/>
        <v>4207</v>
      </c>
      <c r="L41" s="1572">
        <v>15318</v>
      </c>
    </row>
    <row r="42" spans="1:14" ht="12.75" customHeight="1" thickBot="1" x14ac:dyDescent="0.25">
      <c r="A42" s="1379" t="s">
        <v>555</v>
      </c>
      <c r="B42" s="1380" t="s">
        <v>710</v>
      </c>
      <c r="C42" s="1673">
        <f>SUM(C36:C41)</f>
        <v>4939948</v>
      </c>
      <c r="D42" s="1673">
        <f t="shared" ref="D42:L42" si="3">SUM(D36:D41)</f>
        <v>810323</v>
      </c>
      <c r="E42" s="1673">
        <f t="shared" si="3"/>
        <v>204834</v>
      </c>
      <c r="F42" s="1673">
        <f t="shared" si="3"/>
        <v>16471</v>
      </c>
      <c r="G42" s="1673">
        <f t="shared" si="3"/>
        <v>0</v>
      </c>
      <c r="H42" s="1673">
        <f t="shared" si="3"/>
        <v>0</v>
      </c>
      <c r="I42" s="1673">
        <f t="shared" si="3"/>
        <v>1074</v>
      </c>
      <c r="J42" s="1673">
        <f t="shared" si="3"/>
        <v>0</v>
      </c>
      <c r="K42" s="1673">
        <f t="shared" si="3"/>
        <v>5972650</v>
      </c>
      <c r="L42" s="1673">
        <f t="shared" si="3"/>
        <v>5345875</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1285640</v>
      </c>
      <c r="D44" s="1585">
        <v>230795</v>
      </c>
      <c r="E44" s="1585">
        <v>178750</v>
      </c>
      <c r="F44" s="1585">
        <v>255599</v>
      </c>
      <c r="G44" s="1585"/>
      <c r="H44" s="1585">
        <v>5289</v>
      </c>
      <c r="I44" s="1573"/>
      <c r="J44" s="1573"/>
      <c r="K44" s="1677">
        <f>SUM(C44:J44)</f>
        <v>1956073</v>
      </c>
      <c r="L44" s="1585">
        <v>2591252</v>
      </c>
    </row>
    <row r="45" spans="1:14" x14ac:dyDescent="0.2">
      <c r="A45" s="1273" t="s">
        <v>809</v>
      </c>
      <c r="B45" s="503">
        <v>2220</v>
      </c>
      <c r="C45" s="1572">
        <v>1164829</v>
      </c>
      <c r="D45" s="1572">
        <v>164280</v>
      </c>
      <c r="E45" s="1572"/>
      <c r="F45" s="1572">
        <v>57821</v>
      </c>
      <c r="G45" s="1572"/>
      <c r="H45" s="1572"/>
      <c r="I45" s="1573"/>
      <c r="J45" s="1573"/>
      <c r="K45" s="1677">
        <f>SUM(C45:J45)</f>
        <v>1386930</v>
      </c>
      <c r="L45" s="1572">
        <v>1477861</v>
      </c>
    </row>
    <row r="46" spans="1:14" x14ac:dyDescent="0.2">
      <c r="A46" s="1273" t="s">
        <v>810</v>
      </c>
      <c r="B46" s="503">
        <v>2230</v>
      </c>
      <c r="C46" s="1572"/>
      <c r="D46" s="1572"/>
      <c r="E46" s="1572">
        <v>167489</v>
      </c>
      <c r="F46" s="1572"/>
      <c r="G46" s="1572"/>
      <c r="H46" s="1572"/>
      <c r="I46" s="1573"/>
      <c r="J46" s="1573"/>
      <c r="K46" s="1677">
        <f>SUM(C46:J46)</f>
        <v>167489</v>
      </c>
      <c r="L46" s="1572">
        <v>180000</v>
      </c>
    </row>
    <row r="47" spans="1:14" ht="12.75" customHeight="1" thickBot="1" x14ac:dyDescent="0.25">
      <c r="A47" s="1379" t="s">
        <v>556</v>
      </c>
      <c r="B47" s="1380" t="s">
        <v>32</v>
      </c>
      <c r="C47" s="1673">
        <f>SUM(C44:C46)</f>
        <v>2450469</v>
      </c>
      <c r="D47" s="1673">
        <f t="shared" ref="D47:K47" si="4">SUM(D44:D46)</f>
        <v>395075</v>
      </c>
      <c r="E47" s="1673">
        <f t="shared" si="4"/>
        <v>346239</v>
      </c>
      <c r="F47" s="1673">
        <f t="shared" si="4"/>
        <v>313420</v>
      </c>
      <c r="G47" s="1673">
        <f t="shared" si="4"/>
        <v>0</v>
      </c>
      <c r="H47" s="1673">
        <f t="shared" si="4"/>
        <v>5289</v>
      </c>
      <c r="I47" s="1673">
        <f t="shared" si="4"/>
        <v>0</v>
      </c>
      <c r="J47" s="1673">
        <f t="shared" si="4"/>
        <v>0</v>
      </c>
      <c r="K47" s="1673">
        <f t="shared" si="4"/>
        <v>3510492</v>
      </c>
      <c r="L47" s="1673">
        <f>SUM(L44:L46)</f>
        <v>4249113</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c r="D49" s="1585"/>
      <c r="E49" s="1585">
        <v>92254</v>
      </c>
      <c r="F49" s="1585">
        <v>3304</v>
      </c>
      <c r="G49" s="1585"/>
      <c r="H49" s="1585">
        <v>16468</v>
      </c>
      <c r="I49" s="1573"/>
      <c r="J49" s="1573"/>
      <c r="K49" s="1677">
        <f>SUM(C49:J49)</f>
        <v>112026</v>
      </c>
      <c r="L49" s="1585">
        <v>88558</v>
      </c>
    </row>
    <row r="50" spans="1:14" x14ac:dyDescent="0.2">
      <c r="A50" s="1273" t="s">
        <v>812</v>
      </c>
      <c r="B50" s="503">
        <v>2320</v>
      </c>
      <c r="C50" s="1572">
        <v>275234</v>
      </c>
      <c r="D50" s="1572">
        <v>49871</v>
      </c>
      <c r="E50" s="1572">
        <v>97997</v>
      </c>
      <c r="F50" s="1572">
        <v>17803</v>
      </c>
      <c r="G50" s="1572"/>
      <c r="H50" s="1572">
        <v>11065</v>
      </c>
      <c r="I50" s="1573">
        <v>11421</v>
      </c>
      <c r="J50" s="1573"/>
      <c r="K50" s="1677">
        <f>SUM(C50:J50)</f>
        <v>463391</v>
      </c>
      <c r="L50" s="1572">
        <v>495068</v>
      </c>
    </row>
    <row r="51" spans="1:14" x14ac:dyDescent="0.2">
      <c r="A51" s="1273" t="s">
        <v>42</v>
      </c>
      <c r="B51" s="503">
        <v>2330</v>
      </c>
      <c r="C51" s="1572">
        <v>246335</v>
      </c>
      <c r="D51" s="1572">
        <v>45545</v>
      </c>
      <c r="E51" s="1572"/>
      <c r="F51" s="1572">
        <v>54</v>
      </c>
      <c r="G51" s="1572"/>
      <c r="H51" s="1572">
        <v>140</v>
      </c>
      <c r="I51" s="1573"/>
      <c r="J51" s="1573"/>
      <c r="K51" s="1677">
        <f>SUM(C51:J51)</f>
        <v>292074</v>
      </c>
      <c r="L51" s="1572">
        <v>295597</v>
      </c>
    </row>
    <row r="52" spans="1:14" ht="22.5" x14ac:dyDescent="0.2">
      <c r="A52" s="1274" t="s">
        <v>294</v>
      </c>
      <c r="B52" s="511" t="s">
        <v>362</v>
      </c>
      <c r="C52" s="1578"/>
      <c r="D52" s="1578"/>
      <c r="E52" s="1578"/>
      <c r="F52" s="1578"/>
      <c r="G52" s="1578"/>
      <c r="H52" s="1578"/>
      <c r="I52" s="1578"/>
      <c r="J52" s="1578"/>
      <c r="K52" s="1677">
        <f>SUM(C52:J52)</f>
        <v>0</v>
      </c>
      <c r="L52" s="1578"/>
    </row>
    <row r="53" spans="1:14" ht="12.75" customHeight="1" thickBot="1" x14ac:dyDescent="0.25">
      <c r="A53" s="1379" t="s">
        <v>711</v>
      </c>
      <c r="B53" s="1380" t="s">
        <v>33</v>
      </c>
      <c r="C53" s="1673">
        <f>SUM(C49:C52)</f>
        <v>521569</v>
      </c>
      <c r="D53" s="1673">
        <f t="shared" ref="D53:L53" si="5">SUM(D49:D52)</f>
        <v>95416</v>
      </c>
      <c r="E53" s="1673">
        <f t="shared" si="5"/>
        <v>190251</v>
      </c>
      <c r="F53" s="1673">
        <f t="shared" si="5"/>
        <v>21161</v>
      </c>
      <c r="G53" s="1673">
        <f t="shared" si="5"/>
        <v>0</v>
      </c>
      <c r="H53" s="1673">
        <f t="shared" si="5"/>
        <v>27673</v>
      </c>
      <c r="I53" s="1673">
        <f t="shared" si="5"/>
        <v>11421</v>
      </c>
      <c r="J53" s="1673">
        <f t="shared" si="5"/>
        <v>0</v>
      </c>
      <c r="K53" s="1673">
        <f t="shared" si="5"/>
        <v>867491</v>
      </c>
      <c r="L53" s="1673">
        <f t="shared" si="5"/>
        <v>879223</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1057</v>
      </c>
      <c r="B55" s="503">
        <v>2410</v>
      </c>
      <c r="C55" s="1585">
        <v>5184351</v>
      </c>
      <c r="D55" s="1585">
        <v>1159154</v>
      </c>
      <c r="E55" s="1585">
        <v>8333</v>
      </c>
      <c r="F55" s="1585"/>
      <c r="G55" s="1585"/>
      <c r="H55" s="1585">
        <v>15134</v>
      </c>
      <c r="I55" s="1573"/>
      <c r="J55" s="1573"/>
      <c r="K55" s="1677">
        <f>SUM(C55:J55)</f>
        <v>6366972</v>
      </c>
      <c r="L55" s="1585">
        <v>6266012</v>
      </c>
    </row>
    <row r="56" spans="1:14" ht="12.75" customHeight="1" x14ac:dyDescent="0.2">
      <c r="A56" s="1277" t="s">
        <v>372</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5184351</v>
      </c>
      <c r="D57" s="1678">
        <f t="shared" ref="D57:K57" si="6">SUM(D55:D56)</f>
        <v>1159154</v>
      </c>
      <c r="E57" s="1678">
        <f t="shared" si="6"/>
        <v>8333</v>
      </c>
      <c r="F57" s="1678">
        <f t="shared" si="6"/>
        <v>0</v>
      </c>
      <c r="G57" s="1678">
        <f t="shared" si="6"/>
        <v>0</v>
      </c>
      <c r="H57" s="1678">
        <f t="shared" si="6"/>
        <v>15134</v>
      </c>
      <c r="I57" s="1678">
        <f t="shared" si="6"/>
        <v>0</v>
      </c>
      <c r="J57" s="1678">
        <f t="shared" si="6"/>
        <v>0</v>
      </c>
      <c r="K57" s="1678">
        <f t="shared" si="6"/>
        <v>6366972</v>
      </c>
      <c r="L57" s="1673">
        <f>SUM(L55:L56)</f>
        <v>6266012</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1058</v>
      </c>
      <c r="B59" s="503">
        <v>2510</v>
      </c>
      <c r="C59" s="1585">
        <v>131559</v>
      </c>
      <c r="D59" s="1585">
        <v>22320</v>
      </c>
      <c r="E59" s="1585">
        <v>16168</v>
      </c>
      <c r="F59" s="1585">
        <v>11518</v>
      </c>
      <c r="G59" s="1585"/>
      <c r="H59" s="1585">
        <v>7218</v>
      </c>
      <c r="I59" s="1573"/>
      <c r="J59" s="1573"/>
      <c r="K59" s="1677">
        <f t="shared" ref="K59:K64" si="7">SUM(C59:J59)</f>
        <v>188783</v>
      </c>
      <c r="L59" s="1585">
        <v>190999</v>
      </c>
      <c r="M59" s="501"/>
      <c r="N59" s="501"/>
    </row>
    <row r="60" spans="1:14" s="321" customFormat="1" x14ac:dyDescent="0.2">
      <c r="A60" s="1273" t="s">
        <v>459</v>
      </c>
      <c r="B60" s="503">
        <v>2520</v>
      </c>
      <c r="C60" s="1572">
        <v>348747</v>
      </c>
      <c r="D60" s="1572">
        <v>47336</v>
      </c>
      <c r="E60" s="1572">
        <v>26409</v>
      </c>
      <c r="F60" s="1572">
        <v>4660</v>
      </c>
      <c r="G60" s="1572"/>
      <c r="H60" s="1572">
        <v>147504</v>
      </c>
      <c r="I60" s="1573"/>
      <c r="J60" s="1573"/>
      <c r="K60" s="1677">
        <f t="shared" si="7"/>
        <v>574656</v>
      </c>
      <c r="L60" s="1572">
        <v>693745</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v>6995</v>
      </c>
      <c r="M61" s="501"/>
      <c r="N61" s="501"/>
    </row>
    <row r="62" spans="1:14" s="321" customFormat="1" x14ac:dyDescent="0.2">
      <c r="A62" s="1273" t="s">
        <v>946</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2387385</v>
      </c>
      <c r="D63" s="1572">
        <v>349265</v>
      </c>
      <c r="E63" s="1572">
        <v>47862</v>
      </c>
      <c r="F63" s="1572">
        <v>2128563</v>
      </c>
      <c r="G63" s="1572">
        <v>23307</v>
      </c>
      <c r="H63" s="1572">
        <v>371</v>
      </c>
      <c r="I63" s="1573">
        <v>18437</v>
      </c>
      <c r="J63" s="1573"/>
      <c r="K63" s="1677">
        <f t="shared" si="7"/>
        <v>4955190</v>
      </c>
      <c r="L63" s="1572">
        <v>5308153</v>
      </c>
    </row>
    <row r="64" spans="1:14" s="501" customFormat="1" x14ac:dyDescent="0.2">
      <c r="A64" s="1278" t="s">
        <v>101</v>
      </c>
      <c r="B64" s="513">
        <v>2570</v>
      </c>
      <c r="C64" s="1585">
        <v>62656</v>
      </c>
      <c r="D64" s="1585"/>
      <c r="E64" s="1585">
        <v>266910</v>
      </c>
      <c r="F64" s="1585"/>
      <c r="G64" s="1585"/>
      <c r="H64" s="1585"/>
      <c r="I64" s="1573"/>
      <c r="J64" s="1573"/>
      <c r="K64" s="1677">
        <f t="shared" si="7"/>
        <v>329566</v>
      </c>
      <c r="L64" s="1585">
        <v>348220</v>
      </c>
    </row>
    <row r="65" spans="1:14" s="321" customFormat="1" ht="12.75" customHeight="1" thickBot="1" x14ac:dyDescent="0.25">
      <c r="A65" s="1379" t="s">
        <v>713</v>
      </c>
      <c r="B65" s="1380" t="s">
        <v>35</v>
      </c>
      <c r="C65" s="1673">
        <f>SUM(C59:C64)</f>
        <v>2930347</v>
      </c>
      <c r="D65" s="1673">
        <f t="shared" ref="D65:L65" si="8">SUM(D59:D64)</f>
        <v>418921</v>
      </c>
      <c r="E65" s="1673">
        <f t="shared" si="8"/>
        <v>357349</v>
      </c>
      <c r="F65" s="1673">
        <f t="shared" si="8"/>
        <v>2144741</v>
      </c>
      <c r="G65" s="1673">
        <f t="shared" si="8"/>
        <v>23307</v>
      </c>
      <c r="H65" s="1673">
        <f t="shared" si="8"/>
        <v>155093</v>
      </c>
      <c r="I65" s="1673">
        <f t="shared" si="8"/>
        <v>18437</v>
      </c>
      <c r="J65" s="1673">
        <f t="shared" si="8"/>
        <v>0</v>
      </c>
      <c r="K65" s="1673">
        <f t="shared" si="8"/>
        <v>6048195</v>
      </c>
      <c r="L65" s="1673">
        <f t="shared" si="8"/>
        <v>6548112</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1050</v>
      </c>
      <c r="B67" s="503">
        <v>2610</v>
      </c>
      <c r="C67" s="1572"/>
      <c r="D67" s="1572"/>
      <c r="E67" s="1572"/>
      <c r="F67" s="1572"/>
      <c r="G67" s="1572"/>
      <c r="H67" s="1572"/>
      <c r="I67" s="1573"/>
      <c r="J67" s="1573"/>
      <c r="K67" s="1677">
        <f>SUM(C67:J67)</f>
        <v>0</v>
      </c>
      <c r="L67" s="1585"/>
      <c r="M67" s="501"/>
      <c r="N67" s="501"/>
    </row>
    <row r="68" spans="1:14" s="321" customFormat="1" x14ac:dyDescent="0.2">
      <c r="A68" s="1273" t="s">
        <v>602</v>
      </c>
      <c r="B68" s="503">
        <v>2620</v>
      </c>
      <c r="C68" s="1572"/>
      <c r="D68" s="1572"/>
      <c r="E68" s="1572"/>
      <c r="F68" s="1572"/>
      <c r="G68" s="1572"/>
      <c r="H68" s="1572"/>
      <c r="I68" s="1573"/>
      <c r="J68" s="1573"/>
      <c r="K68" s="1677">
        <f>SUM(C68:J68)</f>
        <v>0</v>
      </c>
      <c r="L68" s="1572"/>
      <c r="M68" s="501"/>
      <c r="N68" s="501"/>
    </row>
    <row r="69" spans="1:14" s="321" customFormat="1" x14ac:dyDescent="0.2">
      <c r="A69" s="1273" t="s">
        <v>1051</v>
      </c>
      <c r="B69" s="503">
        <v>2630</v>
      </c>
      <c r="C69" s="1572">
        <v>74913</v>
      </c>
      <c r="D69" s="1572">
        <v>19850</v>
      </c>
      <c r="E69" s="1572">
        <v>9228</v>
      </c>
      <c r="F69" s="1572">
        <v>16230</v>
      </c>
      <c r="G69" s="1572"/>
      <c r="H69" s="1572">
        <v>735</v>
      </c>
      <c r="I69" s="1573"/>
      <c r="J69" s="1573"/>
      <c r="K69" s="1677">
        <f>SUM(C69:J69)</f>
        <v>120956</v>
      </c>
      <c r="L69" s="1572">
        <v>90382</v>
      </c>
      <c r="M69" s="501"/>
      <c r="N69" s="501"/>
    </row>
    <row r="70" spans="1:14" s="321" customFormat="1" x14ac:dyDescent="0.2">
      <c r="A70" s="1273" t="s">
        <v>399</v>
      </c>
      <c r="B70" s="503">
        <v>2640</v>
      </c>
      <c r="C70" s="1572">
        <v>253079</v>
      </c>
      <c r="D70" s="1572">
        <v>48268</v>
      </c>
      <c r="E70" s="1572">
        <v>112259</v>
      </c>
      <c r="F70" s="1572">
        <v>42283</v>
      </c>
      <c r="G70" s="1572"/>
      <c r="H70" s="1572">
        <v>10549</v>
      </c>
      <c r="I70" s="1573"/>
      <c r="J70" s="1573"/>
      <c r="K70" s="1677">
        <f>SUM(C70:J70)</f>
        <v>466438</v>
      </c>
      <c r="L70" s="1572">
        <v>473387</v>
      </c>
      <c r="M70" s="501"/>
      <c r="N70" s="501"/>
    </row>
    <row r="71" spans="1:14" s="321" customFormat="1" x14ac:dyDescent="0.2">
      <c r="A71" s="1273" t="s">
        <v>400</v>
      </c>
      <c r="B71" s="503">
        <v>2660</v>
      </c>
      <c r="C71" s="1572">
        <v>975930</v>
      </c>
      <c r="D71" s="1572">
        <v>118031</v>
      </c>
      <c r="E71" s="1572">
        <v>258915</v>
      </c>
      <c r="F71" s="1572">
        <v>1717905</v>
      </c>
      <c r="G71" s="1572"/>
      <c r="H71" s="1572">
        <v>600</v>
      </c>
      <c r="I71" s="1573">
        <v>8596</v>
      </c>
      <c r="J71" s="1573"/>
      <c r="K71" s="1677">
        <f>SUM(C71:J71)</f>
        <v>3079977</v>
      </c>
      <c r="L71" s="1572">
        <v>3023884</v>
      </c>
      <c r="M71" s="501"/>
      <c r="N71" s="501"/>
    </row>
    <row r="72" spans="1:14" s="321" customFormat="1" ht="12.75" customHeight="1" thickBot="1" x14ac:dyDescent="0.25">
      <c r="A72" s="1379" t="s">
        <v>37</v>
      </c>
      <c r="B72" s="1382" t="s">
        <v>36</v>
      </c>
      <c r="C72" s="1673">
        <f>SUM(C67:C71)</f>
        <v>1303922</v>
      </c>
      <c r="D72" s="1673">
        <f t="shared" ref="D72:K72" si="9">SUM(D67:D71)</f>
        <v>186149</v>
      </c>
      <c r="E72" s="1673">
        <f t="shared" si="9"/>
        <v>380402</v>
      </c>
      <c r="F72" s="1673">
        <f t="shared" si="9"/>
        <v>1776418</v>
      </c>
      <c r="G72" s="1673">
        <f t="shared" si="9"/>
        <v>0</v>
      </c>
      <c r="H72" s="1673">
        <f t="shared" si="9"/>
        <v>11884</v>
      </c>
      <c r="I72" s="1673">
        <f t="shared" si="9"/>
        <v>8596</v>
      </c>
      <c r="J72" s="1673">
        <f t="shared" si="9"/>
        <v>0</v>
      </c>
      <c r="K72" s="1673">
        <f t="shared" si="9"/>
        <v>3667371</v>
      </c>
      <c r="L72" s="1673">
        <f>SUM(L67:L71)</f>
        <v>3587653</v>
      </c>
      <c r="M72" s="501"/>
      <c r="N72" s="501"/>
    </row>
    <row r="73" spans="1:14" s="321" customFormat="1" ht="14.25" thickTop="1" thickBot="1" x14ac:dyDescent="0.25">
      <c r="A73" s="1279" t="s">
        <v>972</v>
      </c>
      <c r="B73" s="515" t="s">
        <v>569</v>
      </c>
      <c r="C73" s="1648"/>
      <c r="D73" s="1648"/>
      <c r="E73" s="1648"/>
      <c r="F73" s="1648"/>
      <c r="G73" s="1648"/>
      <c r="H73" s="1648"/>
      <c r="I73" s="1626"/>
      <c r="J73" s="1626"/>
      <c r="K73" s="1673">
        <f>SUM(C73:J73)</f>
        <v>0</v>
      </c>
      <c r="L73" s="1650">
        <v>500</v>
      </c>
      <c r="M73" s="501"/>
      <c r="N73" s="501"/>
    </row>
    <row r="74" spans="1:14" ht="12.75" customHeight="1" thickTop="1" thickBot="1" x14ac:dyDescent="0.25">
      <c r="A74" s="1379" t="s">
        <v>805</v>
      </c>
      <c r="B74" s="1383">
        <v>2000</v>
      </c>
      <c r="C74" s="1680">
        <f>SUM(C42,C47,C53,C57,C65,C72,C73)</f>
        <v>17330606</v>
      </c>
      <c r="D74" s="1680">
        <f t="shared" ref="D74:K74" si="10">SUM(D42,D47,D53,D57,D65,D72,D73)</f>
        <v>3065038</v>
      </c>
      <c r="E74" s="1680">
        <f t="shared" si="10"/>
        <v>1487408</v>
      </c>
      <c r="F74" s="1680">
        <f t="shared" si="10"/>
        <v>4272211</v>
      </c>
      <c r="G74" s="1680">
        <f t="shared" si="10"/>
        <v>23307</v>
      </c>
      <c r="H74" s="1680">
        <f t="shared" si="10"/>
        <v>215073</v>
      </c>
      <c r="I74" s="1680">
        <f t="shared" si="10"/>
        <v>39528</v>
      </c>
      <c r="J74" s="1680">
        <f t="shared" si="10"/>
        <v>0</v>
      </c>
      <c r="K74" s="1680">
        <f t="shared" si="10"/>
        <v>26433171</v>
      </c>
      <c r="L74" s="1680">
        <f>SUM(L42,L47,L53,L57,L65,L72,L73)</f>
        <v>26876488</v>
      </c>
    </row>
    <row r="75" spans="1:14" s="254" customFormat="1" ht="15.75" customHeight="1" thickTop="1" thickBot="1" x14ac:dyDescent="0.25">
      <c r="A75" s="1347" t="s">
        <v>47</v>
      </c>
      <c r="B75" s="1348" t="s">
        <v>570</v>
      </c>
      <c r="C75" s="1648">
        <v>433725</v>
      </c>
      <c r="D75" s="1648">
        <v>88325</v>
      </c>
      <c r="E75" s="1648">
        <v>84146</v>
      </c>
      <c r="F75" s="1648">
        <v>17611</v>
      </c>
      <c r="G75" s="1648"/>
      <c r="H75" s="1648"/>
      <c r="I75" s="1626"/>
      <c r="J75" s="1626"/>
      <c r="K75" s="1673">
        <f>SUM(C75:J75)</f>
        <v>623807</v>
      </c>
      <c r="L75" s="1650">
        <v>703224</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c r="F78" s="1672"/>
      <c r="G78" s="1672"/>
      <c r="H78" s="1681"/>
      <c r="I78" s="1581"/>
      <c r="J78" s="1581"/>
      <c r="K78" s="1671">
        <f t="shared" ref="K78:K83" si="11">SUM(C78:J78)</f>
        <v>0</v>
      </c>
      <c r="L78" s="1585"/>
    </row>
    <row r="79" spans="1:14" x14ac:dyDescent="0.2">
      <c r="A79" s="1273" t="s">
        <v>300</v>
      </c>
      <c r="B79" s="503">
        <v>4120</v>
      </c>
      <c r="C79" s="1672"/>
      <c r="D79" s="1672"/>
      <c r="E79" s="1572"/>
      <c r="F79" s="1672"/>
      <c r="G79" s="1672"/>
      <c r="H79" s="1572"/>
      <c r="I79" s="1581"/>
      <c r="J79" s="1581"/>
      <c r="K79" s="1671">
        <f t="shared" si="11"/>
        <v>0</v>
      </c>
      <c r="L79" s="1572"/>
    </row>
    <row r="80" spans="1:14" x14ac:dyDescent="0.2">
      <c r="A80" s="1273" t="s">
        <v>301</v>
      </c>
      <c r="B80" s="503">
        <v>4130</v>
      </c>
      <c r="C80" s="1672"/>
      <c r="D80" s="1672"/>
      <c r="E80" s="1572"/>
      <c r="F80" s="1672"/>
      <c r="G80" s="1672"/>
      <c r="H80" s="1572"/>
      <c r="I80" s="1581"/>
      <c r="J80" s="1581"/>
      <c r="K80" s="1671">
        <f t="shared" si="11"/>
        <v>0</v>
      </c>
      <c r="L80" s="1572"/>
    </row>
    <row r="81" spans="1:12" x14ac:dyDescent="0.2">
      <c r="A81" s="1273" t="s">
        <v>691</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692</v>
      </c>
      <c r="B83" s="512">
        <v>4190</v>
      </c>
      <c r="C83" s="1672"/>
      <c r="D83" s="1672"/>
      <c r="E83" s="1572">
        <v>128875</v>
      </c>
      <c r="F83" s="1672"/>
      <c r="G83" s="1672"/>
      <c r="H83" s="1572"/>
      <c r="I83" s="1581"/>
      <c r="J83" s="1581"/>
      <c r="K83" s="1671">
        <f t="shared" si="11"/>
        <v>128875</v>
      </c>
      <c r="L83" s="1572">
        <v>103357</v>
      </c>
    </row>
    <row r="84" spans="1:12" ht="13.5" thickBot="1" x14ac:dyDescent="0.25">
      <c r="A84" s="1379" t="s">
        <v>1467</v>
      </c>
      <c r="B84" s="1384">
        <v>4100</v>
      </c>
      <c r="C84" s="1672"/>
      <c r="D84" s="1672"/>
      <c r="E84" s="1673">
        <f>SUM(E78:E83)</f>
        <v>128875</v>
      </c>
      <c r="F84" s="1672"/>
      <c r="G84" s="1672"/>
      <c r="H84" s="1673">
        <f>SUM(H78:H83)</f>
        <v>0</v>
      </c>
      <c r="I84" s="1581"/>
      <c r="J84" s="1581"/>
      <c r="K84" s="1673">
        <f>SUM(K78:K83)</f>
        <v>128875</v>
      </c>
      <c r="L84" s="1673">
        <f>SUM(L78:L83)</f>
        <v>103357</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693</v>
      </c>
      <c r="B86" s="518">
        <v>4220</v>
      </c>
      <c r="C86" s="1672"/>
      <c r="D86" s="1672"/>
      <c r="E86" s="1683"/>
      <c r="F86" s="1672"/>
      <c r="G86" s="1672"/>
      <c r="H86" s="1573"/>
      <c r="I86" s="1581"/>
      <c r="J86" s="1581"/>
      <c r="K86" s="1680">
        <f t="shared" ref="K86:K98" si="12">H86</f>
        <v>0</v>
      </c>
      <c r="L86" s="1625"/>
    </row>
    <row r="87" spans="1:12" ht="14.25" thickTop="1" thickBot="1" x14ac:dyDescent="0.25">
      <c r="A87" s="1282" t="s">
        <v>694</v>
      </c>
      <c r="B87" s="519">
        <v>4230</v>
      </c>
      <c r="C87" s="1672"/>
      <c r="D87" s="1672"/>
      <c r="E87" s="1683"/>
      <c r="F87" s="1672"/>
      <c r="G87" s="1672"/>
      <c r="H87" s="1573"/>
      <c r="I87" s="1581"/>
      <c r="J87" s="1581"/>
      <c r="K87" s="1680">
        <f t="shared" si="12"/>
        <v>0</v>
      </c>
      <c r="L87" s="1625"/>
    </row>
    <row r="88" spans="1:12" ht="12.75" customHeight="1" thickTop="1" thickBot="1" x14ac:dyDescent="0.25">
      <c r="A88" s="1282" t="s">
        <v>759</v>
      </c>
      <c r="B88" s="519">
        <v>4240</v>
      </c>
      <c r="C88" s="1672"/>
      <c r="D88" s="1672"/>
      <c r="E88" s="1683"/>
      <c r="F88" s="1672"/>
      <c r="G88" s="1672"/>
      <c r="H88" s="1573">
        <v>459172</v>
      </c>
      <c r="I88" s="1581"/>
      <c r="J88" s="1581"/>
      <c r="K88" s="1680">
        <f t="shared" si="12"/>
        <v>459172</v>
      </c>
      <c r="L88" s="1625">
        <v>260000</v>
      </c>
    </row>
    <row r="89" spans="1:12" ht="12.75" customHeight="1" thickTop="1" thickBot="1" x14ac:dyDescent="0.25">
      <c r="A89" s="1282" t="s">
        <v>695</v>
      </c>
      <c r="B89" s="519">
        <v>4270</v>
      </c>
      <c r="C89" s="1672"/>
      <c r="D89" s="1672"/>
      <c r="E89" s="1683"/>
      <c r="F89" s="1672"/>
      <c r="G89" s="1672"/>
      <c r="H89" s="1573"/>
      <c r="I89" s="1581"/>
      <c r="J89" s="1581"/>
      <c r="K89" s="1680">
        <f t="shared" si="12"/>
        <v>0</v>
      </c>
      <c r="L89" s="1625"/>
    </row>
    <row r="90" spans="1:12" ht="12.75" customHeight="1" thickTop="1" thickBot="1" x14ac:dyDescent="0.25">
      <c r="A90" s="1282" t="s">
        <v>680</v>
      </c>
      <c r="B90" s="519">
        <v>4280</v>
      </c>
      <c r="C90" s="1672"/>
      <c r="D90" s="1672"/>
      <c r="E90" s="1683"/>
      <c r="F90" s="1672"/>
      <c r="G90" s="1672"/>
      <c r="H90" s="1573"/>
      <c r="I90" s="1581"/>
      <c r="J90" s="1581"/>
      <c r="K90" s="1680">
        <f t="shared" si="12"/>
        <v>0</v>
      </c>
      <c r="L90" s="1625"/>
    </row>
    <row r="91" spans="1:12" ht="12.75" customHeight="1" thickTop="1" thickBot="1" x14ac:dyDescent="0.25">
      <c r="A91" s="1282" t="s">
        <v>681</v>
      </c>
      <c r="B91" s="519">
        <v>4290</v>
      </c>
      <c r="C91" s="1672"/>
      <c r="D91" s="1672"/>
      <c r="E91" s="1683"/>
      <c r="F91" s="1672"/>
      <c r="G91" s="1672"/>
      <c r="H91" s="1573"/>
      <c r="I91" s="1581"/>
      <c r="J91" s="1581"/>
      <c r="K91" s="1680">
        <f t="shared" si="12"/>
        <v>0</v>
      </c>
      <c r="L91" s="1625"/>
    </row>
    <row r="92" spans="1:12" ht="14.25" thickTop="1" thickBot="1" x14ac:dyDescent="0.25">
      <c r="A92" s="1385" t="s">
        <v>1542</v>
      </c>
      <c r="B92" s="1384">
        <v>4200</v>
      </c>
      <c r="C92" s="1672"/>
      <c r="D92" s="1672"/>
      <c r="E92" s="1683"/>
      <c r="F92" s="1672"/>
      <c r="G92" s="1672"/>
      <c r="H92" s="1673">
        <f>SUM(H85:H91)</f>
        <v>459172</v>
      </c>
      <c r="I92" s="1581"/>
      <c r="J92" s="1581"/>
      <c r="K92" s="1680">
        <f t="shared" si="12"/>
        <v>459172</v>
      </c>
      <c r="L92" s="1673">
        <f>SUM(L85:L91)</f>
        <v>260000</v>
      </c>
    </row>
    <row r="93" spans="1:12" ht="14.25" thickTop="1" thickBot="1" x14ac:dyDescent="0.25">
      <c r="A93" s="1281" t="s">
        <v>682</v>
      </c>
      <c r="B93" s="520">
        <v>4310</v>
      </c>
      <c r="C93" s="1672"/>
      <c r="D93" s="1672"/>
      <c r="E93" s="1683"/>
      <c r="F93" s="1672"/>
      <c r="G93" s="1672"/>
      <c r="H93" s="1684"/>
      <c r="I93" s="1581"/>
      <c r="J93" s="1581"/>
      <c r="K93" s="1680">
        <f t="shared" si="12"/>
        <v>0</v>
      </c>
      <c r="L93" s="1627"/>
    </row>
    <row r="94" spans="1:12" ht="12.75" customHeight="1" thickTop="1" thickBot="1" x14ac:dyDescent="0.25">
      <c r="A94" s="1282" t="s">
        <v>683</v>
      </c>
      <c r="B94" s="519">
        <v>4320</v>
      </c>
      <c r="C94" s="1672"/>
      <c r="D94" s="1672"/>
      <c r="E94" s="1683"/>
      <c r="F94" s="1672"/>
      <c r="G94" s="1672"/>
      <c r="H94" s="1573"/>
      <c r="I94" s="1581"/>
      <c r="J94" s="1581"/>
      <c r="K94" s="1680">
        <f t="shared" si="12"/>
        <v>0</v>
      </c>
      <c r="L94" s="1625"/>
    </row>
    <row r="95" spans="1:12" ht="15" customHeight="1" thickTop="1" thickBot="1" x14ac:dyDescent="0.25">
      <c r="A95" s="1282" t="s">
        <v>1470</v>
      </c>
      <c r="B95" s="519">
        <v>4330</v>
      </c>
      <c r="C95" s="1672"/>
      <c r="D95" s="1672"/>
      <c r="E95" s="1683"/>
      <c r="F95" s="1672"/>
      <c r="G95" s="1672"/>
      <c r="H95" s="1573"/>
      <c r="I95" s="1581"/>
      <c r="J95" s="1581"/>
      <c r="K95" s="1680">
        <f t="shared" si="12"/>
        <v>0</v>
      </c>
      <c r="L95" s="1625"/>
    </row>
    <row r="96" spans="1:12" ht="14.25" thickTop="1" thickBot="1" x14ac:dyDescent="0.25">
      <c r="A96" s="1282" t="s">
        <v>684</v>
      </c>
      <c r="B96" s="519">
        <v>4340</v>
      </c>
      <c r="C96" s="1672"/>
      <c r="D96" s="1672"/>
      <c r="E96" s="1683"/>
      <c r="F96" s="1672"/>
      <c r="G96" s="1672"/>
      <c r="H96" s="1573"/>
      <c r="I96" s="1581"/>
      <c r="J96" s="1581"/>
      <c r="K96" s="1680">
        <f t="shared" si="12"/>
        <v>0</v>
      </c>
      <c r="L96" s="1625"/>
    </row>
    <row r="97" spans="1:14" ht="12.75" customHeight="1" thickTop="1" thickBot="1" x14ac:dyDescent="0.25">
      <c r="A97" s="1282" t="s">
        <v>757</v>
      </c>
      <c r="B97" s="519">
        <v>4370</v>
      </c>
      <c r="C97" s="1672"/>
      <c r="D97" s="1672"/>
      <c r="E97" s="1683"/>
      <c r="F97" s="1672"/>
      <c r="G97" s="1672"/>
      <c r="H97" s="1573"/>
      <c r="I97" s="1581"/>
      <c r="J97" s="1581"/>
      <c r="K97" s="1680">
        <f t="shared" si="12"/>
        <v>0</v>
      </c>
      <c r="L97" s="1625"/>
    </row>
    <row r="98" spans="1:14" ht="14.25" thickTop="1" thickBot="1" x14ac:dyDescent="0.25">
      <c r="A98" s="1282" t="s">
        <v>758</v>
      </c>
      <c r="B98" s="519">
        <v>4380</v>
      </c>
      <c r="C98" s="1672"/>
      <c r="D98" s="1672"/>
      <c r="E98" s="1685"/>
      <c r="F98" s="1672"/>
      <c r="G98" s="1672"/>
      <c r="H98" s="1573"/>
      <c r="I98" s="1581"/>
      <c r="J98" s="1581"/>
      <c r="K98" s="1680">
        <f t="shared" si="12"/>
        <v>0</v>
      </c>
      <c r="L98" s="1625"/>
    </row>
    <row r="99" spans="1:14" ht="14.25" thickTop="1" thickBot="1" x14ac:dyDescent="0.25">
      <c r="A99" s="1282" t="s">
        <v>363</v>
      </c>
      <c r="B99" s="519">
        <v>4390</v>
      </c>
      <c r="C99" s="1672"/>
      <c r="D99" s="1672"/>
      <c r="E99" s="1627"/>
      <c r="F99" s="1672"/>
      <c r="G99" s="1672"/>
      <c r="H99" s="1573">
        <v>1210</v>
      </c>
      <c r="I99" s="1581"/>
      <c r="J99" s="1581"/>
      <c r="K99" s="1680">
        <f>SUM(E99,H99)</f>
        <v>1210</v>
      </c>
      <c r="L99" s="1625">
        <v>5000</v>
      </c>
    </row>
    <row r="100" spans="1:14" ht="14.25" thickTop="1" thickBot="1" x14ac:dyDescent="0.25">
      <c r="A100" s="1385" t="s">
        <v>1468</v>
      </c>
      <c r="B100" s="1386">
        <v>4300</v>
      </c>
      <c r="C100" s="1672"/>
      <c r="D100" s="1672"/>
      <c r="E100" s="1680">
        <f>SUM(E93:E99)</f>
        <v>0</v>
      </c>
      <c r="F100" s="1672"/>
      <c r="G100" s="1672"/>
      <c r="H100" s="1680">
        <f>SUM(H93:H99)</f>
        <v>1210</v>
      </c>
      <c r="I100" s="1581"/>
      <c r="J100" s="1581"/>
      <c r="K100" s="1680">
        <f>SUM(K93:K99)</f>
        <v>1210</v>
      </c>
      <c r="L100" s="1680">
        <f>SUM(L93:L99)</f>
        <v>5000</v>
      </c>
    </row>
    <row r="101" spans="1:14" ht="12.75" customHeight="1" thickTop="1" thickBot="1" x14ac:dyDescent="0.25">
      <c r="A101" s="1279" t="s">
        <v>1471</v>
      </c>
      <c r="B101" s="521" t="s">
        <v>924</v>
      </c>
      <c r="C101" s="1672"/>
      <c r="D101" s="1672"/>
      <c r="E101" s="1626"/>
      <c r="F101" s="1672"/>
      <c r="G101" s="1672"/>
      <c r="H101" s="1626"/>
      <c r="I101" s="1581"/>
      <c r="J101" s="1581"/>
      <c r="K101" s="1686">
        <f>SUM(C101:J101)</f>
        <v>0</v>
      </c>
      <c r="L101" s="1625">
        <v>0</v>
      </c>
    </row>
    <row r="102" spans="1:14" ht="12.75" customHeight="1" thickTop="1" thickBot="1" x14ac:dyDescent="0.25">
      <c r="A102" s="1379" t="s">
        <v>1469</v>
      </c>
      <c r="B102" s="1384">
        <v>4000</v>
      </c>
      <c r="C102" s="1672"/>
      <c r="D102" s="1672"/>
      <c r="E102" s="1680">
        <f>SUM(E84,E92,E100,E101)</f>
        <v>128875</v>
      </c>
      <c r="F102" s="1672"/>
      <c r="G102" s="1672"/>
      <c r="H102" s="1680">
        <f>SUM(H84,H92,H100,H101)</f>
        <v>460382</v>
      </c>
      <c r="I102" s="1581"/>
      <c r="J102" s="1581"/>
      <c r="K102" s="1680">
        <f>SUM(K84,K92,K100,K101)</f>
        <v>589257</v>
      </c>
      <c r="L102" s="1680">
        <f>SUM(L84,L92,L100,L101)</f>
        <v>368357</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37396</v>
      </c>
      <c r="I105" s="1574"/>
      <c r="J105" s="1574"/>
      <c r="K105" s="1671">
        <f>H105</f>
        <v>37396</v>
      </c>
      <c r="L105" s="1585">
        <v>75000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1159</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1092</v>
      </c>
      <c r="B110" s="1382" t="s">
        <v>712</v>
      </c>
      <c r="C110" s="1672"/>
      <c r="D110" s="1672"/>
      <c r="E110" s="1672"/>
      <c r="F110" s="1672"/>
      <c r="G110" s="1672"/>
      <c r="H110" s="1673">
        <f>SUM(H105:H109)</f>
        <v>37396</v>
      </c>
      <c r="I110" s="1574"/>
      <c r="J110" s="1574"/>
      <c r="K110" s="1673">
        <f>SUM(K105:K109)</f>
        <v>37396</v>
      </c>
      <c r="L110" s="1673">
        <f>SUM(L105:L109)</f>
        <v>75000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632</v>
      </c>
      <c r="B112" s="1380" t="s">
        <v>488</v>
      </c>
      <c r="C112" s="1672"/>
      <c r="D112" s="1672"/>
      <c r="E112" s="1672"/>
      <c r="F112" s="1672"/>
      <c r="G112" s="1672"/>
      <c r="H112" s="1673">
        <f>SUM(H110:H111)</f>
        <v>37396</v>
      </c>
      <c r="I112" s="1574"/>
      <c r="J112" s="1574"/>
      <c r="K112" s="1673">
        <f>SUM(K110:K111)</f>
        <v>37396</v>
      </c>
      <c r="L112" s="1680">
        <f>SUM(L110,L111)</f>
        <v>75000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82685926</v>
      </c>
      <c r="D114" s="1673">
        <f t="shared" ref="D114:K114" si="13">SUM(D33,D74,D75,D102,D112,D113)</f>
        <v>14580075</v>
      </c>
      <c r="E114" s="1673">
        <f t="shared" si="13"/>
        <v>2475586</v>
      </c>
      <c r="F114" s="1673">
        <f t="shared" si="13"/>
        <v>6263170</v>
      </c>
      <c r="G114" s="1673">
        <f t="shared" si="13"/>
        <v>45341</v>
      </c>
      <c r="H114" s="1673">
        <f>SUM(H33,H74,H75,H102,H112,H113)</f>
        <v>5230696</v>
      </c>
      <c r="I114" s="1673">
        <f t="shared" si="13"/>
        <v>101041</v>
      </c>
      <c r="J114" s="1673">
        <f t="shared" si="13"/>
        <v>0</v>
      </c>
      <c r="K114" s="1673">
        <f t="shared" si="13"/>
        <v>111381835</v>
      </c>
      <c r="L114" s="1673">
        <f>SUM(L33,L74,L75,L102,L112,L113)</f>
        <v>111995913</v>
      </c>
    </row>
    <row r="115" spans="1:14" ht="13.5" thickTop="1" x14ac:dyDescent="0.2">
      <c r="A115" s="2293" t="s">
        <v>988</v>
      </c>
      <c r="B115" s="2294"/>
      <c r="C115" s="1674"/>
      <c r="D115" s="1674"/>
      <c r="E115" s="1674"/>
      <c r="F115" s="1674"/>
      <c r="G115" s="1674"/>
      <c r="H115" s="1674"/>
      <c r="I115" s="1674"/>
      <c r="J115" s="1674"/>
      <c r="K115" s="1688">
        <f>'Revenues 9-14'!C268-'Expenditures 15-22'!K114</f>
        <v>-14365191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1" t="s">
        <v>292</v>
      </c>
      <c r="B117" s="2272"/>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1959</v>
      </c>
      <c r="B120" s="512" t="s">
        <v>710</v>
      </c>
      <c r="C120" s="1572"/>
      <c r="D120" s="1572"/>
      <c r="E120" s="1572"/>
      <c r="F120" s="1572">
        <v>895</v>
      </c>
      <c r="G120" s="1572"/>
      <c r="H120" s="1572"/>
      <c r="I120" s="1573"/>
      <c r="J120" s="1573"/>
      <c r="K120" s="1671">
        <f>SUM(C120:J120)</f>
        <v>895</v>
      </c>
      <c r="L120" s="1572">
        <v>500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1058</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45593</v>
      </c>
      <c r="F123" s="1572"/>
      <c r="G123" s="1572"/>
      <c r="H123" s="1572"/>
      <c r="I123" s="1573"/>
      <c r="J123" s="1573"/>
      <c r="K123" s="1673">
        <f>SUM(C123:J123)</f>
        <v>45593</v>
      </c>
      <c r="L123" s="1572">
        <v>10000</v>
      </c>
    </row>
    <row r="124" spans="1:14" ht="14.25" thickTop="1" thickBot="1" x14ac:dyDescent="0.25">
      <c r="A124" s="1273" t="s">
        <v>195</v>
      </c>
      <c r="B124" s="503">
        <v>2540</v>
      </c>
      <c r="C124" s="1572">
        <v>5828161</v>
      </c>
      <c r="D124" s="1572">
        <v>1028572</v>
      </c>
      <c r="E124" s="1572">
        <v>1178086</v>
      </c>
      <c r="F124" s="1572">
        <v>3366566</v>
      </c>
      <c r="G124" s="1572">
        <v>453289</v>
      </c>
      <c r="H124" s="1572">
        <f>1152-1</f>
        <v>1151</v>
      </c>
      <c r="I124" s="1573">
        <f>40908</f>
        <v>40908</v>
      </c>
      <c r="J124" s="1573"/>
      <c r="K124" s="1673">
        <f>SUM(C124:J124)</f>
        <v>11896733</v>
      </c>
      <c r="L124" s="1572">
        <v>11858198</v>
      </c>
    </row>
    <row r="125" spans="1:14" ht="14.25" thickTop="1" thickBot="1" x14ac:dyDescent="0.25">
      <c r="A125" s="1273" t="s">
        <v>946</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713</v>
      </c>
      <c r="B127" s="1380" t="s">
        <v>35</v>
      </c>
      <c r="C127" s="1673">
        <f>SUM(C122:C126)</f>
        <v>5828161</v>
      </c>
      <c r="D127" s="1673">
        <f t="shared" ref="D127:L127" si="14">SUM(D122:D126)</f>
        <v>1028572</v>
      </c>
      <c r="E127" s="1673">
        <f t="shared" si="14"/>
        <v>1223679</v>
      </c>
      <c r="F127" s="1673">
        <f t="shared" si="14"/>
        <v>3366566</v>
      </c>
      <c r="G127" s="1673">
        <f t="shared" si="14"/>
        <v>453289</v>
      </c>
      <c r="H127" s="1673">
        <f t="shared" si="14"/>
        <v>1151</v>
      </c>
      <c r="I127" s="1673">
        <f t="shared" si="14"/>
        <v>40908</v>
      </c>
      <c r="J127" s="1673">
        <f t="shared" si="14"/>
        <v>0</v>
      </c>
      <c r="K127" s="1673">
        <f t="shared" si="14"/>
        <v>11942326</v>
      </c>
      <c r="L127" s="1673">
        <f t="shared" si="14"/>
        <v>11868198</v>
      </c>
    </row>
    <row r="128" spans="1:14" ht="12.75" customHeight="1" thickTop="1" x14ac:dyDescent="0.2">
      <c r="A128" s="1280" t="s">
        <v>972</v>
      </c>
      <c r="B128" s="531" t="s">
        <v>569</v>
      </c>
      <c r="C128" s="1694"/>
      <c r="D128" s="1694"/>
      <c r="E128" s="1694"/>
      <c r="F128" s="1694"/>
      <c r="G128" s="1694"/>
      <c r="H128" s="1694"/>
      <c r="I128" s="1629"/>
      <c r="J128" s="1629"/>
      <c r="K128" s="1695">
        <f>SUM(C128:J128)</f>
        <v>0</v>
      </c>
      <c r="L128" s="1694"/>
    </row>
    <row r="129" spans="1:14" ht="12.75" customHeight="1" thickBot="1" x14ac:dyDescent="0.25">
      <c r="A129" s="1388" t="s">
        <v>805</v>
      </c>
      <c r="B129" s="1389" t="s">
        <v>564</v>
      </c>
      <c r="C129" s="1680">
        <f>SUM(C120,C127,C128)</f>
        <v>5828161</v>
      </c>
      <c r="D129" s="1680">
        <f t="shared" ref="D129:L129" si="15">SUM(D120,D127,D128)</f>
        <v>1028572</v>
      </c>
      <c r="E129" s="1680">
        <f t="shared" si="15"/>
        <v>1223679</v>
      </c>
      <c r="F129" s="1680">
        <f t="shared" si="15"/>
        <v>3367461</v>
      </c>
      <c r="G129" s="1680">
        <f t="shared" si="15"/>
        <v>453289</v>
      </c>
      <c r="H129" s="1680">
        <f t="shared" si="15"/>
        <v>1151</v>
      </c>
      <c r="I129" s="1680">
        <f t="shared" si="15"/>
        <v>40908</v>
      </c>
      <c r="J129" s="1680">
        <f t="shared" si="15"/>
        <v>0</v>
      </c>
      <c r="K129" s="1680">
        <f t="shared" si="15"/>
        <v>11943221</v>
      </c>
      <c r="L129" s="1680">
        <f t="shared" si="15"/>
        <v>11868698</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1812</v>
      </c>
      <c r="C133" s="1574"/>
      <c r="D133" s="1574"/>
      <c r="E133" s="1684"/>
      <c r="F133" s="1574"/>
      <c r="G133" s="1574"/>
      <c r="H133" s="1684"/>
      <c r="I133" s="1574"/>
      <c r="J133" s="1574"/>
      <c r="K133" s="1696">
        <f>SUM(E133,H133)</f>
        <v>0</v>
      </c>
      <c r="L133" s="1684"/>
      <c r="M133" s="201"/>
      <c r="N133" s="201"/>
    </row>
    <row r="134" spans="1:14" x14ac:dyDescent="0.2">
      <c r="A134" s="1273" t="s">
        <v>300</v>
      </c>
      <c r="B134" s="503">
        <v>4120</v>
      </c>
      <c r="C134" s="1672"/>
      <c r="D134" s="1672"/>
      <c r="E134" s="1582"/>
      <c r="F134" s="1672"/>
      <c r="G134" s="1672"/>
      <c r="H134" s="1585"/>
      <c r="I134" s="1581"/>
      <c r="J134" s="1672"/>
      <c r="K134" s="1677">
        <f>SUM(E134,H134)</f>
        <v>0</v>
      </c>
      <c r="L134" s="1585"/>
    </row>
    <row r="135" spans="1:14" x14ac:dyDescent="0.2">
      <c r="A135" s="1273" t="s">
        <v>691</v>
      </c>
      <c r="B135" s="503">
        <v>4140</v>
      </c>
      <c r="C135" s="1672"/>
      <c r="D135" s="1672"/>
      <c r="E135" s="1573"/>
      <c r="F135" s="1672"/>
      <c r="G135" s="1672"/>
      <c r="H135" s="1572"/>
      <c r="I135" s="1581"/>
      <c r="J135" s="1672"/>
      <c r="K135" s="1677">
        <f>SUM(E135,H135)</f>
        <v>0</v>
      </c>
      <c r="L135" s="1572"/>
    </row>
    <row r="136" spans="1:14" x14ac:dyDescent="0.2">
      <c r="A136" s="1277" t="s">
        <v>692</v>
      </c>
      <c r="B136" s="512">
        <v>4190</v>
      </c>
      <c r="C136" s="1672"/>
      <c r="D136" s="1672"/>
      <c r="E136" s="1573"/>
      <c r="F136" s="1672"/>
      <c r="G136" s="1672"/>
      <c r="H136" s="1572"/>
      <c r="I136" s="1581"/>
      <c r="J136" s="1672"/>
      <c r="K136" s="1677">
        <f>SUM(E136,H136)</f>
        <v>0</v>
      </c>
      <c r="L136" s="1572"/>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1159</v>
      </c>
      <c r="B144" s="512" t="s">
        <v>612</v>
      </c>
      <c r="C144" s="1672"/>
      <c r="D144" s="1672"/>
      <c r="E144" s="1672"/>
      <c r="F144" s="1672"/>
      <c r="G144" s="1672"/>
      <c r="H144" s="1572"/>
      <c r="I144" s="1574"/>
      <c r="J144" s="1672"/>
      <c r="K144" s="1677">
        <f>SUM(H144)</f>
        <v>0</v>
      </c>
      <c r="L144" s="1572"/>
    </row>
    <row r="145" spans="1:14" x14ac:dyDescent="0.2">
      <c r="A145" s="1273" t="s">
        <v>89</v>
      </c>
      <c r="B145" s="503" t="s">
        <v>584</v>
      </c>
      <c r="C145" s="1672"/>
      <c r="D145" s="1672"/>
      <c r="E145" s="1672"/>
      <c r="F145" s="1672"/>
      <c r="G145" s="1672"/>
      <c r="H145" s="1572"/>
      <c r="I145" s="1574"/>
      <c r="J145" s="1672"/>
      <c r="K145" s="1677">
        <f>SUM(H145)</f>
        <v>0</v>
      </c>
      <c r="L145" s="1572"/>
    </row>
    <row r="146" spans="1:14" ht="12.75" customHeight="1" x14ac:dyDescent="0.2">
      <c r="A146" s="1273" t="s">
        <v>614</v>
      </c>
      <c r="B146" s="503" t="s">
        <v>613</v>
      </c>
      <c r="C146" s="1672"/>
      <c r="D146" s="1672"/>
      <c r="E146" s="1672"/>
      <c r="F146" s="1672"/>
      <c r="G146" s="1672"/>
      <c r="H146" s="1572"/>
      <c r="I146" s="1574"/>
      <c r="J146" s="1672"/>
      <c r="K146" s="1677">
        <f>SUM(H146)</f>
        <v>0</v>
      </c>
      <c r="L146" s="1572"/>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1093</v>
      </c>
      <c r="B148" s="536" t="s">
        <v>38</v>
      </c>
      <c r="C148" s="1672"/>
      <c r="D148" s="1672"/>
      <c r="E148" s="1672"/>
      <c r="F148" s="1672"/>
      <c r="G148" s="1672"/>
      <c r="H148" s="1583"/>
      <c r="I148" s="1574"/>
      <c r="J148" s="1672"/>
      <c r="K148" s="1677">
        <f>SUM(H148)</f>
        <v>0</v>
      </c>
      <c r="L148" s="1598"/>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row>
    <row r="151" spans="1:14" ht="12.75" customHeight="1" thickTop="1" thickBot="1" x14ac:dyDescent="0.25">
      <c r="A151" s="2283" t="s">
        <v>615</v>
      </c>
      <c r="B151" s="2265"/>
      <c r="C151" s="1673">
        <f>SUM(C129,C130,C139,C149,C150)</f>
        <v>5828161</v>
      </c>
      <c r="D151" s="1673">
        <f t="shared" ref="D151:K151" si="16">SUM(D129,D130,D139,D149,D150)</f>
        <v>1028572</v>
      </c>
      <c r="E151" s="1673">
        <f t="shared" si="16"/>
        <v>1223679</v>
      </c>
      <c r="F151" s="1673">
        <f t="shared" si="16"/>
        <v>3367461</v>
      </c>
      <c r="G151" s="1673">
        <f t="shared" si="16"/>
        <v>453289</v>
      </c>
      <c r="H151" s="1673">
        <f t="shared" si="16"/>
        <v>1151</v>
      </c>
      <c r="I151" s="1673">
        <f t="shared" si="16"/>
        <v>40908</v>
      </c>
      <c r="J151" s="1673">
        <f t="shared" si="16"/>
        <v>0</v>
      </c>
      <c r="K151" s="1673">
        <f t="shared" si="16"/>
        <v>11943221</v>
      </c>
      <c r="L151" s="1673">
        <f>SUM(L129,L130,L139,L149,L150)</f>
        <v>11868698</v>
      </c>
    </row>
    <row r="152" spans="1:14" ht="12.75" customHeight="1" thickTop="1" x14ac:dyDescent="0.2">
      <c r="A152" s="2286" t="s">
        <v>1167</v>
      </c>
      <c r="B152" s="2287"/>
      <c r="C152" s="1674"/>
      <c r="D152" s="1674"/>
      <c r="E152" s="1674"/>
      <c r="F152" s="1674"/>
      <c r="G152" s="1674"/>
      <c r="H152" s="1674"/>
      <c r="I152" s="1674"/>
      <c r="J152" s="1672"/>
      <c r="K152" s="1688">
        <f>'Revenues 9-14'!D268-'Expenditures 15-22'!K151</f>
        <v>-430876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1" t="s">
        <v>616</v>
      </c>
      <c r="B154" s="227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1813</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1812</v>
      </c>
      <c r="C157" s="1672"/>
      <c r="D157" s="1672"/>
      <c r="E157" s="1672"/>
      <c r="F157" s="1672"/>
      <c r="G157" s="1672"/>
      <c r="H157" s="1684"/>
      <c r="I157" s="1672"/>
      <c r="J157" s="1672"/>
      <c r="K157" s="1671">
        <f>H157</f>
        <v>0</v>
      </c>
      <c r="L157" s="1573"/>
      <c r="M157" s="505"/>
      <c r="N157" s="505"/>
    </row>
    <row r="158" spans="1:14" s="506" customFormat="1" ht="12" x14ac:dyDescent="0.2">
      <c r="A158" s="1461" t="s">
        <v>300</v>
      </c>
      <c r="B158" s="1462" t="s">
        <v>1814</v>
      </c>
      <c r="C158" s="1672"/>
      <c r="D158" s="1672"/>
      <c r="E158" s="1672"/>
      <c r="F158" s="1672"/>
      <c r="G158" s="1672"/>
      <c r="H158" s="1573"/>
      <c r="I158" s="1672"/>
      <c r="J158" s="1672"/>
      <c r="K158" s="1671">
        <f>H158</f>
        <v>0</v>
      </c>
      <c r="L158" s="1573"/>
      <c r="M158" s="505"/>
      <c r="N158" s="505"/>
    </row>
    <row r="159" spans="1:14" s="506" customFormat="1" ht="12" x14ac:dyDescent="0.2">
      <c r="A159" s="1461" t="s">
        <v>1815</v>
      </c>
      <c r="B159" s="1462"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1816</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1159</v>
      </c>
      <c r="B165" s="503" t="s">
        <v>612</v>
      </c>
      <c r="C165" s="1672"/>
      <c r="D165" s="1672"/>
      <c r="E165" s="1672"/>
      <c r="F165" s="1672"/>
      <c r="G165" s="1672"/>
      <c r="H165" s="1572"/>
      <c r="I165" s="1672"/>
      <c r="J165" s="1672"/>
      <c r="K165" s="1671">
        <f>SUM(C165:J165)</f>
        <v>0</v>
      </c>
      <c r="L165" s="1572"/>
    </row>
    <row r="166" spans="1:14" x14ac:dyDescent="0.2">
      <c r="A166" s="1273" t="s">
        <v>89</v>
      </c>
      <c r="B166" s="512" t="s">
        <v>584</v>
      </c>
      <c r="C166" s="1672"/>
      <c r="D166" s="1672"/>
      <c r="E166" s="1672"/>
      <c r="F166" s="1672"/>
      <c r="G166" s="1672"/>
      <c r="H166" s="1572"/>
      <c r="I166" s="1672"/>
      <c r="J166" s="1672"/>
      <c r="K166" s="1671">
        <f>SUM(C166:J166)</f>
        <v>0</v>
      </c>
      <c r="L166" s="1572"/>
    </row>
    <row r="167" spans="1:14" ht="12.75" customHeight="1" x14ac:dyDescent="0.2">
      <c r="A167" s="1273" t="s">
        <v>614</v>
      </c>
      <c r="B167" s="503" t="s">
        <v>613</v>
      </c>
      <c r="C167" s="1672"/>
      <c r="D167" s="1672"/>
      <c r="E167" s="1672"/>
      <c r="F167" s="1672"/>
      <c r="G167" s="1672"/>
      <c r="H167" s="1572"/>
      <c r="I167" s="1672"/>
      <c r="J167" s="1672"/>
      <c r="K167" s="1671">
        <f>SUM(C167:J167)</f>
        <v>0</v>
      </c>
      <c r="L167" s="1572"/>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4311925</v>
      </c>
      <c r="I169" s="1672"/>
      <c r="J169" s="1672"/>
      <c r="K169" s="1671">
        <f>SUM(C169:H169)</f>
        <v>4311925</v>
      </c>
      <c r="L169" s="1694">
        <v>4963670</v>
      </c>
    </row>
    <row r="170" spans="1:14" ht="33.75" customHeight="1" x14ac:dyDescent="0.2">
      <c r="A170" s="543" t="s">
        <v>1650</v>
      </c>
      <c r="B170" s="545" t="s">
        <v>31</v>
      </c>
      <c r="C170" s="1672"/>
      <c r="D170" s="1672"/>
      <c r="E170" s="1672"/>
      <c r="F170" s="1672"/>
      <c r="G170" s="1672"/>
      <c r="H170" s="1645">
        <v>27003453</v>
      </c>
      <c r="I170" s="1672"/>
      <c r="J170" s="1672"/>
      <c r="K170" s="1671">
        <f>SUM(C170:J170)</f>
        <v>27003453</v>
      </c>
      <c r="L170" s="1645">
        <v>26490000</v>
      </c>
    </row>
    <row r="171" spans="1:14" ht="15.75" customHeight="1" x14ac:dyDescent="0.2">
      <c r="A171" s="507" t="s">
        <v>760</v>
      </c>
      <c r="B171" s="546" t="s">
        <v>84</v>
      </c>
      <c r="C171" s="1672"/>
      <c r="D171" s="1672"/>
      <c r="E171" s="1572"/>
      <c r="F171" s="1672"/>
      <c r="G171" s="1672"/>
      <c r="H171" s="1645">
        <f>4881-2</f>
        <v>4879</v>
      </c>
      <c r="I171" s="1581"/>
      <c r="J171" s="1672"/>
      <c r="K171" s="1671">
        <f>SUM(C171:J171)</f>
        <v>4879</v>
      </c>
      <c r="L171" s="1645">
        <v>5000</v>
      </c>
    </row>
    <row r="172" spans="1:14" ht="12.75" customHeight="1" thickBot="1" x14ac:dyDescent="0.25">
      <c r="A172" s="1379" t="s">
        <v>632</v>
      </c>
      <c r="B172" s="1380" t="s">
        <v>488</v>
      </c>
      <c r="C172" s="1672"/>
      <c r="D172" s="1672"/>
      <c r="E172" s="1680">
        <f>SUM(E168,E169,E170,E171)</f>
        <v>0</v>
      </c>
      <c r="F172" s="1672"/>
      <c r="G172" s="1672"/>
      <c r="H172" s="1680">
        <f>SUM(H168,H169,H170,H171)</f>
        <v>31320257</v>
      </c>
      <c r="I172" s="1683"/>
      <c r="J172" s="1672"/>
      <c r="K172" s="1680">
        <f>SUM(K168,K169,K170,K171)</f>
        <v>31320257</v>
      </c>
      <c r="L172" s="1680">
        <f>SUM(L168,L169,L170,L171)</f>
        <v>31458670</v>
      </c>
    </row>
    <row r="173" spans="1:14" ht="15.75" customHeight="1" thickTop="1" thickBot="1" x14ac:dyDescent="0.25">
      <c r="A173" s="1356" t="s">
        <v>85</v>
      </c>
      <c r="B173" s="1348" t="s">
        <v>855</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31320257</v>
      </c>
      <c r="I174" s="1683"/>
      <c r="J174" s="1672"/>
      <c r="K174" s="1680">
        <f>SUM(K160,K172,K173)</f>
        <v>31320257</v>
      </c>
      <c r="L174" s="1680">
        <f>SUM(L160,L172,L173)</f>
        <v>31458670</v>
      </c>
    </row>
    <row r="175" spans="1:14" ht="13.5" thickTop="1" x14ac:dyDescent="0.2">
      <c r="A175" s="2293" t="s">
        <v>988</v>
      </c>
      <c r="B175" s="2294"/>
      <c r="C175" s="1672"/>
      <c r="D175" s="1672"/>
      <c r="E175" s="1672"/>
      <c r="F175" s="1672"/>
      <c r="G175" s="1672"/>
      <c r="H175" s="1674"/>
      <c r="I175" s="1672"/>
      <c r="J175" s="1672"/>
      <c r="K175" s="1688">
        <f>'Revenues 9-14'!E268-'Expenditures 15-22'!K174</f>
        <v>-4503033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1959</v>
      </c>
      <c r="B180" s="503" t="s">
        <v>710</v>
      </c>
      <c r="C180" s="1572"/>
      <c r="D180" s="1572"/>
      <c r="E180" s="1572"/>
      <c r="F180" s="1572"/>
      <c r="G180" s="1572"/>
      <c r="H180" s="1572"/>
      <c r="I180" s="1573"/>
      <c r="J180" s="1573"/>
      <c r="K180" s="1671">
        <f>SUM(C180:J180)</f>
        <v>0</v>
      </c>
      <c r="L180" s="1572"/>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189928</v>
      </c>
      <c r="D182" s="1572">
        <v>28500</v>
      </c>
      <c r="E182" s="1572">
        <v>8729749</v>
      </c>
      <c r="F182" s="1572">
        <v>859487</v>
      </c>
      <c r="G182" s="1572">
        <v>367237</v>
      </c>
      <c r="H182" s="1572">
        <f>1766+3</f>
        <v>1769</v>
      </c>
      <c r="I182" s="1573">
        <f>85183</f>
        <v>85183</v>
      </c>
      <c r="J182" s="1573"/>
      <c r="K182" s="1671">
        <f>SUM(C182:J182)</f>
        <v>10261853</v>
      </c>
      <c r="L182" s="1572">
        <v>11333743</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805</v>
      </c>
      <c r="B184" s="1380" t="s">
        <v>564</v>
      </c>
      <c r="C184" s="1680">
        <f>SUM(C180,C182,C183)</f>
        <v>189928</v>
      </c>
      <c r="D184" s="1680">
        <f t="shared" ref="D184:J184" si="17">SUM(D180,D182,D183)</f>
        <v>28500</v>
      </c>
      <c r="E184" s="1680">
        <f t="shared" si="17"/>
        <v>8729749</v>
      </c>
      <c r="F184" s="1680">
        <f t="shared" si="17"/>
        <v>859487</v>
      </c>
      <c r="G184" s="1680">
        <f t="shared" si="17"/>
        <v>367237</v>
      </c>
      <c r="H184" s="1680">
        <f t="shared" si="17"/>
        <v>1769</v>
      </c>
      <c r="I184" s="1680">
        <f t="shared" si="17"/>
        <v>85183</v>
      </c>
      <c r="J184" s="1680">
        <f t="shared" si="17"/>
        <v>0</v>
      </c>
      <c r="K184" s="1680">
        <f>SUM(K180,K182,K183)</f>
        <v>10261853</v>
      </c>
      <c r="L184" s="1680">
        <f>SUM(L180, L182:L183)</f>
        <v>11333743</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1120</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row>
    <row r="189" spans="1:14" x14ac:dyDescent="0.2">
      <c r="A189" s="1273" t="s">
        <v>300</v>
      </c>
      <c r="B189" s="503">
        <v>4120</v>
      </c>
      <c r="C189" s="1672"/>
      <c r="D189" s="1672"/>
      <c r="E189" s="1572"/>
      <c r="F189" s="1672"/>
      <c r="G189" s="1672"/>
      <c r="H189" s="1572"/>
      <c r="I189" s="1581"/>
      <c r="J189" s="1672"/>
      <c r="K189" s="1671">
        <f t="shared" si="18"/>
        <v>0</v>
      </c>
      <c r="L189" s="1572"/>
    </row>
    <row r="190" spans="1:14" x14ac:dyDescent="0.2">
      <c r="A190" s="1273" t="s">
        <v>301</v>
      </c>
      <c r="B190" s="512">
        <v>4130</v>
      </c>
      <c r="C190" s="1672"/>
      <c r="D190" s="1672"/>
      <c r="E190" s="1572"/>
      <c r="F190" s="1672"/>
      <c r="G190" s="1672"/>
      <c r="H190" s="1572"/>
      <c r="I190" s="1581"/>
      <c r="J190" s="1672"/>
      <c r="K190" s="1671">
        <f t="shared" si="18"/>
        <v>0</v>
      </c>
      <c r="L190" s="1572"/>
    </row>
    <row r="191" spans="1:14" x14ac:dyDescent="0.2">
      <c r="A191" s="1273" t="s">
        <v>691</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692</v>
      </c>
      <c r="B193" s="512">
        <v>4190</v>
      </c>
      <c r="C193" s="1672"/>
      <c r="D193" s="1672"/>
      <c r="E193" s="1572"/>
      <c r="F193" s="1672"/>
      <c r="G193" s="1672"/>
      <c r="H193" s="1572"/>
      <c r="I193" s="1581"/>
      <c r="J193" s="1672"/>
      <c r="K193" s="1671">
        <f t="shared" si="18"/>
        <v>0</v>
      </c>
      <c r="L193" s="1572"/>
    </row>
    <row r="194" spans="1:14" ht="12.75" customHeight="1" thickBot="1" x14ac:dyDescent="0.25">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1159</v>
      </c>
      <c r="B201" s="512" t="s">
        <v>612</v>
      </c>
      <c r="C201" s="1672"/>
      <c r="D201" s="1672"/>
      <c r="E201" s="1672"/>
      <c r="F201" s="1672"/>
      <c r="G201" s="1672"/>
      <c r="H201" s="1572"/>
      <c r="I201" s="1672"/>
      <c r="J201" s="1672"/>
      <c r="K201" s="1671">
        <f>SUM(H201)</f>
        <v>0</v>
      </c>
      <c r="L201" s="1572"/>
    </row>
    <row r="202" spans="1:14" x14ac:dyDescent="0.2">
      <c r="A202" s="1273" t="s">
        <v>89</v>
      </c>
      <c r="B202" s="503" t="s">
        <v>584</v>
      </c>
      <c r="C202" s="1672"/>
      <c r="D202" s="1672"/>
      <c r="E202" s="1672"/>
      <c r="F202" s="1672"/>
      <c r="G202" s="1672"/>
      <c r="H202" s="1572"/>
      <c r="I202" s="1672"/>
      <c r="J202" s="1672"/>
      <c r="K202" s="1671">
        <f>SUM(H202)</f>
        <v>0</v>
      </c>
      <c r="L202" s="1572"/>
    </row>
    <row r="203" spans="1:14" x14ac:dyDescent="0.2">
      <c r="A203" s="1285" t="s">
        <v>614</v>
      </c>
      <c r="B203" s="503" t="s">
        <v>613</v>
      </c>
      <c r="C203" s="1672"/>
      <c r="D203" s="1672"/>
      <c r="E203" s="1672"/>
      <c r="F203" s="1672"/>
      <c r="G203" s="1672"/>
      <c r="H203" s="1576"/>
      <c r="I203" s="1672"/>
      <c r="J203" s="1672"/>
      <c r="K203" s="1671">
        <f>SUM(H203)</f>
        <v>0</v>
      </c>
      <c r="L203" s="1576"/>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58287</v>
      </c>
      <c r="I205" s="1672"/>
      <c r="J205" s="1672"/>
      <c r="K205" s="1695">
        <f>SUM(H205)</f>
        <v>58287</v>
      </c>
      <c r="L205" s="1629"/>
    </row>
    <row r="206" spans="1:14" ht="30" customHeight="1" x14ac:dyDescent="0.2">
      <c r="A206" s="555" t="s">
        <v>1651</v>
      </c>
      <c r="B206" s="546" t="s">
        <v>31</v>
      </c>
      <c r="C206" s="1672"/>
      <c r="D206" s="1672"/>
      <c r="E206" s="1672"/>
      <c r="F206" s="1672"/>
      <c r="G206" s="1672"/>
      <c r="H206" s="1572">
        <v>427775</v>
      </c>
      <c r="I206" s="1672"/>
      <c r="J206" s="1672"/>
      <c r="K206" s="1671">
        <f>SUM(H206)</f>
        <v>427775</v>
      </c>
      <c r="L206" s="1572"/>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8" t="s">
        <v>632</v>
      </c>
      <c r="B208" s="1389" t="s">
        <v>488</v>
      </c>
      <c r="C208" s="1672"/>
      <c r="D208" s="1672"/>
      <c r="E208" s="1672"/>
      <c r="F208" s="1672"/>
      <c r="G208" s="1672"/>
      <c r="H208" s="1680">
        <f>SUM(H204,H205,H206,H207)</f>
        <v>486062</v>
      </c>
      <c r="I208" s="1672"/>
      <c r="J208" s="1672"/>
      <c r="K208" s="1680">
        <f>SUM(K204,K205,K206,K207)</f>
        <v>486062</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row>
    <row r="210" spans="1:14" ht="12.75" customHeight="1" thickTop="1" thickBot="1" x14ac:dyDescent="0.25">
      <c r="A210" s="1393" t="s">
        <v>274</v>
      </c>
      <c r="B210" s="1394"/>
      <c r="C210" s="1673">
        <f>SUM(C184,C185)</f>
        <v>189928</v>
      </c>
      <c r="D210" s="1673">
        <f>SUM(D184,D185)</f>
        <v>28500</v>
      </c>
      <c r="E210" s="1673">
        <f>SUM(E184,E185,E196)</f>
        <v>8729749</v>
      </c>
      <c r="F210" s="1673">
        <f>SUM(F184,F185)</f>
        <v>859487</v>
      </c>
      <c r="G210" s="1673">
        <f>SUM(G184,G185)</f>
        <v>367237</v>
      </c>
      <c r="H210" s="1673">
        <f>SUM(H184,H185,H196,H208,H209)</f>
        <v>487831</v>
      </c>
      <c r="I210" s="1673">
        <f>SUM(I184,I185)</f>
        <v>85183</v>
      </c>
      <c r="J210" s="1673">
        <f>SUM(J184,J185)</f>
        <v>0</v>
      </c>
      <c r="K210" s="1671">
        <f>SUM(K184,K185,K196,K208,K209)</f>
        <v>10747915</v>
      </c>
      <c r="L210" s="1673">
        <f>SUM(L184,L185,L196,L208,L209)</f>
        <v>11333743</v>
      </c>
    </row>
    <row r="211" spans="1:14" ht="13.5" thickTop="1" x14ac:dyDescent="0.2">
      <c r="A211" s="2293" t="s">
        <v>988</v>
      </c>
      <c r="B211" s="2294"/>
      <c r="C211" s="1674"/>
      <c r="D211" s="1674"/>
      <c r="E211" s="1674"/>
      <c r="F211" s="1674"/>
      <c r="G211" s="1674"/>
      <c r="H211" s="1674"/>
      <c r="I211" s="1672"/>
      <c r="J211" s="1672"/>
      <c r="K211" s="1688">
        <f>'Revenues 9-14'!F268-'Expenditures 15-22'!K210</f>
        <v>-187137</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8" t="s">
        <v>958</v>
      </c>
      <c r="B213" s="2289"/>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f>656841-3</f>
        <v>656838</v>
      </c>
      <c r="E215" s="1672"/>
      <c r="F215" s="1672"/>
      <c r="G215" s="1672"/>
      <c r="H215" s="1672"/>
      <c r="I215" s="1672"/>
      <c r="J215" s="1672"/>
      <c r="K215" s="1671">
        <f>D215</f>
        <v>656838</v>
      </c>
      <c r="L215" s="1572">
        <v>617130</v>
      </c>
    </row>
    <row r="216" spans="1:14" x14ac:dyDescent="0.2">
      <c r="A216" s="1273" t="s">
        <v>162</v>
      </c>
      <c r="B216" s="503" t="s">
        <v>960</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1349459</v>
      </c>
      <c r="E217" s="1672"/>
      <c r="F217" s="1672"/>
      <c r="G217" s="1672"/>
      <c r="H217" s="1672"/>
      <c r="I217" s="1672"/>
      <c r="J217" s="1672"/>
      <c r="K217" s="1671">
        <f t="shared" si="19"/>
        <v>1349459</v>
      </c>
      <c r="L217" s="1572">
        <v>1271806</v>
      </c>
    </row>
    <row r="218" spans="1:14" x14ac:dyDescent="0.2">
      <c r="A218" s="1273" t="s">
        <v>275</v>
      </c>
      <c r="B218" s="503" t="s">
        <v>961</v>
      </c>
      <c r="C218" s="1672"/>
      <c r="D218" s="1573">
        <v>57080</v>
      </c>
      <c r="E218" s="1672"/>
      <c r="F218" s="1672"/>
      <c r="G218" s="1672"/>
      <c r="H218" s="1672"/>
      <c r="I218" s="1672"/>
      <c r="J218" s="1672"/>
      <c r="K218" s="1671">
        <f t="shared" si="19"/>
        <v>57080</v>
      </c>
      <c r="L218" s="1572">
        <v>33820</v>
      </c>
    </row>
    <row r="219" spans="1:14" x14ac:dyDescent="0.2">
      <c r="A219" s="1273" t="s">
        <v>276</v>
      </c>
      <c r="B219" s="503">
        <v>1250</v>
      </c>
      <c r="C219" s="1672"/>
      <c r="D219" s="1572">
        <v>16986</v>
      </c>
      <c r="E219" s="1672"/>
      <c r="F219" s="1672"/>
      <c r="G219" s="1672"/>
      <c r="H219" s="1672"/>
      <c r="I219" s="1672"/>
      <c r="J219" s="1672"/>
      <c r="K219" s="1671">
        <f t="shared" si="19"/>
        <v>16986</v>
      </c>
      <c r="L219" s="1572">
        <v>14423</v>
      </c>
    </row>
    <row r="220" spans="1:14" x14ac:dyDescent="0.2">
      <c r="A220" s="1273" t="s">
        <v>277</v>
      </c>
      <c r="B220" s="503" t="s">
        <v>160</v>
      </c>
      <c r="C220" s="1672"/>
      <c r="D220" s="1573"/>
      <c r="E220" s="1672"/>
      <c r="F220" s="1672"/>
      <c r="G220" s="1672"/>
      <c r="H220" s="1672"/>
      <c r="I220" s="1672"/>
      <c r="J220" s="1672"/>
      <c r="K220" s="1671">
        <f t="shared" si="19"/>
        <v>0</v>
      </c>
      <c r="L220" s="1572"/>
    </row>
    <row r="221" spans="1:14" x14ac:dyDescent="0.2">
      <c r="A221" s="1273" t="s">
        <v>955</v>
      </c>
      <c r="B221" s="503">
        <v>1300</v>
      </c>
      <c r="C221" s="1672"/>
      <c r="D221" s="1572"/>
      <c r="E221" s="1672"/>
      <c r="F221" s="1672"/>
      <c r="G221" s="1672"/>
      <c r="H221" s="1672"/>
      <c r="I221" s="1672"/>
      <c r="J221" s="1672"/>
      <c r="K221" s="1671">
        <f t="shared" si="19"/>
        <v>0</v>
      </c>
      <c r="L221" s="1572"/>
    </row>
    <row r="222" spans="1:14" x14ac:dyDescent="0.2">
      <c r="A222" s="1273" t="s">
        <v>717</v>
      </c>
      <c r="B222" s="503">
        <v>1400</v>
      </c>
      <c r="C222" s="1672"/>
      <c r="D222" s="1572"/>
      <c r="E222" s="1672"/>
      <c r="F222" s="1672"/>
      <c r="G222" s="1672"/>
      <c r="H222" s="1672"/>
      <c r="I222" s="1672"/>
      <c r="J222" s="1672"/>
      <c r="K222" s="1671">
        <f t="shared" si="19"/>
        <v>0</v>
      </c>
      <c r="L222" s="1572">
        <v>65</v>
      </c>
    </row>
    <row r="223" spans="1:14" x14ac:dyDescent="0.2">
      <c r="A223" s="1273" t="s">
        <v>956</v>
      </c>
      <c r="B223" s="503">
        <v>1500</v>
      </c>
      <c r="C223" s="1672"/>
      <c r="D223" s="1572">
        <v>25299</v>
      </c>
      <c r="E223" s="1672"/>
      <c r="F223" s="1672"/>
      <c r="G223" s="1672"/>
      <c r="H223" s="1672"/>
      <c r="I223" s="1672"/>
      <c r="J223" s="1672"/>
      <c r="K223" s="1671">
        <f t="shared" si="19"/>
        <v>25299</v>
      </c>
      <c r="L223" s="1572">
        <v>23496</v>
      </c>
    </row>
    <row r="224" spans="1:14" x14ac:dyDescent="0.2">
      <c r="A224" s="1273" t="s">
        <v>957</v>
      </c>
      <c r="B224" s="503">
        <v>1600</v>
      </c>
      <c r="C224" s="1672"/>
      <c r="D224" s="1572">
        <v>14115</v>
      </c>
      <c r="E224" s="1672"/>
      <c r="F224" s="1672"/>
      <c r="G224" s="1672"/>
      <c r="H224" s="1672"/>
      <c r="I224" s="1672"/>
      <c r="J224" s="1672"/>
      <c r="K224" s="1671">
        <f t="shared" si="19"/>
        <v>14115</v>
      </c>
      <c r="L224" s="1572">
        <v>11833</v>
      </c>
    </row>
    <row r="225" spans="1:12" x14ac:dyDescent="0.2">
      <c r="A225" s="1273" t="s">
        <v>979</v>
      </c>
      <c r="B225" s="503">
        <v>1650</v>
      </c>
      <c r="C225" s="1672"/>
      <c r="D225" s="1572"/>
      <c r="E225" s="1672"/>
      <c r="F225" s="1672"/>
      <c r="G225" s="1672"/>
      <c r="H225" s="1672"/>
      <c r="I225" s="1672"/>
      <c r="J225" s="1672"/>
      <c r="K225" s="1671">
        <f t="shared" si="19"/>
        <v>0</v>
      </c>
      <c r="L225" s="1572"/>
    </row>
    <row r="226" spans="1:12" x14ac:dyDescent="0.2">
      <c r="A226" s="1273" t="s">
        <v>718</v>
      </c>
      <c r="B226" s="503" t="s">
        <v>161</v>
      </c>
      <c r="C226" s="1672"/>
      <c r="D226" s="1573">
        <v>183</v>
      </c>
      <c r="E226" s="1672"/>
      <c r="F226" s="1672"/>
      <c r="G226" s="1672"/>
      <c r="H226" s="1672"/>
      <c r="I226" s="1672"/>
      <c r="J226" s="1672"/>
      <c r="K226" s="1671">
        <f t="shared" si="19"/>
        <v>183</v>
      </c>
      <c r="L226" s="1572">
        <v>210</v>
      </c>
    </row>
    <row r="227" spans="1:12" x14ac:dyDescent="0.2">
      <c r="A227" s="1273" t="s">
        <v>1077</v>
      </c>
      <c r="B227" s="503">
        <v>1800</v>
      </c>
      <c r="C227" s="1672"/>
      <c r="D227" s="1572">
        <v>19419</v>
      </c>
      <c r="E227" s="1672"/>
      <c r="F227" s="1672"/>
      <c r="G227" s="1672"/>
      <c r="H227" s="1672"/>
      <c r="I227" s="1672"/>
      <c r="J227" s="1672"/>
      <c r="K227" s="1671">
        <f t="shared" si="19"/>
        <v>19419</v>
      </c>
      <c r="L227" s="1572">
        <v>14733</v>
      </c>
    </row>
    <row r="228" spans="1:12" x14ac:dyDescent="0.2">
      <c r="A228" s="1273" t="s">
        <v>1078</v>
      </c>
      <c r="B228" s="503">
        <v>1900</v>
      </c>
      <c r="C228" s="1672"/>
      <c r="D228" s="1572"/>
      <c r="E228" s="1672"/>
      <c r="F228" s="1672"/>
      <c r="G228" s="1672"/>
      <c r="H228" s="1672"/>
      <c r="I228" s="1672"/>
      <c r="J228" s="1672"/>
      <c r="K228" s="1671">
        <f t="shared" si="19"/>
        <v>0</v>
      </c>
      <c r="L228" s="1572"/>
    </row>
    <row r="229" spans="1:12" ht="12.75" customHeight="1" thickBot="1" x14ac:dyDescent="0.25">
      <c r="A229" s="1379" t="s">
        <v>709</v>
      </c>
      <c r="B229" s="1382" t="s">
        <v>565</v>
      </c>
      <c r="C229" s="1672"/>
      <c r="D229" s="1673">
        <f>SUM(D215:D228)</f>
        <v>2139379</v>
      </c>
      <c r="E229" s="1672"/>
      <c r="F229" s="1672"/>
      <c r="G229" s="1672"/>
      <c r="H229" s="1672"/>
      <c r="I229" s="1672"/>
      <c r="J229" s="1672"/>
      <c r="K229" s="1673">
        <f>SUM(K215:K228)</f>
        <v>2139379</v>
      </c>
      <c r="L229" s="1673">
        <f>SUM(L215:L228)</f>
        <v>1987516</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1079</v>
      </c>
      <c r="B232" s="503">
        <v>2110</v>
      </c>
      <c r="C232" s="1672"/>
      <c r="D232" s="1572">
        <v>18269</v>
      </c>
      <c r="E232" s="1672"/>
      <c r="F232" s="1672"/>
      <c r="G232" s="1672"/>
      <c r="H232" s="1672"/>
      <c r="I232" s="1672"/>
      <c r="J232" s="1672"/>
      <c r="K232" s="1671">
        <f t="shared" ref="K232:K237" si="20">D232</f>
        <v>18269</v>
      </c>
      <c r="L232" s="1572">
        <v>12974</v>
      </c>
    </row>
    <row r="233" spans="1:12" x14ac:dyDescent="0.2">
      <c r="A233" s="1273" t="s">
        <v>1080</v>
      </c>
      <c r="B233" s="503">
        <v>2120</v>
      </c>
      <c r="C233" s="1672"/>
      <c r="D233" s="1572">
        <v>35516</v>
      </c>
      <c r="E233" s="1672"/>
      <c r="F233" s="1672"/>
      <c r="G233" s="1672"/>
      <c r="H233" s="1672"/>
      <c r="I233" s="1672"/>
      <c r="J233" s="1672"/>
      <c r="K233" s="1671">
        <f t="shared" si="20"/>
        <v>35516</v>
      </c>
      <c r="L233" s="1572">
        <v>40353</v>
      </c>
    </row>
    <row r="234" spans="1:12" x14ac:dyDescent="0.2">
      <c r="A234" s="1273" t="s">
        <v>196</v>
      </c>
      <c r="B234" s="503">
        <v>2130</v>
      </c>
      <c r="C234" s="1672"/>
      <c r="D234" s="1572">
        <v>64549</v>
      </c>
      <c r="E234" s="1672"/>
      <c r="F234" s="1672"/>
      <c r="G234" s="1672"/>
      <c r="H234" s="1672"/>
      <c r="I234" s="1672"/>
      <c r="J234" s="1672"/>
      <c r="K234" s="1671">
        <f t="shared" si="20"/>
        <v>64549</v>
      </c>
      <c r="L234" s="1572">
        <v>61087</v>
      </c>
    </row>
    <row r="235" spans="1:12" x14ac:dyDescent="0.2">
      <c r="A235" s="1273" t="s">
        <v>197</v>
      </c>
      <c r="B235" s="503">
        <v>2140</v>
      </c>
      <c r="C235" s="1672"/>
      <c r="D235" s="1572">
        <v>15413</v>
      </c>
      <c r="E235" s="1672"/>
      <c r="F235" s="1672"/>
      <c r="G235" s="1672"/>
      <c r="H235" s="1672"/>
      <c r="I235" s="1672"/>
      <c r="J235" s="1672"/>
      <c r="K235" s="1671">
        <f t="shared" si="20"/>
        <v>15413</v>
      </c>
      <c r="L235" s="1572">
        <v>11271</v>
      </c>
    </row>
    <row r="236" spans="1:12" x14ac:dyDescent="0.2">
      <c r="A236" s="1273" t="s">
        <v>198</v>
      </c>
      <c r="B236" s="503">
        <v>2150</v>
      </c>
      <c r="C236" s="1672"/>
      <c r="D236" s="1572">
        <v>7561</v>
      </c>
      <c r="E236" s="1672"/>
      <c r="F236" s="1672"/>
      <c r="G236" s="1672"/>
      <c r="H236" s="1672"/>
      <c r="I236" s="1672"/>
      <c r="J236" s="1672"/>
      <c r="K236" s="1671">
        <f t="shared" si="20"/>
        <v>7561</v>
      </c>
      <c r="L236" s="1572">
        <v>6499</v>
      </c>
    </row>
    <row r="237" spans="1:12" x14ac:dyDescent="0.2">
      <c r="A237" s="1273" t="s">
        <v>164</v>
      </c>
      <c r="B237" s="503">
        <v>2190</v>
      </c>
      <c r="C237" s="1672"/>
      <c r="D237" s="1572">
        <v>53</v>
      </c>
      <c r="E237" s="1672"/>
      <c r="F237" s="1672"/>
      <c r="G237" s="1672"/>
      <c r="H237" s="1672"/>
      <c r="I237" s="1672"/>
      <c r="J237" s="1672"/>
      <c r="K237" s="1671">
        <f t="shared" si="20"/>
        <v>53</v>
      </c>
      <c r="L237" s="1572">
        <v>178</v>
      </c>
    </row>
    <row r="238" spans="1:12" ht="12.75" customHeight="1" thickBot="1" x14ac:dyDescent="0.25">
      <c r="A238" s="1379" t="s">
        <v>555</v>
      </c>
      <c r="B238" s="1382" t="s">
        <v>710</v>
      </c>
      <c r="C238" s="1672"/>
      <c r="D238" s="1673">
        <f>SUM(D232:D237)</f>
        <v>141361</v>
      </c>
      <c r="E238" s="1672"/>
      <c r="F238" s="1672"/>
      <c r="G238" s="1672"/>
      <c r="H238" s="1672"/>
      <c r="I238" s="1672"/>
      <c r="J238" s="1672"/>
      <c r="K238" s="1673">
        <f>SUM(K232:K237)</f>
        <v>141361</v>
      </c>
      <c r="L238" s="1673">
        <f>SUM(L232:L237)</f>
        <v>132362</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36705</v>
      </c>
      <c r="E240" s="1672"/>
      <c r="F240" s="1672"/>
      <c r="G240" s="1672"/>
      <c r="H240" s="1672"/>
      <c r="I240" s="1672"/>
      <c r="J240" s="1672"/>
      <c r="K240" s="1677">
        <f>D240</f>
        <v>36705</v>
      </c>
      <c r="L240" s="1585">
        <v>39634</v>
      </c>
    </row>
    <row r="241" spans="1:12" x14ac:dyDescent="0.2">
      <c r="A241" s="1273" t="s">
        <v>809</v>
      </c>
      <c r="B241" s="503">
        <v>2220</v>
      </c>
      <c r="C241" s="1672"/>
      <c r="D241" s="1572">
        <v>19172</v>
      </c>
      <c r="E241" s="1672"/>
      <c r="F241" s="1672"/>
      <c r="G241" s="1672"/>
      <c r="H241" s="1672"/>
      <c r="I241" s="1672"/>
      <c r="J241" s="1672"/>
      <c r="K241" s="1677">
        <f>D241</f>
        <v>19172</v>
      </c>
      <c r="L241" s="1572">
        <v>18817</v>
      </c>
    </row>
    <row r="242" spans="1:12" x14ac:dyDescent="0.2">
      <c r="A242" s="1273" t="s">
        <v>810</v>
      </c>
      <c r="B242" s="503">
        <v>2230</v>
      </c>
      <c r="C242" s="1672"/>
      <c r="D242" s="1572"/>
      <c r="E242" s="1672"/>
      <c r="F242" s="1672"/>
      <c r="G242" s="1672"/>
      <c r="H242" s="1672"/>
      <c r="I242" s="1672"/>
      <c r="J242" s="1672"/>
      <c r="K242" s="1677">
        <f>D242</f>
        <v>0</v>
      </c>
      <c r="L242" s="1572"/>
    </row>
    <row r="243" spans="1:12" ht="12.75" customHeight="1" thickBot="1" x14ac:dyDescent="0.25">
      <c r="A243" s="1395" t="s">
        <v>556</v>
      </c>
      <c r="B243" s="1396">
        <v>2200</v>
      </c>
      <c r="C243" s="1672"/>
      <c r="D243" s="1673">
        <f>SUM(D240:D242)</f>
        <v>55877</v>
      </c>
      <c r="E243" s="1672"/>
      <c r="F243" s="1672"/>
      <c r="G243" s="1672"/>
      <c r="H243" s="1672"/>
      <c r="I243" s="1672"/>
      <c r="J243" s="1672"/>
      <c r="K243" s="1673">
        <f>SUM(K240:K242)</f>
        <v>55877</v>
      </c>
      <c r="L243" s="1673">
        <f>SUM(L240:L242)</f>
        <v>58451</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1240</v>
      </c>
      <c r="E245" s="1672"/>
      <c r="F245" s="1672"/>
      <c r="G245" s="1672"/>
      <c r="H245" s="1672"/>
      <c r="I245" s="1672"/>
      <c r="J245" s="1672"/>
      <c r="K245" s="1677">
        <f>D245</f>
        <v>1240</v>
      </c>
      <c r="L245" s="1585"/>
    </row>
    <row r="246" spans="1:12" x14ac:dyDescent="0.2">
      <c r="A246" s="1273" t="s">
        <v>812</v>
      </c>
      <c r="B246" s="503">
        <v>2320</v>
      </c>
      <c r="C246" s="1672"/>
      <c r="D246" s="1572">
        <v>19542</v>
      </c>
      <c r="E246" s="1672"/>
      <c r="F246" s="1672"/>
      <c r="G246" s="1672"/>
      <c r="H246" s="1672"/>
      <c r="I246" s="1672"/>
      <c r="J246" s="1672"/>
      <c r="K246" s="1677">
        <f t="shared" ref="K246:K256" si="21">D246</f>
        <v>19542</v>
      </c>
      <c r="L246" s="1572">
        <v>15454</v>
      </c>
    </row>
    <row r="247" spans="1:12" x14ac:dyDescent="0.2">
      <c r="A247" s="1273" t="s">
        <v>813</v>
      </c>
      <c r="B247" s="503">
        <v>2330</v>
      </c>
      <c r="C247" s="1672"/>
      <c r="D247" s="1572">
        <v>12648</v>
      </c>
      <c r="E247" s="1672"/>
      <c r="F247" s="1672"/>
      <c r="G247" s="1672"/>
      <c r="H247" s="1672"/>
      <c r="I247" s="1672"/>
      <c r="J247" s="1672"/>
      <c r="K247" s="1677">
        <f t="shared" si="21"/>
        <v>12648</v>
      </c>
      <c r="L247" s="1572">
        <v>14093</v>
      </c>
    </row>
    <row r="248" spans="1:12" x14ac:dyDescent="0.2">
      <c r="A248" s="1274" t="s">
        <v>295</v>
      </c>
      <c r="B248" s="494" t="s">
        <v>278</v>
      </c>
      <c r="C248" s="1672"/>
      <c r="D248" s="1578"/>
      <c r="E248" s="1672"/>
      <c r="F248" s="1672"/>
      <c r="G248" s="1672"/>
      <c r="H248" s="1672"/>
      <c r="I248" s="1672"/>
      <c r="J248" s="1672"/>
      <c r="K248" s="1677">
        <f t="shared" si="21"/>
        <v>0</v>
      </c>
      <c r="L248" s="1572"/>
    </row>
    <row r="249" spans="1:12" x14ac:dyDescent="0.2">
      <c r="A249" s="1275" t="s">
        <v>1778</v>
      </c>
      <c r="B249" s="557" t="s">
        <v>279</v>
      </c>
      <c r="C249" s="1672"/>
      <c r="D249" s="1578"/>
      <c r="E249" s="1672"/>
      <c r="F249" s="1672"/>
      <c r="G249" s="1672"/>
      <c r="H249" s="1672"/>
      <c r="I249" s="1672"/>
      <c r="J249" s="1672"/>
      <c r="K249" s="1677">
        <f t="shared" si="21"/>
        <v>0</v>
      </c>
      <c r="L249" s="1572"/>
    </row>
    <row r="250" spans="1:12" x14ac:dyDescent="0.2">
      <c r="A250" s="1274" t="s">
        <v>1779</v>
      </c>
      <c r="B250" s="494" t="s">
        <v>280</v>
      </c>
      <c r="C250" s="1672"/>
      <c r="D250" s="1578"/>
      <c r="E250" s="1672"/>
      <c r="F250" s="1672"/>
      <c r="G250" s="1672"/>
      <c r="H250" s="1672"/>
      <c r="I250" s="1672"/>
      <c r="J250" s="1672"/>
      <c r="K250" s="1677">
        <f t="shared" si="21"/>
        <v>0</v>
      </c>
      <c r="L250" s="1572"/>
    </row>
    <row r="251" spans="1:12" x14ac:dyDescent="0.2">
      <c r="A251" s="1274" t="s">
        <v>236</v>
      </c>
      <c r="B251" s="494" t="s">
        <v>281</v>
      </c>
      <c r="C251" s="1672"/>
      <c r="D251" s="1578"/>
      <c r="E251" s="1672"/>
      <c r="F251" s="1672"/>
      <c r="G251" s="1672"/>
      <c r="H251" s="1672"/>
      <c r="I251" s="1672"/>
      <c r="J251" s="1672"/>
      <c r="K251" s="1677">
        <f t="shared" si="21"/>
        <v>0</v>
      </c>
      <c r="L251" s="1572"/>
    </row>
    <row r="252" spans="1:12" x14ac:dyDescent="0.2">
      <c r="A252" s="1274" t="s">
        <v>696</v>
      </c>
      <c r="B252" s="494" t="s">
        <v>282</v>
      </c>
      <c r="C252" s="1672"/>
      <c r="D252" s="1578"/>
      <c r="E252" s="1672"/>
      <c r="F252" s="1672"/>
      <c r="G252" s="1672"/>
      <c r="H252" s="1672"/>
      <c r="I252" s="1672"/>
      <c r="J252" s="1672"/>
      <c r="K252" s="1677">
        <f t="shared" si="21"/>
        <v>0</v>
      </c>
      <c r="L252" s="1572"/>
    </row>
    <row r="253" spans="1:12" x14ac:dyDescent="0.2">
      <c r="A253" s="1274" t="s">
        <v>237</v>
      </c>
      <c r="B253" s="494" t="s">
        <v>283</v>
      </c>
      <c r="C253" s="1672"/>
      <c r="D253" s="1578"/>
      <c r="E253" s="1672"/>
      <c r="F253" s="1672"/>
      <c r="G253" s="1672"/>
      <c r="H253" s="1672"/>
      <c r="I253" s="1672"/>
      <c r="J253" s="1672"/>
      <c r="K253" s="1677">
        <f t="shared" si="21"/>
        <v>0</v>
      </c>
      <c r="L253" s="1572"/>
    </row>
    <row r="254" spans="1:12" ht="22.5" x14ac:dyDescent="0.2">
      <c r="A254" s="1274" t="s">
        <v>1021</v>
      </c>
      <c r="B254" s="557" t="s">
        <v>284</v>
      </c>
      <c r="C254" s="1672"/>
      <c r="D254" s="1578">
        <v>211</v>
      </c>
      <c r="E254" s="1672"/>
      <c r="F254" s="1672"/>
      <c r="G254" s="1672"/>
      <c r="H254" s="1672"/>
      <c r="I254" s="1672"/>
      <c r="J254" s="1672"/>
      <c r="K254" s="1677">
        <f t="shared" si="21"/>
        <v>211</v>
      </c>
      <c r="L254" s="1572"/>
    </row>
    <row r="255" spans="1:12" x14ac:dyDescent="0.2">
      <c r="A255" s="1274" t="s">
        <v>1022</v>
      </c>
      <c r="B255" s="494" t="s">
        <v>285</v>
      </c>
      <c r="C255" s="1672"/>
      <c r="D255" s="1578"/>
      <c r="E255" s="1672"/>
      <c r="F255" s="1672"/>
      <c r="G255" s="1672"/>
      <c r="H255" s="1672"/>
      <c r="I255" s="1672"/>
      <c r="J255" s="1672"/>
      <c r="K255" s="1677">
        <f t="shared" si="21"/>
        <v>0</v>
      </c>
      <c r="L255" s="1572"/>
    </row>
    <row r="256" spans="1:12" x14ac:dyDescent="0.2">
      <c r="A256" s="1274" t="s">
        <v>964</v>
      </c>
      <c r="B256" s="503" t="s">
        <v>286</v>
      </c>
      <c r="C256" s="1672"/>
      <c r="D256" s="1578">
        <v>42233</v>
      </c>
      <c r="E256" s="1672"/>
      <c r="F256" s="1672"/>
      <c r="G256" s="1672"/>
      <c r="H256" s="1672"/>
      <c r="I256" s="1672"/>
      <c r="J256" s="1672"/>
      <c r="K256" s="1677">
        <f t="shared" si="21"/>
        <v>42233</v>
      </c>
      <c r="L256" s="1572">
        <v>26090</v>
      </c>
    </row>
    <row r="257" spans="1:14" ht="12.75" customHeight="1" thickBot="1" x14ac:dyDescent="0.25">
      <c r="A257" s="1379" t="s">
        <v>711</v>
      </c>
      <c r="B257" s="1397">
        <v>2300</v>
      </c>
      <c r="C257" s="1672"/>
      <c r="D257" s="1673">
        <f>SUM(D245:D256)</f>
        <v>75874</v>
      </c>
      <c r="E257" s="1672"/>
      <c r="F257" s="1672"/>
      <c r="G257" s="1672"/>
      <c r="H257" s="1672"/>
      <c r="I257" s="1672"/>
      <c r="J257" s="1672"/>
      <c r="K257" s="1673">
        <f>SUM(K245:K256)</f>
        <v>75874</v>
      </c>
      <c r="L257" s="1673">
        <f>SUM(L245:L256)</f>
        <v>55637</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1057</v>
      </c>
      <c r="B259" s="559">
        <v>2410</v>
      </c>
      <c r="C259" s="1672"/>
      <c r="D259" s="1585">
        <v>350513</v>
      </c>
      <c r="E259" s="1672"/>
      <c r="F259" s="1672"/>
      <c r="G259" s="1672"/>
      <c r="H259" s="1672"/>
      <c r="I259" s="1672"/>
      <c r="J259" s="1672"/>
      <c r="K259" s="1677">
        <f>D259</f>
        <v>350513</v>
      </c>
      <c r="L259" s="1585">
        <v>330525</v>
      </c>
    </row>
    <row r="260" spans="1:14" s="493" customFormat="1" x14ac:dyDescent="0.2">
      <c r="A260" s="1291" t="s">
        <v>1777</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350513</v>
      </c>
      <c r="E261" s="1672"/>
      <c r="F261" s="1672"/>
      <c r="G261" s="1672"/>
      <c r="H261" s="1672"/>
      <c r="I261" s="1672"/>
      <c r="J261" s="1672"/>
      <c r="K261" s="1673">
        <f>SUM(K259:K260)</f>
        <v>350513</v>
      </c>
      <c r="L261" s="1673">
        <f>SUM(L259:L260)</f>
        <v>330525</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1058</v>
      </c>
      <c r="B263" s="559">
        <v>2510</v>
      </c>
      <c r="C263" s="1672"/>
      <c r="D263" s="1572">
        <v>30641</v>
      </c>
      <c r="E263" s="1672"/>
      <c r="F263" s="1672"/>
      <c r="G263" s="1672"/>
      <c r="H263" s="1672"/>
      <c r="I263" s="1672"/>
      <c r="J263" s="1672"/>
      <c r="K263" s="1677">
        <f>D263</f>
        <v>30641</v>
      </c>
      <c r="L263" s="1585">
        <v>23044</v>
      </c>
    </row>
    <row r="264" spans="1:14" x14ac:dyDescent="0.2">
      <c r="A264" s="1273" t="s">
        <v>459</v>
      </c>
      <c r="B264" s="559">
        <v>2520</v>
      </c>
      <c r="C264" s="1672"/>
      <c r="D264" s="1572">
        <v>65568</v>
      </c>
      <c r="E264" s="1672"/>
      <c r="F264" s="1672"/>
      <c r="G264" s="1672"/>
      <c r="H264" s="1672"/>
      <c r="I264" s="1672"/>
      <c r="J264" s="1672"/>
      <c r="K264" s="1677">
        <f t="shared" ref="K264:K269" si="22">D264</f>
        <v>65568</v>
      </c>
      <c r="L264" s="1572">
        <v>58865</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981849</v>
      </c>
      <c r="E266" s="1672"/>
      <c r="F266" s="1672"/>
      <c r="G266" s="1672"/>
      <c r="H266" s="1672"/>
      <c r="I266" s="1672"/>
      <c r="J266" s="1672"/>
      <c r="K266" s="1677">
        <f t="shared" si="22"/>
        <v>981849</v>
      </c>
      <c r="L266" s="1572">
        <v>1185520</v>
      </c>
    </row>
    <row r="267" spans="1:14" x14ac:dyDescent="0.2">
      <c r="A267" s="1273" t="s">
        <v>946</v>
      </c>
      <c r="B267" s="503">
        <v>2550</v>
      </c>
      <c r="C267" s="1672"/>
      <c r="D267" s="1572">
        <v>30862</v>
      </c>
      <c r="E267" s="1672"/>
      <c r="F267" s="1672"/>
      <c r="G267" s="1672"/>
      <c r="H267" s="1672"/>
      <c r="I267" s="1672"/>
      <c r="J267" s="1672"/>
      <c r="K267" s="1677">
        <f t="shared" si="22"/>
        <v>30862</v>
      </c>
      <c r="L267" s="1572">
        <v>30482</v>
      </c>
    </row>
    <row r="268" spans="1:14" x14ac:dyDescent="0.2">
      <c r="A268" s="1273" t="s">
        <v>100</v>
      </c>
      <c r="B268" s="503">
        <v>2560</v>
      </c>
      <c r="C268" s="1672"/>
      <c r="D268" s="1572">
        <v>375830</v>
      </c>
      <c r="E268" s="1672"/>
      <c r="F268" s="1672"/>
      <c r="G268" s="1672"/>
      <c r="H268" s="1672"/>
      <c r="I268" s="1672"/>
      <c r="J268" s="1672"/>
      <c r="K268" s="1677">
        <f t="shared" si="22"/>
        <v>375830</v>
      </c>
      <c r="L268" s="1572">
        <v>366497</v>
      </c>
    </row>
    <row r="269" spans="1:14" x14ac:dyDescent="0.2">
      <c r="A269" s="1273" t="s">
        <v>101</v>
      </c>
      <c r="B269" s="503">
        <v>2570</v>
      </c>
      <c r="C269" s="1672"/>
      <c r="D269" s="1572">
        <v>10617</v>
      </c>
      <c r="E269" s="1672"/>
      <c r="F269" s="1672"/>
      <c r="G269" s="1672"/>
      <c r="H269" s="1672"/>
      <c r="I269" s="1672"/>
      <c r="J269" s="1672"/>
      <c r="K269" s="1677">
        <f t="shared" si="22"/>
        <v>10617</v>
      </c>
      <c r="L269" s="1572">
        <v>10945</v>
      </c>
    </row>
    <row r="270" spans="1:14" ht="12.75" customHeight="1" thickBot="1" x14ac:dyDescent="0.25">
      <c r="A270" s="1379" t="s">
        <v>713</v>
      </c>
      <c r="B270" s="1382" t="s">
        <v>35</v>
      </c>
      <c r="C270" s="1672"/>
      <c r="D270" s="1673">
        <f>SUM(D263:D269)</f>
        <v>1495367</v>
      </c>
      <c r="E270" s="1672"/>
      <c r="F270" s="1672"/>
      <c r="G270" s="1672"/>
      <c r="H270" s="1672"/>
      <c r="I270" s="1672"/>
      <c r="J270" s="1672"/>
      <c r="K270" s="1673">
        <f>SUM(K263:K269)</f>
        <v>1495367</v>
      </c>
      <c r="L270" s="1673">
        <f>SUM(L263:L269)</f>
        <v>1675353</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1050</v>
      </c>
      <c r="B272" s="503">
        <v>2610</v>
      </c>
      <c r="C272" s="1672"/>
      <c r="D272" s="1585"/>
      <c r="E272" s="1672"/>
      <c r="F272" s="1672"/>
      <c r="G272" s="1672"/>
      <c r="H272" s="1672"/>
      <c r="I272" s="1672"/>
      <c r="J272" s="1672"/>
      <c r="K272" s="1677">
        <f>D272</f>
        <v>0</v>
      </c>
      <c r="L272" s="1585"/>
    </row>
    <row r="273" spans="1:12" x14ac:dyDescent="0.2">
      <c r="A273" s="1273" t="s">
        <v>602</v>
      </c>
      <c r="B273" s="512">
        <v>2620</v>
      </c>
      <c r="C273" s="1672"/>
      <c r="D273" s="1572"/>
      <c r="E273" s="1672"/>
      <c r="F273" s="1672"/>
      <c r="G273" s="1672"/>
      <c r="H273" s="1672"/>
      <c r="I273" s="1672"/>
      <c r="J273" s="1672"/>
      <c r="K273" s="1677">
        <f>D273</f>
        <v>0</v>
      </c>
      <c r="L273" s="1572"/>
    </row>
    <row r="274" spans="1:12" ht="12" customHeight="1" x14ac:dyDescent="0.2">
      <c r="A274" s="1273" t="s">
        <v>1051</v>
      </c>
      <c r="B274" s="503">
        <v>2630</v>
      </c>
      <c r="C274" s="1672"/>
      <c r="D274" s="1572">
        <v>16328</v>
      </c>
      <c r="E274" s="1672"/>
      <c r="F274" s="1672"/>
      <c r="G274" s="1672"/>
      <c r="H274" s="1672"/>
      <c r="I274" s="1672"/>
      <c r="J274" s="1672"/>
      <c r="K274" s="1677">
        <f>D274</f>
        <v>16328</v>
      </c>
      <c r="L274" s="1572">
        <v>13368</v>
      </c>
    </row>
    <row r="275" spans="1:12" x14ac:dyDescent="0.2">
      <c r="A275" s="1273" t="s">
        <v>399</v>
      </c>
      <c r="B275" s="503">
        <v>2640</v>
      </c>
      <c r="C275" s="1672"/>
      <c r="D275" s="1572">
        <v>51518</v>
      </c>
      <c r="E275" s="1672"/>
      <c r="F275" s="1672"/>
      <c r="G275" s="1672"/>
      <c r="H275" s="1672"/>
      <c r="I275" s="1672"/>
      <c r="J275" s="1672"/>
      <c r="K275" s="1677">
        <f>D275</f>
        <v>51518</v>
      </c>
      <c r="L275" s="1572">
        <v>36646</v>
      </c>
    </row>
    <row r="276" spans="1:12" x14ac:dyDescent="0.2">
      <c r="A276" s="1273" t="s">
        <v>400</v>
      </c>
      <c r="B276" s="503">
        <v>2660</v>
      </c>
      <c r="C276" s="1672"/>
      <c r="D276" s="1572">
        <v>155286</v>
      </c>
      <c r="E276" s="1672"/>
      <c r="F276" s="1672"/>
      <c r="G276" s="1672"/>
      <c r="H276" s="1672"/>
      <c r="I276" s="1672"/>
      <c r="J276" s="1672"/>
      <c r="K276" s="1677">
        <f>D276</f>
        <v>155286</v>
      </c>
      <c r="L276" s="1572">
        <v>135012</v>
      </c>
    </row>
    <row r="277" spans="1:12" ht="12.75" customHeight="1" thickBot="1" x14ac:dyDescent="0.25">
      <c r="A277" s="1392" t="s">
        <v>37</v>
      </c>
      <c r="B277" s="1380" t="s">
        <v>36</v>
      </c>
      <c r="C277" s="1672"/>
      <c r="D277" s="1673">
        <f>SUM(D272:D276)</f>
        <v>223132</v>
      </c>
      <c r="E277" s="1672"/>
      <c r="F277" s="1672"/>
      <c r="G277" s="1672"/>
      <c r="H277" s="1672"/>
      <c r="I277" s="1672"/>
      <c r="J277" s="1672"/>
      <c r="K277" s="1673">
        <f>SUM(K272:K276)</f>
        <v>223132</v>
      </c>
      <c r="L277" s="1673">
        <f>SUM(L272:L276)</f>
        <v>185026</v>
      </c>
    </row>
    <row r="278" spans="1:12" ht="13.5" customHeight="1" thickTop="1" x14ac:dyDescent="0.2">
      <c r="A278" s="1279" t="s">
        <v>972</v>
      </c>
      <c r="B278" s="531" t="s">
        <v>569</v>
      </c>
      <c r="C278" s="1672"/>
      <c r="D278" s="1694"/>
      <c r="E278" s="1672"/>
      <c r="F278" s="1672"/>
      <c r="G278" s="1672"/>
      <c r="H278" s="1672"/>
      <c r="I278" s="1672"/>
      <c r="J278" s="1672"/>
      <c r="K278" s="1695">
        <f>D278</f>
        <v>0</v>
      </c>
      <c r="L278" s="1694"/>
    </row>
    <row r="279" spans="1:12" ht="12.75" customHeight="1" thickBot="1" x14ac:dyDescent="0.25">
      <c r="A279" s="1399" t="s">
        <v>805</v>
      </c>
      <c r="B279" s="1386">
        <v>2000</v>
      </c>
      <c r="C279" s="1672"/>
      <c r="D279" s="1680">
        <f>SUM(D238,D243,D257,D261,D270,D277,D278)</f>
        <v>2342124</v>
      </c>
      <c r="E279" s="1672"/>
      <c r="F279" s="1672"/>
      <c r="G279" s="1672"/>
      <c r="H279" s="1672"/>
      <c r="I279" s="1672"/>
      <c r="J279" s="1672"/>
      <c r="K279" s="1680">
        <f>SUM(K238,K243,K257,K261,K270,K277,K278)</f>
        <v>2342124</v>
      </c>
      <c r="L279" s="1680">
        <f>SUM(L238,L243,L257,L261,L270,L277,L278)</f>
        <v>2437354</v>
      </c>
    </row>
    <row r="280" spans="1:12" ht="15.75" customHeight="1" thickTop="1" thickBot="1" x14ac:dyDescent="0.25">
      <c r="A280" s="1361" t="s">
        <v>869</v>
      </c>
      <c r="B280" s="1350">
        <v>3000</v>
      </c>
      <c r="C280" s="1672"/>
      <c r="D280" s="1650">
        <v>62361</v>
      </c>
      <c r="E280" s="1672"/>
      <c r="F280" s="1672"/>
      <c r="G280" s="1672"/>
      <c r="H280" s="1672"/>
      <c r="I280" s="1672"/>
      <c r="J280" s="1672"/>
      <c r="K280" s="1686">
        <f>D280</f>
        <v>62361</v>
      </c>
      <c r="L280" s="1650">
        <v>39201</v>
      </c>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1812</v>
      </c>
      <c r="C282" s="1672"/>
      <c r="D282" s="1573"/>
      <c r="E282" s="1672"/>
      <c r="F282" s="1672"/>
      <c r="G282" s="1672"/>
      <c r="H282" s="1672"/>
      <c r="I282" s="1672"/>
      <c r="J282" s="1672"/>
      <c r="K282" s="1671">
        <f>D282</f>
        <v>0</v>
      </c>
      <c r="L282" s="1573"/>
    </row>
    <row r="283" spans="1:12" x14ac:dyDescent="0.2">
      <c r="A283" s="1273" t="s">
        <v>300</v>
      </c>
      <c r="B283" s="503">
        <v>4120</v>
      </c>
      <c r="C283" s="1672"/>
      <c r="D283" s="1572"/>
      <c r="E283" s="1672"/>
      <c r="F283" s="1672"/>
      <c r="G283" s="1672"/>
      <c r="H283" s="1672"/>
      <c r="I283" s="1672"/>
      <c r="J283" s="1672"/>
      <c r="K283" s="1671">
        <f>D283</f>
        <v>0</v>
      </c>
      <c r="L283" s="1572"/>
    </row>
    <row r="284" spans="1:12" x14ac:dyDescent="0.2">
      <c r="A284" s="1273" t="s">
        <v>691</v>
      </c>
      <c r="B284" s="503">
        <v>4140</v>
      </c>
      <c r="C284" s="1672"/>
      <c r="D284" s="1573"/>
      <c r="E284" s="1672"/>
      <c r="F284" s="1672"/>
      <c r="G284" s="1672"/>
      <c r="H284" s="1672"/>
      <c r="I284" s="1672"/>
      <c r="J284" s="1672"/>
      <c r="K284" s="1671">
        <f>D284</f>
        <v>0</v>
      </c>
      <c r="L284" s="1572"/>
    </row>
    <row r="285" spans="1:12" ht="12.75" customHeight="1" thickBot="1" x14ac:dyDescent="0.25">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1159</v>
      </c>
      <c r="B290" s="512" t="s">
        <v>612</v>
      </c>
      <c r="C290" s="1672"/>
      <c r="D290" s="1672"/>
      <c r="E290" s="1672"/>
      <c r="F290" s="1672"/>
      <c r="G290" s="1672"/>
      <c r="H290" s="1572"/>
      <c r="I290" s="1672"/>
      <c r="J290" s="1672"/>
      <c r="K290" s="1671">
        <f>H290</f>
        <v>0</v>
      </c>
      <c r="L290" s="1572"/>
    </row>
    <row r="291" spans="1:14" x14ac:dyDescent="0.2">
      <c r="A291" s="1273" t="s">
        <v>89</v>
      </c>
      <c r="B291" s="503" t="s">
        <v>584</v>
      </c>
      <c r="C291" s="1672"/>
      <c r="D291" s="1672"/>
      <c r="E291" s="1672"/>
      <c r="F291" s="1672"/>
      <c r="G291" s="1672"/>
      <c r="H291" s="1572"/>
      <c r="I291" s="1672"/>
      <c r="J291" s="1672"/>
      <c r="K291" s="1671">
        <f>H291</f>
        <v>0</v>
      </c>
      <c r="L291" s="1572"/>
    </row>
    <row r="292" spans="1:14" x14ac:dyDescent="0.2">
      <c r="A292" s="1273" t="s">
        <v>756</v>
      </c>
      <c r="B292" s="503" t="s">
        <v>613</v>
      </c>
      <c r="C292" s="1672"/>
      <c r="D292" s="1672"/>
      <c r="E292" s="1672"/>
      <c r="F292" s="1672"/>
      <c r="G292" s="1672"/>
      <c r="H292" s="1572"/>
      <c r="I292" s="1672"/>
      <c r="J292" s="1672"/>
      <c r="K292" s="1671">
        <f>H292</f>
        <v>0</v>
      </c>
      <c r="L292" s="1572"/>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row>
    <row r="295" spans="1:14" ht="12.75" customHeight="1" thickTop="1" thickBot="1" x14ac:dyDescent="0.25">
      <c r="A295" s="2284" t="s">
        <v>501</v>
      </c>
      <c r="B295" s="2285"/>
      <c r="C295" s="1672"/>
      <c r="D295" s="1673">
        <f>SUM(D229,D279,D280,D285)</f>
        <v>4543864</v>
      </c>
      <c r="E295" s="1672"/>
      <c r="F295" s="1672"/>
      <c r="G295" s="1672"/>
      <c r="H295" s="1673">
        <f>H293</f>
        <v>0</v>
      </c>
      <c r="I295" s="1672"/>
      <c r="J295" s="1672"/>
      <c r="K295" s="1673">
        <f>SUM(K229,K279,K280,K285,K293,K294)</f>
        <v>4543864</v>
      </c>
      <c r="L295" s="1673">
        <f>SUM(L229,L279,L280,L285,L293,L294)</f>
        <v>4464071</v>
      </c>
    </row>
    <row r="296" spans="1:14" ht="13.5" thickTop="1" x14ac:dyDescent="0.2">
      <c r="A296" s="2293" t="s">
        <v>988</v>
      </c>
      <c r="B296" s="2294"/>
      <c r="C296" s="1672"/>
      <c r="D296" s="1674"/>
      <c r="E296" s="1672"/>
      <c r="F296" s="1672"/>
      <c r="G296" s="1672"/>
      <c r="H296" s="1706"/>
      <c r="I296" s="1672"/>
      <c r="J296" s="1672"/>
      <c r="K296" s="1688">
        <f>'Revenues 9-14'!G268-'Expenditures 15-22'!K295</f>
        <v>-471325</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6" t="s">
        <v>142</v>
      </c>
      <c r="B298" s="2270"/>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c r="F301" s="1572"/>
      <c r="G301" s="1572"/>
      <c r="H301" s="1572"/>
      <c r="I301" s="1573"/>
      <c r="J301" s="1573"/>
      <c r="K301" s="1671">
        <f>SUM(C301:J301)</f>
        <v>0</v>
      </c>
      <c r="L301" s="1573"/>
    </row>
    <row r="302" spans="1:14" ht="13.5" customHeight="1" x14ac:dyDescent="0.2">
      <c r="A302" s="1286" t="s">
        <v>972</v>
      </c>
      <c r="B302" s="503" t="s">
        <v>569</v>
      </c>
      <c r="C302" s="1572"/>
      <c r="D302" s="1572"/>
      <c r="E302" s="1572"/>
      <c r="F302" s="1572"/>
      <c r="G302" s="1572"/>
      <c r="H302" s="1572"/>
      <c r="I302" s="1573"/>
      <c r="J302" s="1573"/>
      <c r="K302" s="1671">
        <f>SUM(C302:J302)</f>
        <v>0</v>
      </c>
      <c r="L302" s="1572"/>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1817</v>
      </c>
      <c r="B306" s="562" t="s">
        <v>1812</v>
      </c>
      <c r="C306" s="1672"/>
      <c r="D306" s="1672"/>
      <c r="E306" s="1573"/>
      <c r="F306" s="1672"/>
      <c r="G306" s="1672"/>
      <c r="H306" s="1573"/>
      <c r="I306" s="1672"/>
      <c r="J306" s="1672"/>
      <c r="K306" s="1671">
        <f>SUM(E306,H306)</f>
        <v>0</v>
      </c>
      <c r="L306" s="1573"/>
    </row>
    <row r="307" spans="1:14" x14ac:dyDescent="0.2">
      <c r="A307" s="1273" t="s">
        <v>300</v>
      </c>
      <c r="B307" s="503">
        <v>4120</v>
      </c>
      <c r="C307" s="1672"/>
      <c r="D307" s="1672"/>
      <c r="E307" s="1573"/>
      <c r="F307" s="1672"/>
      <c r="G307" s="1672"/>
      <c r="H307" s="1573"/>
      <c r="I307" s="1581"/>
      <c r="J307" s="1672"/>
      <c r="K307" s="1671">
        <f>SUM(E307,H307)</f>
        <v>0</v>
      </c>
      <c r="L307" s="1572"/>
    </row>
    <row r="308" spans="1:14" x14ac:dyDescent="0.2">
      <c r="A308" s="1273" t="s">
        <v>691</v>
      </c>
      <c r="B308" s="503">
        <v>4140</v>
      </c>
      <c r="C308" s="1672"/>
      <c r="D308" s="1672"/>
      <c r="E308" s="1573"/>
      <c r="F308" s="1672"/>
      <c r="G308" s="1672"/>
      <c r="H308" s="1573"/>
      <c r="I308" s="1581"/>
      <c r="J308" s="1672"/>
      <c r="K308" s="1671">
        <f>SUM(E308,H308)</f>
        <v>0</v>
      </c>
      <c r="L308" s="1572"/>
    </row>
    <row r="309" spans="1:14" ht="12.75" customHeight="1" x14ac:dyDescent="0.2">
      <c r="A309" s="1277" t="s">
        <v>692</v>
      </c>
      <c r="B309" s="512">
        <v>4190</v>
      </c>
      <c r="C309" s="1672"/>
      <c r="D309" s="1672"/>
      <c r="E309" s="1573"/>
      <c r="F309" s="1672"/>
      <c r="G309" s="1672"/>
      <c r="H309" s="1573"/>
      <c r="I309" s="1581"/>
      <c r="J309" s="1672"/>
      <c r="K309" s="1671">
        <f>SUM(E309,H309)</f>
        <v>0</v>
      </c>
      <c r="L309" s="1572"/>
    </row>
    <row r="310" spans="1:14" ht="12.75" customHeight="1" thickBot="1" x14ac:dyDescent="0.25">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row>
    <row r="312" spans="1:14" s="548" customFormat="1" ht="12.75" customHeight="1" thickTop="1" thickBot="1" x14ac:dyDescent="0.25">
      <c r="A312" s="2281" t="s">
        <v>274</v>
      </c>
      <c r="B312" s="2282"/>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7" t="s">
        <v>988</v>
      </c>
      <c r="B313" s="2278"/>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0" t="s">
        <v>148</v>
      </c>
      <c r="B315" s="229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2" t="s">
        <v>891</v>
      </c>
      <c r="B317" s="2291"/>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2" t="s">
        <v>1778</v>
      </c>
      <c r="B320" s="568" t="s">
        <v>279</v>
      </c>
      <c r="C320" s="1573"/>
      <c r="D320" s="1573">
        <v>591709</v>
      </c>
      <c r="E320" s="1573"/>
      <c r="F320" s="1573"/>
      <c r="G320" s="1573"/>
      <c r="H320" s="1573"/>
      <c r="I320" s="1573"/>
      <c r="J320" s="1573"/>
      <c r="K320" s="1671">
        <f t="shared" ref="K320:K327" si="24">SUM(C320:J320)</f>
        <v>591709</v>
      </c>
      <c r="L320" s="1573">
        <v>600000</v>
      </c>
      <c r="M320" s="539"/>
      <c r="N320" s="539"/>
    </row>
    <row r="321" spans="1:14" s="548" customFormat="1" x14ac:dyDescent="0.2">
      <c r="A321" s="1288" t="s">
        <v>296</v>
      </c>
      <c r="B321" s="567" t="s">
        <v>280</v>
      </c>
      <c r="C321" s="1573"/>
      <c r="D321" s="1573"/>
      <c r="E321" s="1573"/>
      <c r="F321" s="1573"/>
      <c r="G321" s="1573"/>
      <c r="H321" s="1573"/>
      <c r="I321" s="1573"/>
      <c r="J321" s="1573"/>
      <c r="K321" s="1671">
        <f t="shared" si="24"/>
        <v>0</v>
      </c>
      <c r="L321" s="1573">
        <v>20000</v>
      </c>
      <c r="M321" s="539"/>
      <c r="N321" s="539"/>
    </row>
    <row r="322" spans="1:14" s="548" customFormat="1" x14ac:dyDescent="0.2">
      <c r="A322" s="1288" t="s">
        <v>236</v>
      </c>
      <c r="B322" s="567" t="s">
        <v>281</v>
      </c>
      <c r="C322" s="1573"/>
      <c r="D322" s="1573"/>
      <c r="E322" s="1573"/>
      <c r="F322" s="1573"/>
      <c r="G322" s="1573"/>
      <c r="H322" s="1573"/>
      <c r="I322" s="1573"/>
      <c r="J322" s="1573"/>
      <c r="K322" s="1671">
        <f t="shared" si="24"/>
        <v>0</v>
      </c>
      <c r="L322" s="1573"/>
      <c r="M322" s="539"/>
      <c r="N322" s="539"/>
    </row>
    <row r="323" spans="1:14" s="548" customFormat="1" x14ac:dyDescent="0.2">
      <c r="A323" s="1288" t="s">
        <v>696</v>
      </c>
      <c r="B323" s="567" t="s">
        <v>282</v>
      </c>
      <c r="C323" s="1573"/>
      <c r="D323" s="1573"/>
      <c r="E323" s="1573"/>
      <c r="F323" s="1573">
        <v>7875</v>
      </c>
      <c r="G323" s="1573">
        <v>5152</v>
      </c>
      <c r="H323" s="1573"/>
      <c r="I323" s="1573"/>
      <c r="J323" s="1573"/>
      <c r="K323" s="1671">
        <f t="shared" si="24"/>
        <v>13027</v>
      </c>
      <c r="L323" s="1573">
        <v>93000</v>
      </c>
      <c r="M323" s="539"/>
      <c r="N323" s="539"/>
    </row>
    <row r="324" spans="1:14" s="548" customFormat="1" x14ac:dyDescent="0.2">
      <c r="A324" s="1288" t="s">
        <v>237</v>
      </c>
      <c r="B324" s="567" t="s">
        <v>283</v>
      </c>
      <c r="C324" s="1573"/>
      <c r="D324" s="1573"/>
      <c r="E324" s="1573">
        <f>1176-1</f>
        <v>1175</v>
      </c>
      <c r="F324" s="1573"/>
      <c r="G324" s="1573"/>
      <c r="H324" s="1573"/>
      <c r="I324" s="1573"/>
      <c r="J324" s="1573"/>
      <c r="K324" s="1671">
        <f t="shared" si="24"/>
        <v>1175</v>
      </c>
      <c r="L324" s="1573">
        <v>52500</v>
      </c>
      <c r="M324" s="539"/>
      <c r="N324" s="539"/>
    </row>
    <row r="325" spans="1:14" s="548" customFormat="1" ht="22.5" x14ac:dyDescent="0.2">
      <c r="A325" s="1288" t="s">
        <v>1021</v>
      </c>
      <c r="B325" s="568" t="s">
        <v>284</v>
      </c>
      <c r="C325" s="1573">
        <v>2433526</v>
      </c>
      <c r="D325" s="1573">
        <v>336</v>
      </c>
      <c r="E325" s="1573">
        <v>1127149</v>
      </c>
      <c r="F325" s="1573">
        <v>102514</v>
      </c>
      <c r="G325" s="1573">
        <f>123866+34854</f>
        <v>158720</v>
      </c>
      <c r="H325" s="1573"/>
      <c r="I325" s="1573">
        <v>45410</v>
      </c>
      <c r="J325" s="1573"/>
      <c r="K325" s="1671">
        <f t="shared" si="24"/>
        <v>3867655</v>
      </c>
      <c r="L325" s="1573">
        <v>3634898</v>
      </c>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8" t="s">
        <v>964</v>
      </c>
      <c r="B327" s="567" t="s">
        <v>286</v>
      </c>
      <c r="C327" s="1573">
        <v>208031</v>
      </c>
      <c r="D327" s="1573">
        <v>25912</v>
      </c>
      <c r="E327" s="1573">
        <v>70772</v>
      </c>
      <c r="F327" s="1573">
        <v>39334</v>
      </c>
      <c r="G327" s="1573"/>
      <c r="H327" s="1573">
        <v>8154</v>
      </c>
      <c r="I327" s="1573"/>
      <c r="J327" s="1573"/>
      <c r="K327" s="1671">
        <f t="shared" si="24"/>
        <v>352203</v>
      </c>
      <c r="L327" s="1573">
        <v>359764</v>
      </c>
      <c r="M327" s="539"/>
      <c r="N327" s="539"/>
    </row>
    <row r="328" spans="1:14" s="548" customFormat="1" x14ac:dyDescent="0.2">
      <c r="A328" s="1289" t="s">
        <v>468</v>
      </c>
      <c r="B328" s="562" t="s">
        <v>1121</v>
      </c>
      <c r="C328" s="1578"/>
      <c r="D328" s="1578"/>
      <c r="E328" s="1578">
        <v>883802</v>
      </c>
      <c r="F328" s="1578"/>
      <c r="G328" s="1578"/>
      <c r="H328" s="1578"/>
      <c r="I328" s="1578"/>
      <c r="J328" s="1578"/>
      <c r="K328" s="1712">
        <f>SUM(C328:J328)</f>
        <v>883802</v>
      </c>
      <c r="L328" s="1578">
        <v>849338</v>
      </c>
      <c r="M328" s="539"/>
      <c r="N328" s="539"/>
    </row>
    <row r="329" spans="1:14" s="548" customFormat="1" x14ac:dyDescent="0.2">
      <c r="A329" s="1289" t="s">
        <v>1122</v>
      </c>
      <c r="B329" s="562" t="s">
        <v>1123</v>
      </c>
      <c r="C329" s="1578"/>
      <c r="D329" s="1578"/>
      <c r="E329" s="1578"/>
      <c r="F329" s="1578"/>
      <c r="G329" s="1578"/>
      <c r="H329" s="1578"/>
      <c r="I329" s="1578"/>
      <c r="J329" s="1578"/>
      <c r="K329" s="1712">
        <f>SUM(C329:J329)</f>
        <v>0</v>
      </c>
      <c r="L329" s="1578">
        <v>100000</v>
      </c>
      <c r="M329" s="539"/>
      <c r="N329" s="539"/>
    </row>
    <row r="330" spans="1:14" s="548" customFormat="1" ht="12.75" customHeight="1" thickBot="1" x14ac:dyDescent="0.25">
      <c r="A330" s="1400" t="s">
        <v>711</v>
      </c>
      <c r="B330" s="1380" t="s">
        <v>564</v>
      </c>
      <c r="C330" s="1673">
        <f>SUM(C319:C329)</f>
        <v>2641557</v>
      </c>
      <c r="D330" s="1673">
        <f t="shared" ref="D330:J330" si="25">SUM(D319:D329)</f>
        <v>617957</v>
      </c>
      <c r="E330" s="1673">
        <f t="shared" si="25"/>
        <v>2082898</v>
      </c>
      <c r="F330" s="1673">
        <f t="shared" si="25"/>
        <v>149723</v>
      </c>
      <c r="G330" s="1673">
        <f t="shared" si="25"/>
        <v>163872</v>
      </c>
      <c r="H330" s="1673">
        <f t="shared" si="25"/>
        <v>8154</v>
      </c>
      <c r="I330" s="1673">
        <f t="shared" si="25"/>
        <v>45410</v>
      </c>
      <c r="J330" s="1673">
        <f t="shared" si="25"/>
        <v>0</v>
      </c>
      <c r="K330" s="1673">
        <f>SUM(K319:K329)</f>
        <v>5709571</v>
      </c>
      <c r="L330" s="1673">
        <f>SUM(L319:L329)</f>
        <v>5709500</v>
      </c>
      <c r="M330" s="539"/>
      <c r="N330" s="539"/>
    </row>
    <row r="331" spans="1:14" s="548" customFormat="1" ht="12.75" customHeight="1" thickTop="1" x14ac:dyDescent="0.2">
      <c r="A331" s="1466" t="s">
        <v>1818</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1812</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300</v>
      </c>
      <c r="B333" s="1462" t="s">
        <v>1814</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1819</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row>
    <row r="338" spans="1:14" ht="12.75" customHeight="1" x14ac:dyDescent="0.2">
      <c r="A338" s="1287" t="s">
        <v>1159</v>
      </c>
      <c r="B338" s="562" t="s">
        <v>612</v>
      </c>
      <c r="C338" s="1683"/>
      <c r="D338" s="1683"/>
      <c r="E338" s="1683"/>
      <c r="F338" s="1683"/>
      <c r="G338" s="1683"/>
      <c r="H338" s="1582"/>
      <c r="I338" s="1683"/>
      <c r="J338" s="1683"/>
      <c r="K338" s="1671">
        <f>H338</f>
        <v>0</v>
      </c>
      <c r="L338" s="1582"/>
    </row>
    <row r="339" spans="1:14" x14ac:dyDescent="0.2">
      <c r="A339" s="1273" t="s">
        <v>894</v>
      </c>
      <c r="B339" s="512">
        <v>5150</v>
      </c>
      <c r="C339" s="1683"/>
      <c r="D339" s="1683"/>
      <c r="E339" s="1683"/>
      <c r="F339" s="1683"/>
      <c r="G339" s="1683"/>
      <c r="H339" s="1573"/>
      <c r="I339" s="1683"/>
      <c r="J339" s="1683"/>
      <c r="K339" s="1671">
        <f>H339</f>
        <v>0</v>
      </c>
      <c r="L339" s="1573"/>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row>
    <row r="342" spans="1:14" ht="12.75" customHeight="1" thickTop="1" thickBot="1" x14ac:dyDescent="0.25">
      <c r="A342" s="1388" t="s">
        <v>501</v>
      </c>
      <c r="B342" s="1401"/>
      <c r="C342" s="1673">
        <f>SUM(C330)</f>
        <v>2641557</v>
      </c>
      <c r="D342" s="1673">
        <f>SUM(D330)</f>
        <v>617957</v>
      </c>
      <c r="E342" s="1673">
        <f>SUM(E330)</f>
        <v>2082898</v>
      </c>
      <c r="F342" s="1673">
        <f>SUM(F330)</f>
        <v>149723</v>
      </c>
      <c r="G342" s="1673">
        <f>SUM(G330)</f>
        <v>163872</v>
      </c>
      <c r="H342" s="1673">
        <f>SUM(H330,H334,H340)</f>
        <v>8154</v>
      </c>
      <c r="I342" s="1673">
        <f>SUM(I330)</f>
        <v>45410</v>
      </c>
      <c r="J342" s="1673">
        <f>SUM(J330)</f>
        <v>0</v>
      </c>
      <c r="K342" s="1673">
        <f>SUM(K330,K334,K340)</f>
        <v>5709571</v>
      </c>
      <c r="L342" s="1680">
        <f>SUM(L330,L334,L340,L341)</f>
        <v>5709500</v>
      </c>
    </row>
    <row r="343" spans="1:14" ht="12.75" customHeight="1" thickTop="1" x14ac:dyDescent="0.2">
      <c r="A343" s="2279" t="s">
        <v>988</v>
      </c>
      <c r="B343" s="2280"/>
      <c r="C343" s="1672"/>
      <c r="D343" s="1672"/>
      <c r="E343" s="1672"/>
      <c r="F343" s="1672"/>
      <c r="G343" s="1672"/>
      <c r="H343" s="1672"/>
      <c r="I343" s="1672"/>
      <c r="J343" s="1672"/>
      <c r="K343" s="1688">
        <f>'Revenues 9-14'!J268-'Expenditures 15-22'!K342</f>
        <v>-684951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9" t="s">
        <v>959</v>
      </c>
      <c r="B345" s="2270"/>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508476</v>
      </c>
      <c r="F348" s="1572"/>
      <c r="G348" s="1572"/>
      <c r="H348" s="1572"/>
      <c r="I348" s="1573"/>
      <c r="J348" s="1573"/>
      <c r="K348" s="1671">
        <f>SUM(C348:J348)</f>
        <v>508476</v>
      </c>
      <c r="L348" s="1572">
        <v>401500</v>
      </c>
    </row>
    <row r="349" spans="1:14" x14ac:dyDescent="0.2">
      <c r="A349" s="1273" t="s">
        <v>195</v>
      </c>
      <c r="B349" s="503">
        <v>2540</v>
      </c>
      <c r="C349" s="1572"/>
      <c r="D349" s="1572"/>
      <c r="E349" s="1572">
        <v>30612</v>
      </c>
      <c r="F349" s="1572">
        <f>3666+1</f>
        <v>3667</v>
      </c>
      <c r="G349" s="1572">
        <v>5189091</v>
      </c>
      <c r="H349" s="1572"/>
      <c r="I349" s="1573"/>
      <c r="J349" s="1573"/>
      <c r="K349" s="1671">
        <f>SUM(C349:J349)</f>
        <v>5223370</v>
      </c>
      <c r="L349" s="1572">
        <v>5112000</v>
      </c>
    </row>
    <row r="350" spans="1:14" ht="12.75" customHeight="1" thickBot="1" x14ac:dyDescent="0.25">
      <c r="A350" s="1379" t="s">
        <v>713</v>
      </c>
      <c r="B350" s="1380" t="s">
        <v>35</v>
      </c>
      <c r="C350" s="1673">
        <f>SUM(C348:C349)</f>
        <v>0</v>
      </c>
      <c r="D350" s="1673">
        <f t="shared" ref="D350:L350" si="26">SUM(D348:D349)</f>
        <v>0</v>
      </c>
      <c r="E350" s="1673">
        <f t="shared" si="26"/>
        <v>539088</v>
      </c>
      <c r="F350" s="1673">
        <f t="shared" si="26"/>
        <v>3667</v>
      </c>
      <c r="G350" s="1673">
        <f t="shared" si="26"/>
        <v>5189091</v>
      </c>
      <c r="H350" s="1673">
        <f t="shared" si="26"/>
        <v>0</v>
      </c>
      <c r="I350" s="1673">
        <f t="shared" si="26"/>
        <v>0</v>
      </c>
      <c r="J350" s="1673">
        <f t="shared" si="26"/>
        <v>0</v>
      </c>
      <c r="K350" s="1673">
        <f t="shared" si="26"/>
        <v>5731846</v>
      </c>
      <c r="L350" s="1673">
        <f t="shared" si="26"/>
        <v>5513500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row>
    <row r="352" spans="1:14" ht="12.75" customHeight="1" thickBot="1" x14ac:dyDescent="0.25">
      <c r="A352" s="1379" t="s">
        <v>619</v>
      </c>
      <c r="B352" s="1382" t="s">
        <v>564</v>
      </c>
      <c r="C352" s="1673">
        <f>SUM(C350:C351)</f>
        <v>0</v>
      </c>
      <c r="D352" s="1673">
        <f t="shared" ref="D352:L352" si="27">SUM(D350:D351)</f>
        <v>0</v>
      </c>
      <c r="E352" s="1673">
        <f t="shared" si="27"/>
        <v>539088</v>
      </c>
      <c r="F352" s="1673">
        <f t="shared" si="27"/>
        <v>3667</v>
      </c>
      <c r="G352" s="1673">
        <f t="shared" si="27"/>
        <v>5189091</v>
      </c>
      <c r="H352" s="1673">
        <f t="shared" si="27"/>
        <v>0</v>
      </c>
      <c r="I352" s="1673">
        <f t="shared" si="27"/>
        <v>0</v>
      </c>
      <c r="J352" s="1673">
        <f t="shared" si="27"/>
        <v>0</v>
      </c>
      <c r="K352" s="1673">
        <f t="shared" si="27"/>
        <v>5731846</v>
      </c>
      <c r="L352" s="1673">
        <f t="shared" si="27"/>
        <v>5513500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1820</v>
      </c>
      <c r="B354" s="557" t="s">
        <v>1812</v>
      </c>
      <c r="C354" s="1672"/>
      <c r="D354" s="1672"/>
      <c r="E354" s="1672"/>
      <c r="F354" s="1672"/>
      <c r="G354" s="1672"/>
      <c r="H354" s="1578"/>
      <c r="I354" s="1715"/>
      <c r="J354" s="1672"/>
      <c r="K354" s="1712">
        <f>H354</f>
        <v>0</v>
      </c>
      <c r="L354" s="1576"/>
    </row>
    <row r="355" spans="1:14" ht="12.75" customHeight="1" x14ac:dyDescent="0.2">
      <c r="A355" s="1282" t="s">
        <v>1821</v>
      </c>
      <c r="B355" s="562" t="s">
        <v>1814</v>
      </c>
      <c r="C355" s="1672"/>
      <c r="D355" s="1672"/>
      <c r="E355" s="1672"/>
      <c r="F355" s="1672"/>
      <c r="G355" s="1672"/>
      <c r="H355" s="1573"/>
      <c r="I355" s="1715"/>
      <c r="J355" s="1672"/>
      <c r="K355" s="1606">
        <f>H355</f>
        <v>0</v>
      </c>
      <c r="L355" s="1573"/>
    </row>
    <row r="356" spans="1:14" ht="12.75" customHeight="1" x14ac:dyDescent="0.2">
      <c r="A356" s="1468" t="s">
        <v>692</v>
      </c>
      <c r="B356" s="557" t="s">
        <v>553</v>
      </c>
      <c r="C356" s="1672"/>
      <c r="D356" s="1672"/>
      <c r="E356" s="1672"/>
      <c r="F356" s="1672"/>
      <c r="G356" s="1672"/>
      <c r="H356" s="1583"/>
      <c r="I356" s="1715"/>
      <c r="J356" s="1672"/>
      <c r="K356" s="1599">
        <f>H356</f>
        <v>0</v>
      </c>
      <c r="L356" s="1583"/>
    </row>
    <row r="357" spans="1:14" ht="12.75" customHeight="1" thickBot="1" x14ac:dyDescent="0.25">
      <c r="A357" s="1379" t="s">
        <v>1469</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614</v>
      </c>
      <c r="B361" s="494" t="s">
        <v>613</v>
      </c>
      <c r="C361" s="1672"/>
      <c r="D361" s="1672"/>
      <c r="E361" s="1672"/>
      <c r="F361" s="1672"/>
      <c r="G361" s="1672"/>
      <c r="H361" s="1573"/>
      <c r="I361" s="1672"/>
      <c r="J361" s="1672"/>
      <c r="K361" s="1671">
        <f>SUM(C361:J361)</f>
        <v>0</v>
      </c>
      <c r="L361" s="1572"/>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1652</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c r="M366" s="501"/>
      <c r="N366" s="501"/>
    </row>
    <row r="367" spans="1:14" ht="12.75" customHeight="1" thickTop="1" thickBot="1" x14ac:dyDescent="0.25">
      <c r="A367" s="1393" t="s">
        <v>501</v>
      </c>
      <c r="B367" s="1402"/>
      <c r="C367" s="1673">
        <f t="shared" ref="C367:L367" si="28">SUM(C352,C357,C365,C366)</f>
        <v>0</v>
      </c>
      <c r="D367" s="1673">
        <f t="shared" si="28"/>
        <v>0</v>
      </c>
      <c r="E367" s="1673">
        <f t="shared" si="28"/>
        <v>539088</v>
      </c>
      <c r="F367" s="1673">
        <f t="shared" si="28"/>
        <v>3667</v>
      </c>
      <c r="G367" s="1673">
        <f t="shared" si="28"/>
        <v>5189091</v>
      </c>
      <c r="H367" s="1673">
        <f t="shared" si="28"/>
        <v>0</v>
      </c>
      <c r="I367" s="1673">
        <f t="shared" si="28"/>
        <v>0</v>
      </c>
      <c r="J367" s="1673">
        <f t="shared" si="28"/>
        <v>0</v>
      </c>
      <c r="K367" s="1673">
        <f t="shared" si="28"/>
        <v>5731846</v>
      </c>
      <c r="L367" s="1673">
        <f t="shared" si="28"/>
        <v>5513500</v>
      </c>
    </row>
    <row r="368" spans="1:14" ht="13.5" thickTop="1" x14ac:dyDescent="0.2">
      <c r="A368" s="2293" t="s">
        <v>988</v>
      </c>
      <c r="B368" s="2294"/>
      <c r="C368" s="1693"/>
      <c r="D368" s="1693"/>
      <c r="E368" s="1676"/>
      <c r="F368" s="1676"/>
      <c r="G368" s="1676"/>
      <c r="H368" s="1676"/>
      <c r="I368" s="1676"/>
      <c r="J368" s="1675"/>
      <c r="K368" s="1671">
        <f>'Revenues 9-14'!K268-'Expenditures 15-22'!K367</f>
        <v>-4534446</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purl.org/dc/term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2020-09-23T16:48:05Z</cp:lastPrinted>
  <dcterms:created xsi:type="dcterms:W3CDTF">2003-10-29T19:06:34Z</dcterms:created>
  <dcterms:modified xsi:type="dcterms:W3CDTF">2020-10-18T19:33:00Z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