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B05E879-E630-440F-8368-2AA4350613DB}"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Table of Contents - Excel" sheetId="188" r:id="rId21"/>
    <sheet name="Opinion, GAS Rept &amp; Notes - PDF" sheetId="129" r:id="rId22"/>
    <sheet name="Activity Funds - Excel" sheetId="187" r:id="rId23"/>
    <sheet name="DeficitAFRSum Calc 37" sheetId="146" r:id="rId24"/>
    <sheet name="AUDITCHECK" sheetId="36" r:id="rId25"/>
    <sheet name="AFR20" sheetId="106" state="hidden" r:id="rId26"/>
    <sheet name="Single Audit Cover" sheetId="169" r:id="rId27"/>
    <sheet name="Single Audit Checklist" sheetId="170" r:id="rId28"/>
    <sheet name="SEFA Reconcile" sheetId="171" r:id="rId29"/>
    <sheet name=" SEFA" sheetId="179"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5" hidden="1">'AFR20'!$A$1:$F$7884</definedName>
    <definedName name="a" localSheetId="22">#REF!</definedName>
    <definedName name="a" localSheetId="20">#REF!</definedName>
    <definedName name="a">#REF!</definedName>
    <definedName name="AFAFDAF" localSheetId="20">#REF!</definedName>
    <definedName name="AFAFDAF">#REF!</definedName>
    <definedName name="AFDASFDAFDAFD" localSheetId="20">#REF!</definedName>
    <definedName name="AFDASFDAFDAFD">#REF!</definedName>
    <definedName name="b" localSheetId="20">#REF!</definedName>
    <definedName name="b">#REF!</definedName>
    <definedName name="d" localSheetId="20">#REF!</definedName>
    <definedName name="d">#REF!</definedName>
    <definedName name="dafd" localSheetId="20">#REF!</definedName>
    <definedName name="dafd">#REF!</definedName>
    <definedName name="E" localSheetId="20">#REF!</definedName>
    <definedName name="E">#REF!</definedName>
    <definedName name="FDAFDAFD" localSheetId="20">#REF!</definedName>
    <definedName name="FDAFDAFD">#REF!</definedName>
    <definedName name="_xlnm.Print_Area" localSheetId="29">' SEFA'!$B$1:$M$46</definedName>
    <definedName name="_xlnm.Print_Area" localSheetId="22">'Activity Funds - Excel'!$A$1:$I$34</definedName>
    <definedName name="_xlnm.Print_Area" localSheetId="30">'SEFA NOTES'!$A$1:$F$52</definedName>
    <definedName name="_xlnm.Print_Area" localSheetId="28">'SEFA Reconcile'!$A$1:$E$49</definedName>
    <definedName name="_xlnm.Print_Area" localSheetId="31">'SF&amp;QC Sec-1'!$A$1:$J$63</definedName>
    <definedName name="_xlnm.Print_Area" localSheetId="33">'SF&amp;QC Sec-3'!$A$1:$K$48</definedName>
    <definedName name="_xlnm.Print_Area" localSheetId="16">'Shared Outsourced Services 31'!$A$1:$F$43</definedName>
    <definedName name="_xlnm.Print_Area" localSheetId="27">'Single Audit Checklist'!$A$1:$D$124</definedName>
    <definedName name="_xlnm.Print_Area" localSheetId="26">'Single Audit Cover'!$A$1:$L$51</definedName>
    <definedName name="_xlnm.Print_Titles" localSheetId="6">'Acct Summary 7-8'!$A:$B,'Acct Summary 7-8'!$1:$2</definedName>
    <definedName name="_xlnm.Print_Titles" localSheetId="5">'Assets-Liab 5-6'!$A:$B,'Assets-Liab 5-6'!$1:$2</definedName>
    <definedName name="_xlnm.Print_Titles" localSheetId="24">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7">'Single Audit Checklist'!$1:$4</definedName>
    <definedName name="SCHADDRS" localSheetId="29">#REF!</definedName>
    <definedName name="SCHADDRS" localSheetId="22">#REF!</definedName>
    <definedName name="SCHADDRS" localSheetId="14">#REF!</definedName>
    <definedName name="SCHADDRS" localSheetId="23">#REF!</definedName>
    <definedName name="SCHADDRS" localSheetId="4">#REF!</definedName>
    <definedName name="SCHADDRS" localSheetId="30">#REF!</definedName>
    <definedName name="SCHADDRS" localSheetId="28">#REF!</definedName>
    <definedName name="SCHADDRS" localSheetId="31">#REF!</definedName>
    <definedName name="SCHADDRS" localSheetId="32">#REF!</definedName>
    <definedName name="SCHADDRS" localSheetId="33">#REF!</definedName>
    <definedName name="SCHADDRS" localSheetId="27">#REF!</definedName>
    <definedName name="SCHADDRS" localSheetId="26">#REF!</definedName>
    <definedName name="SCHADDRS" localSheetId="34">#REF!</definedName>
    <definedName name="SCHADDRS" localSheetId="20">#REF!</definedName>
    <definedName name="SCHADDRS">#REF!</definedName>
    <definedName name="SCHCTY" localSheetId="29">#REF!</definedName>
    <definedName name="SCHCTY" localSheetId="22">#REF!</definedName>
    <definedName name="SCHCTY" localSheetId="14">#REF!</definedName>
    <definedName name="SCHCTY" localSheetId="23">#REF!</definedName>
    <definedName name="SCHCTY" localSheetId="4">#REF!</definedName>
    <definedName name="SCHCTY" localSheetId="30">#REF!</definedName>
    <definedName name="SCHCTY" localSheetId="28">#REF!</definedName>
    <definedName name="SCHCTY" localSheetId="31">#REF!</definedName>
    <definedName name="SCHCTY" localSheetId="32">#REF!</definedName>
    <definedName name="SCHCTY" localSheetId="33">#REF!</definedName>
    <definedName name="SCHCTY" localSheetId="27">#REF!</definedName>
    <definedName name="SCHCTY" localSheetId="26">#REF!</definedName>
    <definedName name="SCHCTY" localSheetId="34">#REF!</definedName>
    <definedName name="SCHCTY" localSheetId="20">#REF!</definedName>
    <definedName name="SCHCTY">#REF!</definedName>
    <definedName name="SCHNMBR" localSheetId="29">#REF!</definedName>
    <definedName name="SCHNMBR" localSheetId="22">#REF!</definedName>
    <definedName name="SCHNMBR" localSheetId="14">#REF!</definedName>
    <definedName name="SCHNMBR" localSheetId="23">#REF!</definedName>
    <definedName name="SCHNMBR" localSheetId="4">#REF!</definedName>
    <definedName name="SCHNMBR" localSheetId="30">#REF!</definedName>
    <definedName name="SCHNMBR" localSheetId="28">#REF!</definedName>
    <definedName name="SCHNMBR" localSheetId="31">#REF!</definedName>
    <definedName name="SCHNMBR" localSheetId="32">#REF!</definedName>
    <definedName name="SCHNMBR" localSheetId="33">#REF!</definedName>
    <definedName name="SCHNMBR" localSheetId="27">#REF!</definedName>
    <definedName name="SCHNMBR" localSheetId="26">#REF!</definedName>
    <definedName name="SCHNMBR" localSheetId="34">#REF!</definedName>
    <definedName name="SCHNMBR" localSheetId="20">#REF!</definedName>
    <definedName name="SCHNMBR">#REF!</definedName>
    <definedName name="SCHNME" localSheetId="29">#REF!</definedName>
    <definedName name="SCHNME" localSheetId="22">#REF!</definedName>
    <definedName name="SCHNME" localSheetId="14">#REF!</definedName>
    <definedName name="SCHNME" localSheetId="23">#REF!</definedName>
    <definedName name="SCHNME" localSheetId="4">#REF!</definedName>
    <definedName name="SCHNME" localSheetId="30">#REF!</definedName>
    <definedName name="SCHNME" localSheetId="28">#REF!</definedName>
    <definedName name="SCHNME" localSheetId="31">#REF!</definedName>
    <definedName name="SCHNME" localSheetId="32">#REF!</definedName>
    <definedName name="SCHNME" localSheetId="33">#REF!</definedName>
    <definedName name="SCHNME" localSheetId="27">#REF!</definedName>
    <definedName name="SCHNME" localSheetId="26">#REF!</definedName>
    <definedName name="SCHNME" localSheetId="34">#REF!</definedName>
    <definedName name="SCHNME" localSheetId="20">#REF!</definedName>
    <definedName name="SCHNME">#REF!</definedName>
    <definedName name="SUPT" localSheetId="29">#REF!</definedName>
    <definedName name="SUPT" localSheetId="22">#REF!</definedName>
    <definedName name="SUPT" localSheetId="14">#REF!</definedName>
    <definedName name="SUPT" localSheetId="23">#REF!</definedName>
    <definedName name="SUPT" localSheetId="4">#REF!</definedName>
    <definedName name="SUPT" localSheetId="30">#REF!</definedName>
    <definedName name="SUPT" localSheetId="28">#REF!</definedName>
    <definedName name="SUPT" localSheetId="31">#REF!</definedName>
    <definedName name="SUPT" localSheetId="32">#REF!</definedName>
    <definedName name="SUPT" localSheetId="33">#REF!</definedName>
    <definedName name="SUPT" localSheetId="27">#REF!</definedName>
    <definedName name="SUPT" localSheetId="26">#REF!</definedName>
    <definedName name="SUPT" localSheetId="34">#REF!</definedName>
    <definedName name="SUPT" localSheetId="20">#REF!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63" i="184" l="1"/>
  <c r="F5" i="29"/>
  <c r="E5" i="29"/>
  <c r="D246" i="29"/>
  <c r="F182" i="29"/>
  <c r="F124" i="29"/>
  <c r="J3" i="12" l="1"/>
  <c r="E34" i="187" l="1"/>
  <c r="E12" i="187" s="1"/>
  <c r="C34" i="187"/>
  <c r="C12" i="187" s="1"/>
  <c r="G32" i="187"/>
  <c r="I32" i="187" s="1"/>
  <c r="G31" i="187"/>
  <c r="I31" i="187" s="1"/>
  <c r="G30" i="187"/>
  <c r="E30" i="187"/>
  <c r="I30" i="187" s="1"/>
  <c r="I29" i="187"/>
  <c r="I28" i="187"/>
  <c r="I27" i="187"/>
  <c r="I26" i="187"/>
  <c r="I25" i="187"/>
  <c r="I24" i="187"/>
  <c r="G23" i="187"/>
  <c r="E23" i="187"/>
  <c r="I23" i="187" s="1"/>
  <c r="I22" i="187"/>
  <c r="G21" i="187"/>
  <c r="I21" i="187" s="1"/>
  <c r="I20" i="187"/>
  <c r="I19" i="187"/>
  <c r="I18" i="187"/>
  <c r="G17" i="187"/>
  <c r="G34" i="187" s="1"/>
  <c r="G12" i="187" s="1"/>
  <c r="E17" i="187"/>
  <c r="C17" i="187"/>
  <c r="I17" i="187" l="1"/>
  <c r="I34" i="187" s="1"/>
  <c r="I12" i="187" s="1"/>
  <c r="J12" i="11" l="1"/>
  <c r="H12" i="11"/>
  <c r="I12" i="11"/>
  <c r="H13" i="11"/>
  <c r="D13" i="11"/>
  <c r="E13" i="11"/>
  <c r="I13" i="1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33" i="183" l="1"/>
  <c r="F32" i="183"/>
  <c r="F31" i="183"/>
  <c r="F30" i="183"/>
  <c r="F29" i="183"/>
  <c r="F28" i="183"/>
  <c r="F27" i="183"/>
  <c r="F26" i="183"/>
  <c r="F25" i="183"/>
  <c r="F24" i="183"/>
  <c r="F23" i="183"/>
  <c r="F22" i="183"/>
  <c r="F21" i="183"/>
  <c r="F20" i="183"/>
  <c r="F19"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B7882" i="106"/>
  <c r="D7884" i="106"/>
  <c r="D7883" i="106"/>
  <c r="D7882" i="106"/>
  <c r="B11" i="7" l="1"/>
  <c r="D7836" i="106" l="1"/>
  <c r="J90" i="28" l="1"/>
  <c r="J88" i="28"/>
  <c r="J85" i="28"/>
  <c r="B7819" i="106" l="1"/>
  <c r="D7819" i="106" s="1"/>
  <c r="B7818" i="106"/>
  <c r="D7818" i="106" s="1"/>
  <c r="D34" i="183" l="1"/>
  <c r="A15" i="183"/>
  <c r="D82" i="36" l="1"/>
  <c r="F34"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H342" i="29" l="1"/>
  <c r="B7189" i="106"/>
  <c r="D7189" i="106" s="1"/>
  <c r="E64" i="184"/>
  <c r="N64" i="184" s="1"/>
  <c r="B7153" i="106"/>
  <c r="D7153" i="106" s="1"/>
  <c r="E60" i="184"/>
  <c r="N60" i="184" s="1"/>
  <c r="H12" i="184"/>
  <c r="I129" i="29"/>
  <c r="B7037" i="106" s="1"/>
  <c r="D7037" i="106" s="1"/>
  <c r="B7162" i="106"/>
  <c r="D7162" i="106" s="1"/>
  <c r="E61" i="184"/>
  <c r="N61" i="184" s="1"/>
  <c r="B7126" i="106"/>
  <c r="D7126" i="106" s="1"/>
  <c r="E57" i="184"/>
  <c r="F34" i="34"/>
  <c r="B7826" i="106" s="1"/>
  <c r="D7826" i="106" s="1"/>
  <c r="B7198" i="106"/>
  <c r="D7198" i="106" s="1"/>
  <c r="E65" i="184"/>
  <c r="N65" i="184" s="1"/>
  <c r="B7705" i="106"/>
  <c r="D7705" i="106" s="1"/>
  <c r="E67" i="184"/>
  <c r="N67" i="184" s="1"/>
  <c r="F77" i="4"/>
  <c r="B3255" i="106" s="1"/>
  <c r="D3255" i="106" s="1"/>
  <c r="B7696" i="106"/>
  <c r="D7696" i="106" s="1"/>
  <c r="E66" i="184"/>
  <c r="N66" i="184" s="1"/>
  <c r="B7171" i="106"/>
  <c r="D7171" i="106" s="1"/>
  <c r="E62" i="184"/>
  <c r="N62" i="184" s="1"/>
  <c r="B7135" i="106"/>
  <c r="D7135" i="106" s="1"/>
  <c r="E58" i="184"/>
  <c r="N58" i="184" s="1"/>
  <c r="G39" i="108"/>
  <c r="H365" i="29"/>
  <c r="B7242" i="106" s="1"/>
  <c r="D7242" i="106" s="1"/>
  <c r="H15" i="184"/>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342" i="29" l="1"/>
  <c r="F13" i="34" s="1"/>
  <c r="B6216" i="106"/>
  <c r="D6216" i="106" s="1"/>
  <c r="F41" i="108"/>
  <c r="G43" i="108" s="1"/>
  <c r="B1381" i="106"/>
  <c r="D1381" i="106" s="1"/>
  <c r="B5527" i="106"/>
  <c r="D5527" i="106" s="1"/>
  <c r="N23" i="3"/>
  <c r="B284" i="106" s="1"/>
  <c r="D284" i="106" s="1"/>
  <c r="N57" i="184"/>
  <c r="N68" i="184" s="1"/>
  <c r="E68" i="184"/>
  <c r="E367" i="29"/>
  <c r="B3635" i="106"/>
  <c r="E19" i="184"/>
  <c r="B7220" i="106"/>
  <c r="D7220" i="106" s="1"/>
  <c r="F75" i="34"/>
  <c r="B7886" i="106" s="1"/>
  <c r="D7886" i="106" s="1"/>
  <c r="H19" i="184"/>
  <c r="L20" i="184" s="1"/>
  <c r="B7222" i="106"/>
  <c r="D7222" i="106" s="1"/>
  <c r="F76" i="34"/>
  <c r="B7887" i="106" s="1"/>
  <c r="D7887" i="106" s="1"/>
  <c r="L16" i="11"/>
  <c r="B2061" i="106" s="1"/>
  <c r="D2061" i="106"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5508" i="106"/>
  <c r="D5508" i="106" s="1"/>
  <c r="B2567" i="106"/>
  <c r="D2567" i="106" s="1"/>
  <c r="B6227" i="106" l="1"/>
  <c r="D6227" i="106" s="1"/>
  <c r="F8" i="4"/>
  <c r="B2595" i="106" s="1"/>
  <c r="D2595" i="106" s="1"/>
  <c r="B6223" i="106"/>
  <c r="D6223"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<sst xmlns="http://schemas.openxmlformats.org/spreadsheetml/2006/main" count="5242" uniqueCount="2169">
  <si>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</si>
  <si>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</si>
  <si>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</si>
  <si>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</si>
  <si>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</si>
  <si>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</si>
  <si>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</si>
  <si>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</si>
  <si>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</si>
  <si>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</si>
  <si>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</si>
  <si>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</si>
  <si>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</si>
  <si>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</si>
  <si>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</si>
  <si>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</si>
  <si>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</si>
  <si>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</si>
  <si>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</si>
  <si>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</si>
  <si>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</si>
  <si>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</si>
  <si>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</si>
  <si>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</si>
  <si>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</si>
  <si>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</si>
  <si>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</si>
  <si>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</si>
  <si>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</si>
  <si>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</si>
  <si>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</si>
  <si>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</si>
  <si>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</si>
  <si>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</si>
  <si>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</si>
  <si>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</si>
  <si>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</si>
  <si>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</si>
  <si>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</si>
  <si>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</si>
  <si>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</si>
  <si>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</si>
  <si>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</si>
  <si>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</si>
  <si>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</si>
  <si>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</si>
  <si>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</si>
  <si>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</si>
  <si>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</si>
  <si>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</si>
  <si>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</si>
  <si>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</si>
  <si>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</si>
  <si>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</si>
  <si>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</si>
  <si>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</si>
  <si>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</si>
  <si>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</si>
  <si>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</si>
  <si>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</si>
  <si>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</si>
  <si>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</si>
  <si>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</si>
  <si>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</si>
  <si>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</si>
  <si>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</si>
  <si>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</si>
  <si>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</si>
  <si>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</si>
  <si>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</si>
  <si>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</si>
  <si>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</si>
  <si>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</si>
  <si>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</si>
  <si>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</si>
  <si>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</si>
  <si>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</si>
  <si>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</si>
  <si>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</si>
  <si>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</si>
  <si>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</si>
  <si>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</si>
  <si>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</si>
  <si>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</si>
  <si>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</si>
  <si>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</si>
  <si>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</si>
  <si>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</si>
  <si>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</si>
  <si>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</si>
  <si>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</si>
  <si>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</si>
  <si>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</si>
  <si>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</si>
  <si>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</si>
  <si>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</si>
  <si>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</si>
  <si>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</si>
  <si>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</si>
  <si>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</si>
  <si>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</si>
  <si>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</si>
  <si>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</si>
  <si>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</si>
  <si>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</si>
  <si>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</si>
  <si>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</si>
  <si>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</si>
  <si>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</si>
  <si>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</si>
  <si>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</si>
  <si>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</si>
  <si>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</si>
  <si>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</si>
  <si>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</si>
  <si>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</si>
  <si>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</si>
  <si>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</si>
  <si>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</si>
  <si>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</si>
  <si>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</si>
  <si>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</si>
  <si>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</si>
  <si>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</si>
  <si>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</si>
  <si>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</si>
  <si>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</si>
  <si>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</si>
  <si>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</si>
  <si>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</si>
  <si>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</si>
  <si>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</si>
  <si>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</si>
  <si>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</si>
  <si>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</si>
  <si>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</si>
  <si>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</si>
  <si>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</si>
  <si>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</si>
  <si>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</si>
  <si>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</si>
  <si>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</si>
  <si>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</si>
  <si>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</si>
  <si>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</si>
  <si>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</si>
  <si>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</si>
  <si>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</si>
  <si>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</si>
  <si>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</si>
  <si>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</si>
  <si>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</si>
  <si>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</si>
  <si>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</si>
  <si>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</si>
  <si>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</si>
  <si>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</si>
  <si>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</si>
  <si>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</si>
  <si>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</si>
  <si>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</si>
  <si>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</si>
  <si>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</si>
  <si>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</si>
  <si>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</si>
  <si>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</si>
  <si>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</si>
  <si>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</si>
  <si>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</si>
  <si>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</si>
  <si>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</si>
  <si>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</si>
  <si>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</si>
  <si>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</si>
  <si>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</si>
  <si>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</si>
  <si>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</si>
  <si>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</si>
  <si>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</si>
  <si>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</si>
  <si>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</si>
  <si>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</si>
  <si>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</si>
  <si>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</si>
  <si>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</si>
  <si>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</si>
  <si>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</si>
  <si>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</si>
  <si>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</si>
  <si>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</si>
  <si>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</si>
  <si>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</si>
  <si>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</si>
  <si>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</si>
  <si>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</si>
  <si>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</si>
  <si>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</si>
  <si>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</si>
  <si>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</si>
  <si>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</si>
  <si>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</si>
  <si>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</si>
  <si>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</si>
  <si>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</si>
  <si>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</si>
  <si>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</si>
  <si>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</si>
  <si>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</si>
  <si>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</si>
  <si>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</si>
  <si>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</si>
  <si>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</si>
  <si>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</si>
  <si>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</si>
  <si>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</si>
  <si>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</si>
  <si>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</si>
  <si>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</si>
  <si>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</si>
  <si>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</si>
  <si>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</si>
  <si>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</si>
  <si>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</si>
  <si>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</si>
  <si>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</si>
  <si>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</si>
  <si>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</si>
  <si>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</si>
  <si>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</si>
  <si>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</si>
  <si>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</si>
  <si>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</si>
  <si>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</si>
  <si>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</si>
  <si>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</si>
  <si>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</si>
  <si>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</si>
  <si>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</si>
  <si>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</si>
  <si>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</si>
  <si>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</si>
  <si>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</si>
  <si>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</si>
  <si>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</si>
  <si>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</si>
  <si>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</si>
  <si>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</si>
  <si>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</si>
  <si>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</si>
  <si>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</si>
  <si>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</si>
  <si>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</si>
  <si>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</si>
  <si>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</si>
  <si>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</si>
  <si>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</si>
  <si>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</si>
  <si>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</si>
  <si>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</si>
  <si>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</si>
  <si>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</si>
  <si>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</si>
  <si>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</si>
  <si>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</si>
  <si>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</si>
  <si>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</si>
  <si>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</si>
  <si>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</si>
  <si>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</si>
  <si>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</si>
  <si>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</si>
  <si>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</si>
  <si>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</si>
  <si>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</si>
  <si>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</si>
  <si>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</si>
  <si>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</si>
  <si>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</si>
  <si>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</si>
  <si>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</si>
  <si>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</si>
  <si>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</si>
  <si>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</si>
  <si>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</si>
  <si>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</si>
  <si>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</si>
  <si>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</si>
  <si>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</si>
  <si>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</si>
  <si>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</si>
  <si>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</si>
  <si>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</si>
  <si>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</si>
  <si>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</si>
  <si>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</si>
  <si>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</si>
  <si>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</si>
  <si>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</si>
  <si>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</si>
  <si>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</si>
  <si>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</si>
  <si>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</si>
  <si>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</si>
  <si>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</si>
  <si>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</si>
  <si>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</si>
  <si>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</si>
  <si>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</si>
  <si>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</si>
  <si>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</si>
  <si>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</si>
  <si>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</si>
  <si>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</si>
  <si>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</si>
  <si>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</si>
  <si>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</si>
  <si>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</si>
  <si>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</si>
  <si>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</si>
  <si>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</si>
  <si>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</si>
  <si>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</si>
  <si>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</si>
  <si>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</si>
  <si>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</si>
  <si>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</si>
  <si>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</si>
  <si>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</si>
  <si>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</si>
  <si>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</si>
  <si>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</si>
  <si>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</si>
  <si>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</si>
  <si>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</si>
  <si>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</si>
  <si>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</si>
  <si>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</si>
  <si>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</si>
  <si>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</si>
  <si>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</si>
  <si>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</si>
  <si>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</si>
  <si>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</si>
  <si>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</si>
  <si>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</si>
  <si>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</si>
  <si>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</si>
  <si>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</si>
  <si>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</si>
  <si>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</si>
  <si>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</si>
  <si>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</si>
  <si>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</si>
  <si>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</si>
  <si>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</si>
  <si>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</si>
  <si>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</si>
  <si>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</si>
  <si>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</si>
  <si>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</si>
  <si>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</si>
  <si>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</si>
  <si>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</si>
  <si>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</si>
  <si>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</si>
  <si>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</si>
  <si>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</si>
  <si>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</si>
  <si>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</si>
  <si>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</si>
  <si>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</si>
  <si>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</si>
  <si>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</si>
  <si>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</si>
  <si>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</si>
  <si>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</si>
  <si>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</si>
  <si>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</si>
  <si>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</si>
  <si>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</si>
  <si>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</si>
  <si>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</si>
  <si>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</si>
  <si>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</si>
  <si>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</si>
  <si>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</si>
  <si>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</si>
  <si>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</si>
  <si>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</si>
  <si>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</si>
  <si>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</si>
  <si>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</si>
  <si>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</si>
  <si>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</si>
  <si>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</si>
  <si>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</si>
  <si>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</si>
  <si>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</si>
  <si>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</si>
  <si>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</si>
  <si>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</si>
  <si>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</si>
  <si>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</si>
  <si>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</si>
  <si>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</si>
  <si>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</si>
  <si>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</si>
  <si>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</si>
  <si>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</si>
  <si>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</si>
  <si>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</si>
  <si>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</si>
  <si>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</si>
  <si>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</si>
  <si>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</si>
  <si>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</si>
  <si>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</si>
  <si>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</si>
  <si>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</si>
  <si>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</si>
  <si>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</si>
  <si>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</si>
  <si>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</si>
  <si>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</si>
  <si>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</si>
  <si>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</si>
  <si>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</si>
  <si>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</si>
  <si>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</si>
  <si>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</si>
  <si>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</si>
  <si>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</si>
  <si>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</si>
  <si>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</si>
  <si>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</si>
  <si>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</si>
  <si>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</si>
  <si>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</si>
  <si>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</si>
  <si>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</si>
  <si>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</si>
  <si>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</si>
  <si>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</si>
  <si>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</si>
  <si>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</si>
  <si>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</si>
  <si>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</si>
  <si>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</si>
  <si>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</si>
  <si>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</si>
  <si>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</si>
  <si>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</si>
  <si>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</si>
  <si>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</si>
  <si>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</si>
  <si>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</si>
  <si>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</si>
  <si>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</si>
  <si>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</si>
  <si>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</si>
  <si>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</si>
  <si>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</si>
  <si>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</si>
  <si>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</si>
  <si>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</si>
  <si>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</si>
  <si>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</si>
  <si>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</si>
  <si>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</si>
  <si>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</si>
  <si>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</si>
  <si>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</si>
  <si>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</si>
  <si>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</si>
  <si>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</si>
  <si>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</si>
  <si>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</si>
  <si>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</si>
  <si>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</si>
  <si>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</si>
  <si>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</si>
  <si>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</si>
  <si>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</si>
  <si>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</si>
  <si>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</si>
  <si>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</si>
  <si>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</si>
  <si>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</si>
  <si>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</si>
  <si>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</si>
  <si>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</si>
  <si>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</si>
  <si>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</si>
  <si>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</si>
  <si>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</si>
  <si>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</si>
  <si>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</si>
  <si>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</si>
  <si>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</si>
  <si>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</si>
  <si>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</si>
  <si>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</si>
  <si>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</si>
  <si>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</si>
  <si>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</si>
  <si>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</si>
  <si>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</si>
  <si>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</si>
  <si>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</si>
  <si>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</si>
  <si>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</si>
  <si>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</si>
  <si>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</si>
  <si>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</si>
  <si>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</si>
  <si>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</si>
  <si>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</si>
  <si>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</si>
  <si>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</si>
  <si>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</si>
  <si>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</si>
  <si>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</si>
  <si>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</si>
  <si>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</si>
  <si>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</si>
  <si>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</si>
  <si>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</si>
  <si>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</si>
  <si>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</si>
  <si>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</si>
  <si>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</si>
  <si>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</si>
  <si>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</si>
  <si>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</si>
  <si>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</si>
  <si>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</si>
  <si>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</si>
  <si>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</si>
  <si>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</si>
  <si>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</si>
  <si>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</si>
  <si>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</si>
  <si>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</si>
  <si>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</si>
  <si>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</si>
  <si>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</si>
  <si>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</si>
  <si>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</si>
  <si>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</si>
  <si>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</si>
  <si>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</si>
  <si>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</si>
  <si>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</si>
  <si>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</si>
  <si>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</si>
  <si>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</si>
  <si>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</si>
  <si>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</si>
  <si>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</si>
  <si>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</si>
  <si>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</si>
  <si>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</si>
  <si>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</si>
  <si>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</si>
  <si>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</si>
  <si>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</si>
  <si>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</si>
  <si>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</si>
  <si>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</si>
  <si>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</si>
  <si>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</si>
  <si>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</si>
  <si>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</si>
  <si>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</si>
  <si>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</si>
  <si>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</si>
  <si>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</si>
  <si>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</si>
  <si>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</si>
  <si>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</si>
  <si>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</si>
  <si>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</si>
  <si>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</si>
  <si>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</si>
  <si>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</si>
  <si>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</si>
  <si>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</si>
  <si>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</si>
  <si>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</si>
  <si>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</si>
  <si>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</si>
  <si>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</si>
  <si>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</si>
  <si>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</si>
  <si>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</si>
  <si>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</si>
  <si>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</si>
  <si>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</si>
  <si>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</si>
  <si>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</si>
  <si>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</si>
  <si>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</si>
  <si>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</si>
  <si>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</si>
  <si>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</si>
  <si>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</si>
  <si>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</si>
  <si>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</si>
  <si>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</si>
  <si>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</si>
  <si>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</si>
  <si>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</si>
  <si>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</si>
  <si>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</si>
  <si>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</si>
  <si>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</si>
  <si>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</si>
  <si>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</si>
  <si>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</si>
  <si>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</si>
  <si>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</si>
  <si>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</si>
  <si>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</si>
  <si>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</si>
  <si>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</si>
  <si>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</si>
  <si>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</si>
  <si>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</si>
  <si>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</si>
  <si>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</si>
  <si>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</si>
  <si>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</si>
  <si>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</si>
  <si>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</si>
  <si>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</si>
  <si>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</si>
  <si>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</si>
  <si>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</si>
  <si>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</si>
  <si>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</si>
  <si>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</si>
  <si>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</si>
  <si>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</si>
  <si>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</si>
  <si>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</si>
  <si>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</si>
  <si>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</si>
  <si>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</si>
  <si>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</si>
  <si>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</si>
  <si>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</si>
  <si>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</si>
  <si>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</si>
  <si>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</si>
  <si>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</si>
  <si>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</si>
  <si>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</si>
  <si>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</si>
  <si>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</si>
  <si>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</si>
  <si>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</si>
  <si>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</si>
  <si>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</si>
  <si>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</si>
  <si>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</si>
  <si>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</si>
  <si>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</si>
  <si>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</si>
  <si>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</si>
  <si>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</si>
  <si>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</si>
  <si>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</si>
  <si>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</si>
  <si>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</si>
  <si>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</si>
  <si>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</si>
  <si>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</si>
  <si>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</si>
  <si>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</si>
  <si>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</si>
  <si>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</si>
  <si>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</si>
  <si>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</si>
  <si>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</si>
  <si>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</si>
  <si>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</si>
  <si>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</si>
  <si>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</si>
  <si>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</si>
  <si>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</si>
  <si>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</si>
  <si>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</si>
  <si>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</si>
  <si>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</si>
  <si>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</si>
  <si>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</si>
  <si>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</si>
  <si>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</si>
  <si>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</si>
  <si>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</si>
  <si>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</si>
  <si>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</si>
  <si>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</si>
  <si>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</si>
  <si>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</si>
  <si>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</si>
  <si>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</si>
  <si>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</si>
  <si>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</si>
  <si>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</si>
  <si>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</si>
  <si>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</si>
  <si>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</si>
  <si>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</si>
  <si>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</si>
  <si>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</si>
  <si>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</si>
  <si>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</si>
  <si>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</si>
  <si>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</si>
  <si>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</si>
  <si>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</si>
  <si>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</si>
  <si>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</si>
  <si>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</si>
  <si>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</si>
  <si>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</si>
  <si>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</si>
  <si>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</si>
  <si>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</si>
  <si>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</si>
  <si>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</si>
  <si>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</si>
  <si>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</si>
  <si>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</si>
  <si>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</si>
  <si>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</si>
  <si>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</si>
  <si>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</si>
  <si>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</si>
  <si>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</si>
  <si>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</si>
  <si>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</si>
  <si>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</si>
  <si>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</si>
  <si>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</si>
  <si>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</si>
  <si>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</si>
  <si>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</si>
  <si>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</si>
  <si>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</si>
  <si>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</si>
  <si>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</si>
  <si>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</si>
  <si>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</si>
  <si>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</si>
  <si>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</si>
  <si>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</si>
  <si>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</si>
  <si>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</si>
  <si>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</si>
  <si>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</si>
  <si>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</si>
  <si>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</si>
  <si>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</si>
  <si>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</si>
  <si>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</si>
  <si>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</si>
  <si>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</si>
  <si>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</si>
  <si>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</si>
  <si>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</si>
  <si>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</si>
  <si>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</si>
  <si>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</si>
  <si>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</si>
  <si>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</si>
  <si>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</si>
  <si>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</si>
  <si>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</si>
  <si>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</si>
  <si>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</si>
  <si>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</si>
  <si>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</si>
  <si>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</si>
  <si>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</si>
  <si>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</si>
  <si>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</si>
  <si>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</si>
  <si>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</si>
  <si>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</si>
  <si>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</si>
  <si>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</si>
  <si>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</si>
  <si>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</si>
  <si>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</si>
  <si>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</si>
  <si>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</si>
  <si>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</si>
  <si>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</si>
  <si>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</si>
  <si>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</si>
  <si>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</si>
  <si>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</si>
  <si>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</si>
  <si>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</si>
  <si>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</si>
  <si>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</si>
  <si>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</si>
  <si>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</si>
  <si>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</si>
  <si>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</si>
  <si>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</si>
  <si>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</si>
  <si>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</si>
  <si>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</si>
  <si>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</si>
  <si>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</si>
  <si>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</si>
  <si>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</si>
  <si>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</si>
  <si>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</si>
  <si>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</si>
  <si>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</si>
  <si>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</si>
  <si>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</si>
  <si>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</si>
  <si>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</si>
  <si>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</si>
  <si>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</si>
  <si>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</si>
  <si>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</si>
  <si>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</si>
  <si>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</si>
  <si>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</si>
  <si>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</si>
  <si>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</si>
  <si>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</si>
  <si>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</si>
  <si>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</si>
  <si>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</si>
  <si>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</si>
  <si>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</si>
  <si>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</si>
  <si>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</si>
  <si>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</si>
  <si>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</si>
  <si>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</si>
  <si>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</si>
  <si>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</si>
  <si>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</si>
  <si>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</si>
  <si>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</si>
  <si>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</si>
  <si>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</si>
  <si>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</si>
  <si>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</si>
  <si>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</si>
  <si>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</si>
  <si>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</si>
  <si>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</si>
  <si>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</si>
  <si>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</si>
  <si>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</si>
  <si>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</si>
  <si>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</si>
  <si>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</si>
  <si>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</si>
  <si>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</si>
  <si>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</si>
  <si>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</si>
  <si>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</si>
  <si>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</si>
  <si>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</si>
  <si>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</si>
  <si>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</si>
  <si>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</si>
  <si>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</si>
  <si>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</si>
  <si>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</si>
  <si>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</si>
  <si>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</si>
  <si>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</si>
  <si>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</si>
  <si>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</si>
  <si>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</si>
  <si>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</si>
  <si>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</si>
  <si>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</si>
  <si>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</si>
  <si>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</si>
  <si>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</si>
  <si>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</si>
  <si>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</si>
  <si>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</si>
  <si>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</si>
  <si>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</si>
  <si>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</si>
  <si>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</si>
  <si>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</si>
  <si>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</si>
  <si>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</si>
  <si>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</si>
  <si>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</si>
  <si>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</si>
  <si>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</si>
  <si>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</si>
  <si>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</si>
  <si>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</si>
  <si>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</si>
  <si>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</si>
  <si>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</si>
  <si>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</si>
  <si>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</si>
  <si>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</si>
  <si>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</si>
  <si>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</si>
  <si>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</si>
  <si>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</si>
  <si>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</si>
  <si>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</si>
  <si>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</si>
  <si>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</si>
  <si>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</si>
  <si>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</si>
  <si>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</si>
  <si>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</si>
  <si>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</si>
  <si>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</si>
  <si>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</si>
  <si>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</si>
  <si>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</si>
  <si>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</si>
  <si>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</si>
  <si>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</si>
  <si>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</si>
  <si>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</si>
  <si>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</si>
  <si>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</si>
  <si>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</si>
  <si>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</si>
  <si>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</si>
  <si>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</si>
  <si>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</si>
  <si>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</si>
  <si>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</si>
  <si>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</si>
  <si>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</si>
  <si>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</si>
  <si>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</si>
  <si>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</si>
  <si>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</si>
  <si>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</si>
  <si>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</si>
  <si>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</si>
  <si>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</si>
  <si>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</si>
  <si>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</si>
  <si>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</si>
  <si>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</si>
  <si>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</si>
  <si>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</si>
  <si>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</si>
  <si>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</si>
  <si>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</si>
  <si>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</si>
  <si>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</si>
  <si>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</si>
  <si>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</si>
  <si>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</si>
  <si>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</si>
  <si>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</si>
  <si>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</si>
  <si>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</si>
  <si>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</si>
  <si>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</si>
  <si>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</si>
  <si>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</si>
  <si>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</si>
  <si>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</si>
  <si>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</si>
  <si>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</si>
  <si>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</si>
  <si>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</si>
  <si>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</si>
  <si>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</si>
  <si>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</si>
  <si>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</si>
  <si>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</si>
  <si>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</si>
  <si>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</si>
  <si>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</si>
  <si>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</si>
  <si>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</si>
  <si>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</si>
  <si>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</si>
  <si>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</si>
  <si>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</si>
  <si>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</si>
  <si>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</si>
  <si>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</si>
  <si>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</si>
  <si>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</si>
  <si>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</si>
  <si>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</si>
  <si>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</si>
  <si>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</si>
  <si>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</si>
  <si>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</si>
  <si>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</si>
  <si>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</si>
  <si>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</si>
  <si>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</si>
  <si>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</si>
  <si>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</si>
  <si>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</si>
  <si>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</si>
  <si>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</si>
  <si>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</si>
  <si>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</si>
  <si>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</si>
  <si>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</si>
  <si>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</si>
  <si>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</si>
  <si>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</si>
  <si>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</si>
  <si>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</si>
  <si>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</si>
  <si>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</si>
  <si>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</si>
  <si>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</si>
  <si>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</si>
  <si>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</si>
  <si>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</si>
  <si>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</si>
  <si>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</si>
  <si>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</si>
  <si>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</si>
  <si>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</si>
  <si>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</si>
  <si>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</si>
  <si>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</si>
  <si>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</si>
  <si>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</si>
  <si>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</si>
  <si>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</si>
  <si>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</si>
  <si>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</si>
  <si>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</si>
  <si>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</si>
  <si>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</si>
  <si>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</si>
  <si>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</si>
  <si>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</si>
  <si>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</si>
  <si>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</si>
  <si>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</si>
  <si>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</si>
  <si>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</si>
  <si>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</si>
  <si>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</si>
  <si>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</si>
  <si>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</si>
  <si>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</si>
  <si>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</si>
  <si>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</si>
  <si>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</si>
  <si>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</si>
  <si>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</si>
  <si>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</si>
  <si>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</si>
  <si>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</si>
  <si>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</si>
  <si>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</si>
  <si>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</si>
  <si>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</si>
  <si>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</si>
  <si>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</si>
  <si>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</si>
  <si>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</si>
  <si>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</si>
  <si>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</si>
  <si>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</si>
  <si>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</si>
  <si>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</si>
  <si>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</si>
  <si>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</si>
  <si>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</si>
  <si>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</si>
  <si>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</si>
  <si>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</si>
  <si>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</si>
  <si>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</si>
  <si>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</si>
  <si>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</si>
  <si>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</si>
  <si>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</si>
  <si>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</si>
  <si>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</si>
  <si>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</si>
  <si>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</si>
  <si>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</si>
  <si>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</si>
  <si>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</si>
  <si>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</si>
  <si>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</si>
  <si>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</si>
  <si>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</si>
  <si>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</si>
  <si>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</si>
  <si>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</si>
  <si>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</si>
  <si>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</si>
  <si>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</si>
  <si>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</si>
  <si>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</si>
  <si>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</si>
  <si>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</si>
  <si>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</si>
  <si>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</si>
  <si>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</si>
  <si>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</si>
  <si>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</si>
  <si>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</si>
  <si>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</si>
  <si>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</si>
  <si>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</si>
  <si>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</si>
  <si>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</si>
  <si>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</si>
  <si>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</si>
  <si>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</si>
  <si>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</si>
  <si>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</si>
  <si>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</si>
  <si>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</si>
  <si>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</si>
  <si>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</si>
  <si>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</si>
  <si>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</si>
  <si>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</si>
  <si>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</si>
  <si>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</si>
  <si>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</si>
  <si>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</si>
  <si>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</si>
  <si>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</si>
  <si>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</si>
  <si>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</si>
  <si>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</si>
  <si>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</si>
  <si>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</si>
  <si>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</si>
  <si>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</si>
  <si>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</si>
  <si>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</si>
  <si>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</si>
  <si>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</si>
  <si>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</si>
  <si>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</si>
  <si>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</si>
  <si>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</si>
  <si>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</si>
  <si>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</si>
  <si>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</si>
  <si>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</si>
  <si>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</si>
  <si>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</si>
  <si>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</si>
  <si>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</si>
  <si>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</si>
  <si>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</si>
  <si>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</si>
  <si>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</si>
  <si>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</si>
  <si>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</si>
  <si>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</si>
  <si>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</si>
  <si>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</si>
  <si>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</si>
  <si>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</si>
  <si>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</si>
  <si>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</si>
  <si>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</si>
  <si>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</si>
  <si>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</si>
  <si>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</si>
  <si>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</si>
  <si>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</si>
  <si>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</si>
  <si>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</si>
  <si>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</si>
  <si>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</si>
  <si>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</si>
  <si>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</si>
  <si>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</si>
  <si>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</si>
  <si>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</si>
  <si>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</si>
  <si>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</si>
  <si>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</si>
  <si>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</si>
  <si>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</si>
  <si>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</si>
  <si>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</si>
  <si>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</si>
  <si>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</si>
  <si>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</si>
  <si>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</si>
  <si>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</si>
  <si>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</si>
  <si>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</si>
  <si>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</si>
  <si>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</si>
  <si>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</si>
  <si>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</si>
  <si>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</si>
  <si>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</si>
  <si>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</si>
  <si>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</si>
  <si>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</si>
  <si>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</si>
  <si>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</si>
  <si>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</si>
  <si>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</si>
  <si>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</si>
  <si>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</si>
  <si>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</si>
  <si>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</si>
  <si>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</si>
  <si>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</si>
  <si>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</si>
  <si>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</si>
  <si>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</si>
  <si>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</si>
  <si>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</si>
  <si>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</si>
  <si>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</si>
  <si>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</si>
  <si>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</si>
  <si>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</si>
  <si>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</si>
  <si>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</si>
  <si>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</si>
  <si>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</si>
  <si>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</si>
  <si>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</si>
  <si>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</si>
  <si>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</si>
  <si>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</si>
  <si>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</si>
  <si>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</si>
  <si>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</si>
  <si>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</si>
  <si>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</si>
  <si>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</si>
  <si>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</si>
  <si>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</si>
  <si>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</si>
  <si>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</si>
  <si>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</si>
  <si>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</si>
  <si>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</si>
  <si>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</si>
  <si>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</si>
  <si>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</si>
  <si>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</si>
  <si>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</si>
  <si>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</si>
  <si>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</si>
  <si>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</si>
  <si>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</si>
  <si>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</si>
  <si>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</si>
  <si>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</si>
  <si>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</si>
  <si>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</si>
  <si>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</si>
  <si>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</si>
  <si>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</si>
  <si>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</si>
  <si>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</si>
  <si>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</si>
  <si>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</si>
  <si>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</si>
  <si>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</si>
  <si>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</si>
  <si>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</si>
  <si>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</si>
  <si>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</si>
  <si>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</si>
  <si>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</si>
  <si>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</si>
  <si>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</si>
  <si>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</si>
  <si>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</si>
  <si>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</si>
  <si>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</si>
  <si>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</si>
  <si>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</si>
  <si>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</si>
  <si>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</si>
  <si>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</si>
  <si>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</si>
  <si>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</si>
  <si>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</si>
  <si>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</si>
  <si>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</si>
  <si>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</si>
  <si>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</si>
  <si>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</si>
  <si>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</si>
  <si>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</si>
  <si>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</si>
  <si>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</si>
  <si>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</si>
  <si>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</si>
  <si>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</si>
  <si>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</si>
  <si>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</si>
  <si>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</si>
  <si>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</si>
  <si>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</si>
  <si>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</si>
  <si>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</si>
  <si>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</si>
  <si>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</si>
  <si>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</si>
  <si>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</si>
  <si>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</si>
  <si>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</si>
  <si>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</si>
  <si>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</si>
  <si>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</si>
  <si>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</si>
  <si>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</si>
  <si>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</si>
  <si>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</si>
  <si>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</si>
  <si>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</si>
  <si>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</si>
  <si>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</si>
  <si>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</si>
  <si>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</si>
  <si>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</si>
  <si>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</si>
  <si>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</si>
  <si>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</si>
  <si>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</si>
  <si>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</si>
  <si>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</si>
  <si>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</si>
  <si>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</si>
  <si>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</si>
  <si>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</si>
  <si>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</si>
  <si>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</si>
  <si>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</si>
  <si>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</si>
  <si>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</si>
  <si>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</si>
  <si>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</si>
  <si>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</si>
  <si>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</si>
  <si>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</si>
  <si>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</si>
  <si>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</si>
  <si>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</si>
  <si>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</si>
  <si>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</si>
  <si>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</si>
  <si>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</si>
  <si>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</si>
  <si>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</si>
  <si>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</si>
  <si>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</si>
  <si>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</si>
  <si>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</si>
  <si>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</si>
  <si>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</si>
  <si>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</si>
  <si>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</si>
  <si>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</si>
  <si>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</si>
  <si>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</si>
  <si>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</si>
  <si>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</si>
  <si>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</si>
  <si>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</si>
  <si>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</si>
  <si>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</si>
  <si>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</si>
  <si>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</si>
  <si>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</si>
  <si>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</si>
  <si>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</si>
  <si>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</si>
  <si>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</si>
  <si>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</si>
  <si>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</si>
  <si>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</si>
  <si>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</si>
  <si>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</si>
  <si>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</si>
  <si>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</si>
  <si>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</si>
  <si>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</si>
  <si>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</si>
  <si>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</si>
  <si>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</si>
  <si>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</si>
  <si>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</si>
  <si>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</si>
  <si>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</si>
  <si>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</si>
  <si>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</si>
  <si>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</si>
  <si>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</si>
  <si>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</si>
  <si>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</si>
  <si>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</si>
  <si>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</si>
  <si>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</si>
  <si>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</si>
  <si>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</si>
  <si>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</si>
  <si>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</si>
  <si>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</si>
  <si>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</si>
  <si>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</si>
  <si>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</si>
  <si>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</si>
  <si>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</si>
  <si>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</si>
  <si>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</si>
  <si>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</si>
  <si>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</si>
  <si>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</si>
  <si>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</si>
  <si>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</si>
  <si>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</si>
  <si>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</si>
  <si>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</si>
  <si>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</si>
  <si>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</si>
  <si>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</si>
  <si>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</si>
  <si>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</si>
  <si>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</si>
  <si>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</si>
  <si>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</si>
  <si>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</si>
  <si>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</si>
  <si>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</si>
  <si>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</si>
  <si>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</si>
  <si>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</si>
  <si>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</si>
  <si>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</si>
  <si>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</si>
  <si>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</si>
  <si>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</si>
  <si>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</si>
  <si>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</si>
  <si>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</si>
  <si>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</si>
  <si>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</si>
  <si>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</si>
  <si>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</si>
  <si>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</si>
  <si>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</si>
  <si>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</si>
  <si>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</si>
  <si>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</si>
  <si>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</si>
  <si>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</si>
  <si>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</si>
  <si>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</si>
  <si>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</si>
  <si>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</si>
  <si>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</si>
  <si>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</si>
  <si>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</si>
  <si>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</si>
  <si>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</si>
  <si>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</si>
  <si>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</si>
  <si>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</si>
  <si>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</si>
  <si>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</si>
  <si>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</si>
  <si>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</si>
  <si>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</si>
  <si>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</si>
  <si>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</si>
  <si>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</si>
  <si>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</si>
  <si>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</si>
  <si>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</si>
  <si>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</si>
  <si>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</si>
  <si>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</si>
  <si>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</si>
  <si>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</si>
  <si>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</si>
  <si>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</si>
  <si>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</si>
  <si>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</si>
  <si>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</si>
  <si>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</si>
  <si>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</si>
  <si>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</si>
  <si>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</si>
  <si>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</si>
  <si>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</si>
  <si>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</si>
  <si>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</si>
  <si>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</si>
  <si>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</si>
  <si>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</si>
  <si>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</si>
  <si>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</si>
  <si>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</si>
  <si>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</si>
  <si>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</si>
  <si>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</si>
  <si>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</si>
  <si>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</si>
  <si>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</si>
  <si>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</si>
  <si>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</si>
  <si>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</si>
  <si>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</si>
  <si>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</si>
  <si>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</si>
  <si>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</si>
  <si>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</si>
  <si>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</si>
  <si>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</si>
  <si>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</si>
  <si>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</si>
  <si>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</si>
  <si>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</si>
  <si>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</si>
  <si>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</si>
  <si>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</si>
  <si>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</si>
  <si>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</si>
  <si>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</si>
  <si>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</si>
  <si>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</si>
  <si>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</si>
  <si>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</si>
  <si>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</si>
  <si>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</si>
  <si>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</si>
  <si>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</si>
  <si>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</si>
  <si>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</si>
  <si>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</si>
  <si>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</si>
  <si>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</si>
  <si>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</si>
  <si>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</si>
  <si>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</si>
  <si>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</si>
  <si>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</si>
  <si>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</si>
  <si>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</si>
  <si>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</si>
  <si>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</si>
  <si>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</si>
  <si>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</si>
  <si>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</si>
  <si>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</si>
  <si>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</si>
  <si>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</si>
  <si>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</si>
  <si>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</si>
  <si>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</si>
  <si>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</si>
  <si>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</si>
  <si>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</si>
  <si>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</si>
  <si>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</si>
  <si>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</si>
  <si>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</si>
  <si>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</si>
  <si>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</si>
  <si>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</si>
  <si>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</si>
  <si>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</si>
  <si>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</si>
  <si>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</si>
  <si>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</si>
  <si>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</si>
  <si>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</si>
  <si>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</si>
  <si>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</si>
  <si>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</si>
  <si>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</si>
  <si>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</si>
  <si>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</si>
  <si>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</si>
  <si>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</si>
  <si>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</si>
  <si>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</si>
  <si>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</si>
  <si>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</si>
  <si>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</si>
  <si>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</si>
  <si>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</si>
  <si>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</si>
  <si>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</si>
  <si>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</si>
  <si>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</si>
  <si>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</si>
  <si>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</si>
  <si>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</si>
  <si>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</si>
  <si>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</si>
  <si>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</si>
  <si>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</si>
  <si>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</si>
  <si>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</si>
  <si>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</si>
  <si>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</si>
  <si>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</si>
  <si>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</si>
  <si>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</si>
  <si>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</si>
  <si>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</si>
  <si>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</si>
  <si>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</si>
  <si>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</si>
  <si>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</si>
  <si>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</si>
  <si>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</si>
  <si>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</si>
  <si>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</si>
  <si>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</si>
  <si>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</si>
  <si>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</si>
  <si>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</si>
  <si>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</si>
  <si>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</si>
  <si>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</si>
  <si>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</si>
  <si>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</si>
  <si>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</si>
  <si>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</si>
  <si>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</si>
  <si>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</si>
  <si>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</si>
  <si>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</si>
  <si>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</si>
  <si>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</si>
  <si>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</si>
  <si>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</si>
  <si>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</si>
  <si>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</si>
  <si>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</si>
  <si>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</si>
  <si>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</si>
  <si>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</si>
  <si>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</si>
  <si>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</si>
  <si>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</si>
  <si>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</si>
  <si>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</si>
  <si>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</si>
  <si>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</si>
  <si>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</si>
  <si>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</si>
  <si>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</si>
  <si>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</si>
  <si>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</si>
  <si>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</si>
  <si>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</si>
  <si>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</si>
  <si>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</si>
  <si>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</si>
  <si>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</si>
  <si>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</si>
  <si>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</si>
  <si>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</si>
  <si>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</si>
  <si>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</si>
  <si>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</si>
  <si>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</si>
  <si>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</si>
  <si>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</si>
  <si>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</si>
  <si>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</si>
  <si>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</si>
  <si>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</si>
  <si>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</si>
  <si>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</si>
  <si>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</si>
  <si>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</si>
  <si>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</si>
  <si>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</si>
  <si>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</si>
  <si>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</si>
  <si>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</si>
  <si>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</si>
  <si>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</si>
  <si>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</si>
  <si>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</si>
  <si>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</si>
  <si>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</si>
  <si>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</si>
  <si>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</si>
  <si>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</si>
  <si>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</si>
  <si>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</si>
  <si>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</si>
  <si>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</si>
  <si>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</si>
  <si>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</si>
  <si>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</si>
  <si>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</si>
  <si>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</si>
  <si>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</si>
  <si>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</si>
  <si>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</si>
  <si>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</si>
  <si>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</si>
  <si>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</si>
  <si>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</si>
  <si>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</si>
  <si>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</si>
  <si>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</si>
  <si>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</si>
  <si>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</si>
  <si>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</si>
  <si>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</si>
  <si>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</si>
  <si>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</si>
  <si>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</si>
  <si>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</si>
  <si>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</si>
  <si>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</si>
  <si>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</si>
  <si>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</si>
  <si>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</si>
  <si>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</si>
  <si>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</si>
  <si>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</si>
  <si>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</si>
  <si>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</si>
  <si>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</si>
  <si>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</si>
  <si>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</si>
  <si>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</si>
  <si>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</si>
  <si>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</si>
  <si>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</si>
  <si>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</si>
  <si>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</si>
  <si>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</si>
  <si>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</si>
  <si>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</si>
  <si>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</si>
  <si>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</si>
  <si>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</si>
  <si>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</si>
  <si>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</si>
  <si>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</si>
  <si>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</si>
  <si>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</si>
  <si>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</si>
  <si>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</si>
  <si>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</si>
  <si>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</si>
  <si>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</si>
  <si>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</si>
  <si>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</si>
  <si>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</si>
  <si>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</si>
  <si>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</si>
  <si>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</si>
  <si>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</si>
  <si>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</si>
  <si>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</si>
  <si>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</si>
  <si>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</si>
  <si>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</si>
  <si>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</si>
  <si>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</si>
  <si>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</si>
  <si>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</si>
  <si>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</si>
  <si>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</si>
  <si>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</si>
  <si>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</si>
  <si>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</si>
  <si>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</si>
  <si>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</si>
  <si>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</si>
  <si>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</si>
  <si>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</si>
  <si>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</si>
  <si>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</si>
  <si>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</si>
  <si>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</si>
  <si>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</si>
  <si>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</si>
  <si>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</si>
  <si>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</si>
  <si>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</si>
  <si>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</si>
  <si>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</si>
  <si>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</si>
  <si>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</si>
  <si>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</si>
  <si>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</si>
  <si>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</si>
  <si>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</si>
  <si>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</si>
  <si>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</si>
  <si>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</si>
  <si>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</si>
  <si>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</si>
  <si>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</si>
  <si>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</si>
  <si>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</si>
  <si>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</si>
  <si>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</si>
  <si>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</si>
  <si>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</si>
  <si>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</si>
  <si>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</si>
  <si>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</si>
  <si>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</si>
  <si>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</si>
  <si>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</si>
  <si>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</si>
  <si>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</si>
  <si>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</si>
  <si>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</si>
  <si>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</si>
  <si>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</si>
  <si>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</si>
  <si>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</si>
  <si>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</si>
  <si>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</si>
  <si>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</si>
  <si>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</si>
  <si>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</si>
  <si>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</si>
  <si>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</si>
  <si>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</si>
  <si>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</si>
  <si>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</si>
  <si>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</si>
  <si>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</si>
  <si>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</si>
  <si>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</si>
  <si>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</si>
  <si>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</si>
  <si>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</si>
  <si>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</si>
  <si>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</si>
  <si>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</si>
  <si>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</si>
  <si>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</si>
  <si>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</si>
  <si>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</si>
  <si>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</si>
  <si>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</si>
  <si>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</si>
  <si>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</si>
  <si>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</si>
  <si>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</si>
  <si>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</si>
  <si>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</si>
  <si>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</si>
  <si>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</si>
  <si>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</si>
  <si>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</si>
  <si>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</si>
  <si>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</si>
  <si>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</si>
  <si>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</si>
  <si>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</si>
  <si>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</si>
  <si>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</si>
  <si>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</si>
  <si>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</si>
  <si>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</si>
  <si>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</si>
  <si>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</si>
  <si>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</si>
  <si>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</si>
  <si>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</si>
  <si>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</si>
  <si>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</si>
  <si>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</si>
  <si>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</si>
  <si>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</si>
  <si>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</si>
  <si>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</si>
  <si>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</si>
  <si>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</si>
  <si>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</si>
  <si>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</si>
  <si>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</si>
  <si>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</si>
  <si>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</si>
  <si>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</si>
  <si>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</si>
  <si>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</si>
  <si>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</si>
  <si>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</si>
  <si>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</si>
  <si>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</si>
  <si>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</si>
  <si>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</si>
  <si>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</si>
  <si>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</si>
  <si>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</si>
  <si>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</si>
  <si>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</si>
  <si>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</si>
  <si>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</si>
  <si>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</si>
  <si>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</si>
  <si>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</si>
  <si>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</si>
  <si>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</si>
  <si>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</si>
  <si>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</si>
  <si>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</si>
  <si>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</si>
  <si>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</si>
  <si>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</si>
  <si>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</si>
  <si>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</si>
  <si>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</si>
  <si>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</si>
  <si>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</si>
  <si>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</si>
  <si>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</si>
  <si>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</si>
  <si>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</si>
  <si>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</si>
  <si>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</si>
  <si>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</si>
  <si>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</si>
  <si>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</si>
  <si>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</si>
  <si>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</si>
  <si>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</si>
  <si>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</si>
  <si>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</si>
  <si>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</si>
  <si>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</si>
  <si>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</si>
  <si>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</si>
  <si>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</si>
  <si>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</si>
  <si>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</si>
  <si>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</si>
  <si>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</si>
  <si>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</si>
  <si>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</si>
  <si>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</si>
  <si>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</si>
  <si>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</si>
  <si>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</si>
  <si>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</si>
  <si>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</si>
  <si>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</si>
  <si>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</si>
  <si>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</si>
  <si>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</si>
  <si>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</si>
  <si>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</si>
  <si>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</si>
  <si>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</si>
  <si>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</si>
  <si>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</si>
  <si>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</si>
  <si>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</si>
  <si>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</si>
  <si>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</si>
  <si>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</si>
  <si>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</si>
  <si>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</si>
  <si>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</si>
  <si>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</si>
  <si>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</si>
  <si>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</si>
  <si>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</si>
  <si>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</si>
  <si>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</si>
  <si>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</si>
  <si>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</si>
  <si>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</si>
  <si>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</si>
  <si>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</si>
  <si>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</si>
  <si>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</si>
  <si>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</si>
  <si>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</si>
  <si>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</si>
  <si>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</si>
  <si>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</si>
  <si>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</si>
  <si>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</si>
  <si>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</si>
  <si>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</si>
  <si>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</si>
  <si>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</si>
  <si>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</si>
  <si>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</si>
  <si>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</si>
  <si>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</si>
  <si>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</si>
  <si>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</si>
  <si>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</si>
  <si>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</si>
  <si>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</si>
  <si>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</si>
  <si>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</si>
  <si>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</si>
  <si>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</si>
  <si>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</si>
  <si>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</si>
  <si>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</si>
  <si>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</si>
  <si>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</si>
  <si>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</si>
  <si>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</si>
  <si>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</si>
  <si>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</si>
  <si>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</si>
  <si>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</si>
  <si>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</si>
  <si>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</si>
  <si>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</si>
  <si>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</si>
  <si>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</si>
  <si>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</si>
  <si>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</si>
  <si>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</si>
  <si>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</si>
  <si>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</si>
  <si>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</si>
  <si>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</si>
  <si>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LMHN, Ltd.</t>
  </si>
  <si>
    <t>M. Adam Mathias</t>
  </si>
  <si>
    <t>900 N Webster St - PO Box 87</t>
  </si>
  <si>
    <t>Taylorville</t>
  </si>
  <si>
    <t>IL</t>
  </si>
  <si>
    <t>217-824-9661</t>
  </si>
  <si>
    <t>217-824-2415</t>
  </si>
  <si>
    <t>066-003847</t>
  </si>
  <si>
    <t>11/30/2021</t>
  </si>
  <si>
    <t>lmhncpas@outlook.com</t>
  </si>
  <si>
    <t>x</t>
  </si>
  <si>
    <t xml:space="preserve">   at the top left or top right hand corner of each AFR page.</t>
  </si>
  <si>
    <t>Note - the page numbers referred to above correlate to the page numbering system that ISBE utilizes on their AFR, located</t>
  </si>
  <si>
    <t>Logan</t>
  </si>
  <si>
    <t>75 1250th Street</t>
  </si>
  <si>
    <t>Middletown</t>
  </si>
  <si>
    <t>bbruley@nhm88.com</t>
  </si>
  <si>
    <t>Brandi Bruley</t>
  </si>
  <si>
    <t>217-445-2421</t>
  </si>
  <si>
    <t>217-445-2632</t>
  </si>
  <si>
    <t>NEW HOLLAND-MIDDLETOWN ELEMENTARY SCHOOL DISTRICT NO. 88</t>
  </si>
  <si>
    <t>SCHEDULE OF CASH RECEIPTS AND DISBURSEMENTS</t>
  </si>
  <si>
    <t>ACTIVITY FUNDS</t>
  </si>
  <si>
    <t>FOR THE FISCAL YEAR ENDED JUNE 30, 2020</t>
  </si>
  <si>
    <t>Balance</t>
  </si>
  <si>
    <t>July 1, 2019</t>
  </si>
  <si>
    <t>Receipts</t>
  </si>
  <si>
    <t>Disbursements</t>
  </si>
  <si>
    <t>June 30, 2020</t>
  </si>
  <si>
    <t>ASSETS</t>
  </si>
  <si>
    <t>Cash</t>
  </si>
  <si>
    <t>LIABILITIES</t>
  </si>
  <si>
    <t>Amounts Due to Organizations:</t>
  </si>
  <si>
    <t>All School</t>
  </si>
  <si>
    <t>Awards Assembly</t>
  </si>
  <si>
    <t>Blaum Memorial Music Fund</t>
  </si>
  <si>
    <t>Box Tops for Education</t>
  </si>
  <si>
    <t>Eaton Corp Grant</t>
  </si>
  <si>
    <t>Eight Grade Fundraiser</t>
  </si>
  <si>
    <t>Mustang Beta Club Fundraiser</t>
  </si>
  <si>
    <t>District Fundraiser</t>
  </si>
  <si>
    <t>Music</t>
  </si>
  <si>
    <t>Ola Carnival</t>
  </si>
  <si>
    <t>Pencil Machine</t>
  </si>
  <si>
    <t>Pepsi Machine</t>
  </si>
  <si>
    <t>R.S. Memorial Fund</t>
  </si>
  <si>
    <t>Scholastic Bowl</t>
  </si>
  <si>
    <t>Speech</t>
  </si>
  <si>
    <t>Track</t>
  </si>
  <si>
    <t>TOTAL LIABILITIES</t>
  </si>
  <si>
    <t>FISCAL YEAR ENDED JUNE 30, 2020</t>
  </si>
  <si>
    <t>Pages</t>
  </si>
  <si>
    <t>Independent Auditor's Report</t>
  </si>
  <si>
    <t>1-3</t>
  </si>
  <si>
    <t>Independent Auditor's Report on Internal Control Over Financial Reporting and on</t>
  </si>
  <si>
    <t xml:space="preserve">   Compliance and Other Matters Based on an Audit of Financial Statements</t>
  </si>
  <si>
    <r>
      <t xml:space="preserve">   Performed in Accordance with </t>
    </r>
    <r>
      <rPr>
        <u/>
        <sz val="13"/>
        <rFont val="Times New Roman"/>
        <family val="1"/>
      </rPr>
      <t>Government Auditing Standards</t>
    </r>
  </si>
  <si>
    <t>4-5</t>
  </si>
  <si>
    <t>Basic Financial Statements:</t>
  </si>
  <si>
    <t>Statement of Assets and Liabilities Arising from Cash Transactions / Statement</t>
  </si>
  <si>
    <t xml:space="preserve">   of Position (All Funds)</t>
  </si>
  <si>
    <t>6-7</t>
  </si>
  <si>
    <t>Statement of Revenues Received / Revenues, Expenditures Disbursed / Expenditures,</t>
  </si>
  <si>
    <t xml:space="preserve">  Other Sources (Uses) and Changes in Fund Balance (All Funds)</t>
  </si>
  <si>
    <t>8-9</t>
  </si>
  <si>
    <t>Statement of Revenues Received / Revenues (All Funds)</t>
  </si>
  <si>
    <t>10-15</t>
  </si>
  <si>
    <t>Statement of Expenditures Disbursed / Expenditures, Budget to Actual (All Funds)</t>
  </si>
  <si>
    <t>16-23</t>
  </si>
  <si>
    <t>Notes to Financial Statements</t>
  </si>
  <si>
    <t>Supplementary Schedules:</t>
  </si>
  <si>
    <t>Schedule of Ad Valorem Tax Receipts</t>
  </si>
  <si>
    <t>42</t>
  </si>
  <si>
    <t>Schedule of Short Term Debt and Long Term Debt</t>
  </si>
  <si>
    <t>43</t>
  </si>
  <si>
    <t>Schedule of Restricted Local Tax Levies and Tort Immunity Expenditures</t>
  </si>
  <si>
    <t>44</t>
  </si>
  <si>
    <t>Estimated Indirect Cost Data</t>
  </si>
  <si>
    <t>45</t>
  </si>
  <si>
    <t>Statistical Section:</t>
  </si>
  <si>
    <t>Schedule of Capital Outlay and Depreciation</t>
  </si>
  <si>
    <t>Estimated Operating Expenditures Per Pupil and Per Capita Tuition Charge</t>
  </si>
  <si>
    <t xml:space="preserve">   Computation 2019-2020</t>
  </si>
  <si>
    <t>TABLE OF CONTENTS (CONTINUED)</t>
  </si>
  <si>
    <t>Other Schedules and Itemizations:</t>
  </si>
  <si>
    <t>Itemization Schedule</t>
  </si>
  <si>
    <t>49</t>
  </si>
  <si>
    <t>Reference Page</t>
  </si>
  <si>
    <t>Auditor's Questionnaire</t>
  </si>
  <si>
    <t>Financial Profile Information</t>
  </si>
  <si>
    <t>Schedule of Cash Receipts and Disbursements - Activity Funds</t>
  </si>
  <si>
    <t>Limitation of Administrative Costs Worksheet</t>
  </si>
  <si>
    <t>Current Year Payment on Contracts for Indirect Cost Rate Computation</t>
  </si>
  <si>
    <t>Report on Shared Services or Outsourcing</t>
  </si>
  <si>
    <r>
      <t>Note…</t>
    </r>
    <r>
      <rPr>
        <sz val="11"/>
        <rFont val="Times New Roman"/>
        <family val="1"/>
      </rPr>
      <t>The page numbers referred to above are the sequential page numbers that were assigned to each</t>
    </r>
  </si>
  <si>
    <t xml:space="preserve">   page by LMHN, Ltd. and are located at the bottom center of each page.  These page numbers do not</t>
  </si>
  <si>
    <t xml:space="preserve">   correlate to the page numbering system that ISBE utilizes on their AFR.  Occasionally, the AFR will</t>
  </si>
  <si>
    <t xml:space="preserve">   cross reference an item to another page number within the AFR.  These page numbers are located on</t>
  </si>
  <si>
    <t xml:space="preserve">   the top left or top right hand corner of each AFR page.</t>
  </si>
  <si>
    <t>Tri-County Special Education Association</t>
  </si>
  <si>
    <t>Lincoln High School</t>
  </si>
  <si>
    <t>Ed Fund - Food Services - Purchased Services</t>
  </si>
  <si>
    <t>Page 23, Other - $6,080 reprsents prior year adjustments.</t>
  </si>
  <si>
    <t>24-40</t>
  </si>
  <si>
    <t>41</t>
  </si>
  <si>
    <t>46-47</t>
  </si>
  <si>
    <t>48</t>
  </si>
  <si>
    <t>50-51</t>
  </si>
  <si>
    <t>52-53</t>
  </si>
  <si>
    <t>54</t>
  </si>
  <si>
    <t>55-56</t>
  </si>
  <si>
    <t>57</t>
  </si>
  <si>
    <t>58</t>
  </si>
  <si>
    <t>Page 11, Account 1999, Educational Fund - $3,837 represents miscellaneous revenues.</t>
  </si>
  <si>
    <t>Page 15, Account 2190, Purchased Services - $12,055 represents special assessments and miscelleneous pupil support services revenues.</t>
  </si>
  <si>
    <t>Alternate Revenue Bonds</t>
  </si>
  <si>
    <t>Page 18, Account 5400, Other Objects - $500 represents bond agent fees.</t>
  </si>
  <si>
    <t>New Holland-Middletown ED 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</si>
</sst>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ont>
    <font>
      <b/>
      <sz val="12"/>
      <name val="Times New Roman"/>
      <family val="1"/>
    </font>
    <font>
      <b/>
      <u/>
      <sz val="12"/>
      <name val="Times New Roman"/>
      <family val="1"/>
    </font>
    <font>
      <b/>
      <sz val="13"/>
      <name val="Times New Roman"/>
      <family val="1"/>
    </font>
    <font>
      <u/>
      <sz val="13"/>
      <name val="Times New Roman"/>
      <family val="1"/>
    </font>
    <font>
      <sz val="13"/>
      <name val="Times New Roman"/>
      <family val="1"/>
    </font>
    <font>
      <sz val="12"/>
      <name val="Times New Roman"/>
      <family val="1"/>
    </font>
    <font>
      <sz val="11"/>
      <name val="Times New Roman"/>
      <family val="1"/>
    </font>
    <font>
      <b/>
      <sz val="11"/>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4" fontId="143" fillId="0" borderId="0" applyFont="0" applyFill="0" applyBorder="0" applyAlignment="0" applyProtection="0"/>
  </cellStyleXfs>
  <cellXfs count="265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45" fillId="0" borderId="0" xfId="0" applyFont="1"/>
    <xf numFmtId="43" fontId="45" fillId="0" borderId="0" xfId="1" applyFont="1" applyAlignment="1">
      <alignment horizontal="center"/>
    </xf>
    <xf numFmtId="43" fontId="45" fillId="0" borderId="78" xfId="1" quotePrefix="1" applyFont="1" applyBorder="1" applyAlignment="1">
      <alignment horizontal="center"/>
    </xf>
    <xf numFmtId="43" fontId="45" fillId="0" borderId="78" xfId="1" applyFont="1" applyBorder="1" applyAlignment="1">
      <alignment horizontal="center"/>
    </xf>
    <xf numFmtId="43" fontId="45" fillId="0" borderId="0" xfId="1" applyFont="1"/>
    <xf numFmtId="44" fontId="45" fillId="0" borderId="196" xfId="21" applyFont="1" applyBorder="1"/>
    <xf numFmtId="44" fontId="45" fillId="0" borderId="0" xfId="21" applyFont="1"/>
    <xf numFmtId="43" fontId="45" fillId="0" borderId="0" xfId="1" applyFont="1" applyAlignment="1">
      <alignment horizontal="right"/>
    </xf>
    <xf numFmtId="0" fontId="45" fillId="0" borderId="0" xfId="0" applyFont="1" applyAlignment="1">
      <alignment horizontal="left" indent="1"/>
    </xf>
    <xf numFmtId="44" fontId="45" fillId="0" borderId="0" xfId="21" applyFont="1" applyAlignment="1">
      <alignment horizontal="right"/>
    </xf>
    <xf numFmtId="43" fontId="45" fillId="0" borderId="0" xfId="1" applyFont="1" applyBorder="1" applyAlignment="1">
      <alignment horizontal="right"/>
    </xf>
    <xf numFmtId="43" fontId="45" fillId="0" borderId="78" xfId="1" applyFont="1" applyBorder="1" applyAlignment="1">
      <alignment horizontal="right"/>
    </xf>
    <xf numFmtId="44" fontId="45" fillId="0" borderId="196" xfId="21" applyFont="1" applyBorder="1" applyAlignment="1">
      <alignment horizontal="right"/>
    </xf>
    <xf numFmtId="0" fontId="45" fillId="0" borderId="0" xfId="3" applyFont="1"/>
    <xf numFmtId="0" fontId="145" fillId="0" borderId="0" xfId="3" applyFont="1" applyAlignment="1">
      <alignment horizontal="center"/>
    </xf>
    <xf numFmtId="0" fontId="144" fillId="0" borderId="0" xfId="3" applyFont="1" applyAlignment="1">
      <alignment horizontal="center"/>
    </xf>
    <xf numFmtId="0" fontId="146" fillId="0" borderId="0" xfId="3" applyFont="1" applyAlignment="1">
      <alignment horizontal="center"/>
    </xf>
    <xf numFmtId="16" fontId="147" fillId="0" borderId="0" xfId="3" applyNumberFormat="1" applyFont="1" applyAlignment="1">
      <alignment horizontal="center"/>
    </xf>
    <xf numFmtId="0" fontId="148" fillId="0" borderId="0" xfId="3" applyFont="1" applyAlignment="1">
      <alignment horizontal="left"/>
    </xf>
    <xf numFmtId="16" fontId="148" fillId="0" borderId="0" xfId="3" quotePrefix="1" applyNumberFormat="1" applyFont="1" applyAlignment="1">
      <alignment horizontal="center"/>
    </xf>
    <xf numFmtId="0" fontId="148" fillId="0" borderId="0" xfId="3" applyFont="1"/>
    <xf numFmtId="0" fontId="147" fillId="0" borderId="0" xfId="3" applyFont="1" applyAlignment="1">
      <alignment horizontal="left"/>
    </xf>
    <xf numFmtId="0" fontId="148" fillId="0" borderId="0" xfId="3" quotePrefix="1" applyFont="1"/>
    <xf numFmtId="0" fontId="148" fillId="0" borderId="0" xfId="3" applyFont="1" applyAlignment="1">
      <alignment horizontal="center"/>
    </xf>
    <xf numFmtId="0" fontId="148" fillId="0" borderId="0" xfId="3" quotePrefix="1" applyFont="1" applyAlignment="1">
      <alignment horizontal="center"/>
    </xf>
    <xf numFmtId="0" fontId="149" fillId="0" borderId="0" xfId="3" applyFont="1"/>
    <xf numFmtId="0" fontId="149" fillId="0" borderId="0" xfId="3" applyFont="1" applyAlignment="1">
      <alignment horizontal="center"/>
    </xf>
    <xf numFmtId="0" fontId="150" fillId="0" borderId="0" xfId="3" applyFont="1"/>
    <xf numFmtId="0" fontId="150" fillId="0" borderId="0" xfId="3" applyFont="1" applyAlignment="1">
      <alignment horizontal="center"/>
    </xf>
    <xf numFmtId="0" fontId="151" fillId="0" borderId="0" xfId="3" applyFont="1"/>
    <xf numFmtId="0" fontId="45" fillId="0" borderId="0" xfId="3" applyFont="1" applyAlignment="1">
      <alignment horizontal="center"/>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quotePrefix="1"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145" fillId="0" borderId="0" xfId="3" applyFont="1" applyAlignment="1">
      <alignment horizontal="center"/>
    </xf>
    <xf numFmtId="0" fontId="144" fillId="0" borderId="0" xfId="3" applyFont="1" applyAlignment="1">
      <alignment horizontal="center"/>
    </xf>
    <xf numFmtId="0" fontId="83" fillId="0" borderId="0" xfId="0" applyFont="1" applyAlignment="1">
      <alignment vertical="top" wrapText="1"/>
    </xf>
    <xf numFmtId="0" fontId="45" fillId="0" borderId="0" xfId="0" applyFont="1" applyAlignment="1">
      <alignment horizontal="center"/>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304800</xdr:colOff>
          <xdr:row>11</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8.bin"/><Relationship Id="rId4" Type="http://schemas.openxmlformats.org/officeDocument/2006/relationships/hyperlink" Target="https://www.isbe.net/Pages/School-Nutrition-Programs-Food-Distribution.aspx"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50">
        <f>+'AFR20'!E4</f>
        <v>44119</v>
      </c>
      <c r="C1" s="2150"/>
      <c r="D1" s="2151"/>
      <c r="I1" s="2109" t="s">
        <v>402</v>
      </c>
      <c r="J1" s="2110"/>
      <c r="K1" s="2110"/>
      <c r="L1" s="2110"/>
      <c r="M1" s="2110"/>
      <c r="N1" s="2110"/>
      <c r="O1" s="2110"/>
      <c r="P1" s="2110"/>
      <c r="Q1" s="2110"/>
      <c r="R1" s="2110"/>
      <c r="S1" s="2110"/>
    </row>
    <row r="2" spans="1:32" ht="12" customHeight="1" x14ac:dyDescent="0.2">
      <c r="A2" s="1831" t="str">
        <f>"Due to ISBE on "</f>
        <v xml:space="preserve">Due to ISBE on </v>
      </c>
      <c r="B2" s="2152">
        <f>+'AFR20'!F4</f>
        <v>44151</v>
      </c>
      <c r="C2" s="2152"/>
      <c r="D2" s="2153"/>
      <c r="I2" s="2111" t="s">
        <v>2003</v>
      </c>
      <c r="J2" s="2110"/>
      <c r="K2" s="2110"/>
      <c r="L2" s="2110"/>
      <c r="M2" s="2110"/>
      <c r="N2" s="2110"/>
      <c r="O2" s="2110"/>
      <c r="P2" s="2110"/>
      <c r="Q2" s="2110"/>
      <c r="R2" s="2110"/>
      <c r="S2" s="2110"/>
    </row>
    <row r="3" spans="1:32" ht="12" customHeight="1" x14ac:dyDescent="0.2">
      <c r="A3" s="1834" t="str">
        <f>"SD/JA"&amp;MID('AFR20'!E2,3,2)</f>
        <v>SD/JA20</v>
      </c>
      <c r="B3" s="151"/>
      <c r="C3" s="151"/>
      <c r="D3" s="152"/>
      <c r="I3" s="2111" t="s">
        <v>52</v>
      </c>
      <c r="J3" s="2110"/>
      <c r="K3" s="2110"/>
      <c r="L3" s="2110"/>
      <c r="M3" s="2110"/>
      <c r="N3" s="2110"/>
      <c r="O3" s="2110"/>
      <c r="P3" s="2110"/>
      <c r="Q3" s="2110"/>
      <c r="R3" s="2110"/>
      <c r="S3" s="2110"/>
    </row>
    <row r="4" spans="1:32" ht="12" customHeight="1" x14ac:dyDescent="0.2">
      <c r="A4" s="37"/>
      <c r="I4" s="2111" t="s">
        <v>521</v>
      </c>
      <c r="J4" s="2110"/>
      <c r="K4" s="2110"/>
      <c r="L4" s="2110"/>
      <c r="M4" s="2110"/>
      <c r="N4" s="2110"/>
      <c r="O4" s="2110"/>
      <c r="P4" s="2110"/>
      <c r="Q4" s="2110"/>
      <c r="R4" s="2110"/>
      <c r="S4" s="2110"/>
    </row>
    <row r="5" spans="1:32" ht="14.1" customHeight="1" x14ac:dyDescent="0.2">
      <c r="B5" s="101" t="s">
        <v>2061</v>
      </c>
      <c r="C5" s="26" t="s">
        <v>904</v>
      </c>
      <c r="D5" s="81"/>
      <c r="E5" s="81"/>
      <c r="H5" s="38"/>
      <c r="I5" s="2119" t="s">
        <v>675</v>
      </c>
      <c r="J5" s="2118"/>
      <c r="K5" s="2118"/>
      <c r="L5" s="2118"/>
      <c r="M5" s="2118"/>
      <c r="N5" s="2118"/>
      <c r="O5" s="2118"/>
      <c r="P5" s="2118"/>
      <c r="Q5" s="2118"/>
      <c r="R5" s="2118"/>
      <c r="S5" s="2118"/>
      <c r="AF5" s="1827"/>
    </row>
    <row r="6" spans="1:32" ht="14.1" customHeight="1" x14ac:dyDescent="0.2">
      <c r="B6" s="101"/>
      <c r="C6" s="26" t="s">
        <v>905</v>
      </c>
      <c r="D6" s="81"/>
      <c r="E6" s="81"/>
      <c r="I6" s="2117" t="s">
        <v>877</v>
      </c>
      <c r="J6" s="2118"/>
      <c r="K6" s="2118"/>
      <c r="L6" s="2118"/>
      <c r="M6" s="2118"/>
      <c r="N6" s="2118"/>
      <c r="O6" s="2118"/>
      <c r="P6" s="2118"/>
      <c r="Q6" s="2118"/>
      <c r="R6" s="2118"/>
      <c r="S6" s="2118"/>
    </row>
    <row r="7" spans="1:32" ht="12.2" customHeight="1" x14ac:dyDescent="0.2">
      <c r="I7" s="2112" t="str">
        <f>"June 30, "&amp;'AFR20'!E2</f>
        <v>June 30, 2020</v>
      </c>
      <c r="J7" s="2113"/>
      <c r="K7" s="2113"/>
      <c r="L7" s="2113"/>
      <c r="M7" s="2113"/>
      <c r="N7" s="2113"/>
      <c r="O7" s="2113"/>
      <c r="P7" s="2113"/>
      <c r="Q7" s="2113"/>
      <c r="R7" s="2113"/>
      <c r="S7" s="211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4" t="s">
        <v>669</v>
      </c>
      <c r="J9" s="2115"/>
      <c r="K9" s="2115"/>
      <c r="L9" s="2115"/>
      <c r="M9" s="2115"/>
      <c r="N9" s="2115"/>
      <c r="O9" s="2115"/>
      <c r="P9" s="2115"/>
      <c r="Q9" s="2115"/>
      <c r="R9" s="2115"/>
      <c r="S9" s="2116"/>
      <c r="T9" s="2167" t="s">
        <v>530</v>
      </c>
      <c r="U9" s="2168"/>
      <c r="V9" s="2168"/>
      <c r="W9" s="2168"/>
      <c r="X9" s="2168"/>
      <c r="Y9" s="2168"/>
      <c r="Z9" s="2168"/>
      <c r="AA9" s="2169"/>
    </row>
    <row r="10" spans="1:32" ht="13.5" customHeight="1" x14ac:dyDescent="0.2">
      <c r="A10" s="2174" t="s">
        <v>670</v>
      </c>
      <c r="B10" s="2175"/>
      <c r="C10" s="2175"/>
      <c r="D10" s="2175"/>
      <c r="E10" s="2175"/>
      <c r="F10" s="2175"/>
      <c r="G10" s="2175"/>
      <c r="H10" s="2176"/>
      <c r="I10" s="29"/>
      <c r="J10" s="30"/>
      <c r="K10" s="28"/>
      <c r="R10" s="30"/>
      <c r="S10" s="30"/>
      <c r="T10" s="2170"/>
      <c r="U10" s="2118"/>
      <c r="V10" s="2118"/>
      <c r="W10" s="2118"/>
      <c r="X10" s="2118"/>
      <c r="Y10" s="2118"/>
      <c r="Z10" s="2118"/>
      <c r="AA10" s="2124"/>
    </row>
    <row r="11" spans="1:32" ht="14.25" customHeight="1" x14ac:dyDescent="0.2">
      <c r="A11" s="2177" t="s">
        <v>949</v>
      </c>
      <c r="B11" s="2178"/>
      <c r="C11" s="2178"/>
      <c r="D11" s="2178"/>
      <c r="E11" s="2178"/>
      <c r="F11" s="2178"/>
      <c r="G11" s="2178"/>
      <c r="H11" s="2179"/>
      <c r="I11" s="27"/>
      <c r="J11" s="71"/>
      <c r="K11" s="27"/>
      <c r="O11" s="144" t="s">
        <v>2061</v>
      </c>
      <c r="P11" s="97" t="s">
        <v>199</v>
      </c>
      <c r="Q11" s="30"/>
      <c r="R11" s="28"/>
      <c r="S11" s="27"/>
      <c r="T11" s="2171"/>
      <c r="U11" s="2172"/>
      <c r="V11" s="2172"/>
      <c r="W11" s="2172"/>
      <c r="X11" s="2172"/>
      <c r="Y11" s="2172"/>
      <c r="Z11" s="2172"/>
      <c r="AA11" s="217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30">
        <v>17054088002</v>
      </c>
      <c r="B13" s="2131"/>
      <c r="C13" s="2131"/>
      <c r="D13" s="2131"/>
      <c r="E13" s="2131"/>
      <c r="F13" s="2131"/>
      <c r="G13" s="2131"/>
      <c r="H13" s="2132"/>
      <c r="I13" s="31"/>
      <c r="J13" s="30"/>
      <c r="K13" s="28"/>
      <c r="L13" s="30"/>
      <c r="M13" s="30"/>
      <c r="N13" s="30"/>
      <c r="O13" s="30"/>
      <c r="P13" s="30"/>
      <c r="Q13" s="30"/>
      <c r="R13" s="30"/>
      <c r="S13" s="30"/>
      <c r="T13" s="2136" t="s">
        <v>2051</v>
      </c>
      <c r="U13" s="2137"/>
      <c r="V13" s="2137"/>
      <c r="W13" s="2137"/>
      <c r="X13" s="2137"/>
      <c r="Y13" s="2138"/>
      <c r="Z13" s="2138"/>
      <c r="AA13" s="213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33" t="s">
        <v>2064</v>
      </c>
      <c r="B15" s="2134"/>
      <c r="C15" s="2134"/>
      <c r="D15" s="2134"/>
      <c r="E15" s="2134"/>
      <c r="F15" s="2134"/>
      <c r="G15" s="2134"/>
      <c r="H15" s="2135"/>
      <c r="T15" s="2140" t="s">
        <v>2052</v>
      </c>
      <c r="U15" s="2097"/>
      <c r="V15" s="2097"/>
      <c r="W15" s="2097"/>
      <c r="X15" s="2097"/>
      <c r="Y15" s="2141"/>
      <c r="Z15" s="2141"/>
      <c r="AA15" s="214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03" t="s">
        <v>2168</v>
      </c>
      <c r="B17" s="2104"/>
      <c r="C17" s="2104"/>
      <c r="D17" s="2104"/>
      <c r="E17" s="2104"/>
      <c r="F17" s="2104"/>
      <c r="G17" s="2104"/>
      <c r="H17" s="2129"/>
      <c r="T17" s="2147" t="s">
        <v>2053</v>
      </c>
      <c r="U17" s="2148"/>
      <c r="V17" s="2148"/>
      <c r="W17" s="2148"/>
      <c r="X17" s="2148"/>
      <c r="Y17" s="2148"/>
      <c r="Z17" s="2148"/>
      <c r="AA17" s="2149"/>
    </row>
    <row r="18" spans="1:27" ht="13.5" customHeight="1" x14ac:dyDescent="0.2">
      <c r="A18" s="82" t="s">
        <v>527</v>
      </c>
      <c r="B18" s="73"/>
      <c r="C18" s="69"/>
      <c r="D18" s="73"/>
      <c r="E18" s="73"/>
      <c r="F18" s="73"/>
      <c r="G18" s="73"/>
      <c r="H18" s="53"/>
      <c r="I18" s="2128" t="s">
        <v>671</v>
      </c>
      <c r="J18" s="2079"/>
      <c r="K18" s="2079"/>
      <c r="L18" s="2079"/>
      <c r="M18" s="2079"/>
      <c r="N18" s="2079"/>
      <c r="O18" s="2079"/>
      <c r="P18" s="2079"/>
      <c r="Q18" s="2079"/>
      <c r="R18" s="2079"/>
      <c r="S18" s="2080"/>
      <c r="T18" s="82" t="s">
        <v>706</v>
      </c>
      <c r="U18" s="48"/>
      <c r="V18" s="69"/>
      <c r="W18" s="47"/>
      <c r="X18" s="82" t="s">
        <v>264</v>
      </c>
      <c r="Y18" s="78"/>
      <c r="Z18" s="154" t="s">
        <v>672</v>
      </c>
      <c r="AA18" s="44"/>
    </row>
    <row r="19" spans="1:27" ht="13.5" customHeight="1" x14ac:dyDescent="0.2">
      <c r="A19" s="2133" t="s">
        <v>2065</v>
      </c>
      <c r="B19" s="2089"/>
      <c r="C19" s="2089"/>
      <c r="D19" s="2089"/>
      <c r="E19" s="2089"/>
      <c r="F19" s="2089"/>
      <c r="G19" s="2089"/>
      <c r="H19" s="2069"/>
      <c r="I19" s="30"/>
      <c r="J19" s="96"/>
      <c r="K19" s="40"/>
      <c r="L19" s="38"/>
      <c r="M19" s="109" t="s">
        <v>312</v>
      </c>
      <c r="P19" s="27"/>
      <c r="Q19" s="27"/>
      <c r="R19" s="27"/>
      <c r="S19" s="31"/>
      <c r="T19" s="2133" t="s">
        <v>2054</v>
      </c>
      <c r="U19" s="2068"/>
      <c r="V19" s="2068"/>
      <c r="W19" s="2069"/>
      <c r="X19" s="2145" t="s">
        <v>2055</v>
      </c>
      <c r="Y19" s="2146"/>
      <c r="Z19" s="2143">
        <v>62568</v>
      </c>
      <c r="AA19" s="214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67" t="s">
        <v>2066</v>
      </c>
      <c r="B21" s="2068"/>
      <c r="C21" s="2068"/>
      <c r="D21" s="2068"/>
      <c r="E21" s="2068"/>
      <c r="F21" s="2068"/>
      <c r="G21" s="2068"/>
      <c r="H21" s="2069"/>
      <c r="I21" s="2123" t="s">
        <v>673</v>
      </c>
      <c r="J21" s="2118"/>
      <c r="K21" s="2118"/>
      <c r="L21" s="2118"/>
      <c r="M21" s="2118"/>
      <c r="N21" s="2118"/>
      <c r="O21" s="2118"/>
      <c r="P21" s="2118"/>
      <c r="Q21" s="2118"/>
      <c r="R21" s="2118"/>
      <c r="S21" s="2124"/>
      <c r="T21" s="2158" t="s">
        <v>2056</v>
      </c>
      <c r="U21" s="2159"/>
      <c r="V21" s="2159"/>
      <c r="W21" s="2159"/>
      <c r="X21" s="2164" t="s">
        <v>2057</v>
      </c>
      <c r="Y21" s="2165"/>
      <c r="Z21" s="2165"/>
      <c r="AA21" s="2166"/>
    </row>
    <row r="22" spans="1:27" ht="13.5" customHeight="1" x14ac:dyDescent="0.2">
      <c r="A22" s="84" t="s">
        <v>528</v>
      </c>
      <c r="B22" s="56"/>
      <c r="C22" s="56"/>
      <c r="D22" s="56"/>
      <c r="E22" s="56"/>
      <c r="F22" s="56"/>
      <c r="G22" s="56"/>
      <c r="H22" s="57"/>
      <c r="I22" s="2125" t="s">
        <v>1412</v>
      </c>
      <c r="J22" s="2126"/>
      <c r="K22" s="2126"/>
      <c r="L22" s="2126"/>
      <c r="M22" s="2126"/>
      <c r="N22" s="2126"/>
      <c r="O22" s="2126"/>
      <c r="P22" s="2126"/>
      <c r="Q22" s="2126"/>
      <c r="R22" s="2126"/>
      <c r="S22" s="2127"/>
      <c r="T22" s="82" t="s">
        <v>1499</v>
      </c>
      <c r="U22" s="48"/>
      <c r="V22" s="69"/>
      <c r="W22" s="48"/>
      <c r="X22" s="155" t="s">
        <v>1307</v>
      </c>
      <c r="Z22" s="43"/>
      <c r="AA22" s="44"/>
    </row>
    <row r="23" spans="1:27" ht="13.5" customHeight="1" x14ac:dyDescent="0.2">
      <c r="A23" s="2120" t="s">
        <v>2067</v>
      </c>
      <c r="B23" s="2121"/>
      <c r="C23" s="2121"/>
      <c r="D23" s="2121"/>
      <c r="E23" s="2121"/>
      <c r="F23" s="2121"/>
      <c r="G23" s="2121"/>
      <c r="H23" s="2122"/>
      <c r="T23" s="2103" t="s">
        <v>2058</v>
      </c>
      <c r="U23" s="2157"/>
      <c r="V23" s="2157"/>
      <c r="W23" s="2157"/>
      <c r="X23" s="2161" t="s">
        <v>2059</v>
      </c>
      <c r="Y23" s="2162"/>
      <c r="Z23" s="2162"/>
      <c r="AA23" s="2163"/>
    </row>
    <row r="24" spans="1:27" ht="14.1" customHeight="1" x14ac:dyDescent="0.2">
      <c r="A24" s="85" t="s">
        <v>672</v>
      </c>
      <c r="B24" s="46"/>
      <c r="C24" s="46"/>
      <c r="D24" s="46"/>
      <c r="E24" s="46"/>
      <c r="F24" s="46"/>
      <c r="G24" s="46"/>
      <c r="H24" s="58"/>
      <c r="J24" s="2090">
        <f>IF(B5="x",IF(AUDITCHECK!D29="AFR form Incomplete.","",IF(AUDITCHECK!D29="Deficit reduction plan is required.","School District must complete a deficit reduction plan in the 2020-2021 Budget",)),"")</f>
        <v>0</v>
      </c>
      <c r="K24" s="2090"/>
      <c r="L24" s="2090"/>
      <c r="M24" s="2090"/>
      <c r="N24" s="2090"/>
      <c r="O24" s="2090"/>
      <c r="P24" s="2090"/>
      <c r="Q24" s="2090"/>
      <c r="R24" s="2090"/>
      <c r="S24" s="2091"/>
      <c r="T24" s="102" t="s">
        <v>528</v>
      </c>
      <c r="U24" s="103"/>
      <c r="V24" s="103"/>
      <c r="W24" s="103"/>
      <c r="X24" s="104"/>
      <c r="Y24" s="104"/>
      <c r="Z24" s="104"/>
      <c r="AA24" s="105"/>
    </row>
    <row r="25" spans="1:27" ht="14.1" customHeight="1" x14ac:dyDescent="0.2">
      <c r="A25" s="2067">
        <v>62666</v>
      </c>
      <c r="B25" s="2068"/>
      <c r="C25" s="2068"/>
      <c r="D25" s="2068"/>
      <c r="E25" s="2068"/>
      <c r="F25" s="2068"/>
      <c r="G25" s="2068"/>
      <c r="H25" s="2069"/>
      <c r="I25" s="110"/>
      <c r="J25" s="2092"/>
      <c r="K25" s="2092"/>
      <c r="L25" s="2092"/>
      <c r="M25" s="2092"/>
      <c r="N25" s="2092"/>
      <c r="O25" s="2092"/>
      <c r="P25" s="2092"/>
      <c r="Q25" s="2092"/>
      <c r="R25" s="2092"/>
      <c r="S25" s="2093"/>
      <c r="T25" s="2154" t="s">
        <v>2060</v>
      </c>
      <c r="U25" s="2155"/>
      <c r="V25" s="2155"/>
      <c r="W25" s="2155"/>
      <c r="X25" s="2155"/>
      <c r="Y25" s="2155"/>
      <c r="Z25" s="2155"/>
      <c r="AA25" s="215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78" t="s">
        <v>1494</v>
      </c>
      <c r="J27" s="2079"/>
      <c r="K27" s="2079"/>
      <c r="L27" s="2079"/>
      <c r="M27" s="2079"/>
      <c r="N27" s="2079"/>
      <c r="O27" s="2079"/>
      <c r="P27" s="2079"/>
      <c r="Q27" s="2079"/>
      <c r="R27" s="2079"/>
      <c r="S27" s="208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2061</v>
      </c>
      <c r="M29" s="40" t="s">
        <v>99</v>
      </c>
      <c r="N29" s="32" t="s">
        <v>1506</v>
      </c>
      <c r="O29" s="32"/>
      <c r="P29" s="32"/>
      <c r="Q29" s="32"/>
      <c r="R29" s="32"/>
      <c r="S29" s="120"/>
      <c r="T29" s="6"/>
      <c r="U29" s="6"/>
      <c r="V29" s="6"/>
      <c r="W29" s="6"/>
      <c r="X29" s="6"/>
      <c r="Y29" s="6"/>
      <c r="Z29" s="6"/>
      <c r="AA29" s="129"/>
    </row>
    <row r="30" spans="1:27" ht="13.5" customHeight="1" x14ac:dyDescent="0.2">
      <c r="A30" s="149"/>
      <c r="B30" s="133" t="s">
        <v>2061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2061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2061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9"/>
      <c r="Q35" s="2068"/>
      <c r="R35" s="206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03" t="s">
        <v>2068</v>
      </c>
      <c r="B38" s="2104"/>
      <c r="C38" s="2104"/>
      <c r="D38" s="2104"/>
      <c r="E38" s="2104"/>
      <c r="F38" s="2068"/>
      <c r="G38" s="2068"/>
      <c r="H38" s="2069"/>
      <c r="I38" s="2096"/>
      <c r="J38" s="2097"/>
      <c r="K38" s="2097"/>
      <c r="L38" s="2097"/>
      <c r="M38" s="2097"/>
      <c r="N38" s="2097"/>
      <c r="O38" s="2097"/>
      <c r="P38" s="2098"/>
      <c r="Q38" s="2098"/>
      <c r="R38" s="2098"/>
      <c r="S38" s="2099"/>
      <c r="T38" s="2140"/>
      <c r="U38" s="2097"/>
      <c r="V38" s="2097"/>
      <c r="W38" s="2097"/>
      <c r="X38" s="2098"/>
      <c r="Y38" s="2098"/>
      <c r="Z38" s="2098"/>
      <c r="AA38" s="2099"/>
    </row>
    <row r="39" spans="1:27" ht="12" customHeight="1" x14ac:dyDescent="0.2">
      <c r="A39" s="2073" t="s">
        <v>528</v>
      </c>
      <c r="B39" s="2074"/>
      <c r="C39" s="69"/>
      <c r="D39" s="66"/>
      <c r="E39" s="66"/>
      <c r="F39" s="76"/>
      <c r="G39" s="66"/>
      <c r="H39" s="53"/>
      <c r="I39" s="2073" t="s">
        <v>528</v>
      </c>
      <c r="J39" s="2074"/>
      <c r="K39" s="2074"/>
      <c r="L39" s="2074"/>
      <c r="M39" s="2074"/>
      <c r="N39" s="64"/>
      <c r="O39" s="69"/>
      <c r="P39" s="69"/>
      <c r="Q39" s="75"/>
      <c r="R39" s="69"/>
      <c r="S39" s="53"/>
      <c r="T39" s="69" t="s">
        <v>528</v>
      </c>
      <c r="U39" s="48"/>
      <c r="V39" s="69"/>
      <c r="W39" s="47"/>
      <c r="X39" s="75"/>
      <c r="Y39" s="43"/>
      <c r="Z39" s="43"/>
      <c r="AA39" s="44"/>
    </row>
    <row r="40" spans="1:27" ht="13.5" customHeight="1" x14ac:dyDescent="0.2">
      <c r="A40" s="2081" t="s">
        <v>2067</v>
      </c>
      <c r="B40" s="2082"/>
      <c r="C40" s="2083"/>
      <c r="D40" s="2083"/>
      <c r="E40" s="2083"/>
      <c r="F40" s="2084"/>
      <c r="G40" s="2084"/>
      <c r="H40" s="2085"/>
      <c r="I40" s="2106"/>
      <c r="J40" s="2107"/>
      <c r="K40" s="2107"/>
      <c r="L40" s="2107"/>
      <c r="M40" s="2107"/>
      <c r="N40" s="2107"/>
      <c r="O40" s="2107"/>
      <c r="P40" s="2107"/>
      <c r="Q40" s="2107"/>
      <c r="R40" s="2107"/>
      <c r="S40" s="2108"/>
      <c r="T40" s="2106"/>
      <c r="U40" s="2160"/>
      <c r="V40" s="2107"/>
      <c r="W40" s="2107"/>
      <c r="X40" s="2107"/>
      <c r="Y40" s="2107"/>
      <c r="Z40" s="2107"/>
      <c r="AA40" s="210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95" t="s">
        <v>2069</v>
      </c>
      <c r="B42" s="2087"/>
      <c r="C42" s="2088"/>
      <c r="D42" s="2086" t="s">
        <v>2070</v>
      </c>
      <c r="E42" s="2087"/>
      <c r="F42" s="2087"/>
      <c r="G42" s="2087"/>
      <c r="H42" s="2088"/>
      <c r="I42" s="2070"/>
      <c r="J42" s="2071"/>
      <c r="K42" s="2071"/>
      <c r="L42" s="2071"/>
      <c r="M42" s="2071"/>
      <c r="N42" s="2071"/>
      <c r="O42" s="2072"/>
      <c r="P42" s="2105"/>
      <c r="Q42" s="2071"/>
      <c r="R42" s="2071"/>
      <c r="S42" s="2072"/>
      <c r="T42" s="2070"/>
      <c r="U42" s="2071"/>
      <c r="V42" s="2071"/>
      <c r="W42" s="2072"/>
      <c r="X42" s="2105"/>
      <c r="Y42" s="2071"/>
      <c r="Z42" s="2071"/>
      <c r="AA42" s="207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00"/>
      <c r="B44" s="2101"/>
      <c r="C44" s="2101"/>
      <c r="D44" s="2101"/>
      <c r="E44" s="2101"/>
      <c r="F44" s="2101"/>
      <c r="G44" s="2101"/>
      <c r="H44" s="2102"/>
      <c r="I44" s="2075"/>
      <c r="J44" s="2076"/>
      <c r="K44" s="2076"/>
      <c r="L44" s="2076"/>
      <c r="M44" s="2076"/>
      <c r="N44" s="2076"/>
      <c r="O44" s="2076"/>
      <c r="P44" s="2076"/>
      <c r="Q44" s="2076"/>
      <c r="R44" s="2076"/>
      <c r="S44" s="2077"/>
      <c r="T44" s="2075"/>
      <c r="U44" s="2094"/>
      <c r="V44" s="2094"/>
      <c r="W44" s="2094"/>
      <c r="X44" s="2094"/>
      <c r="Y44" s="2094"/>
      <c r="Z44" s="2076"/>
      <c r="AA44" s="207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rintOptions horizontalCentered="1"/>
  <pageMargins left="0.5" right="0.5" top="1" bottom="0.75" header="1" footer="0.25"/>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36"/>
  <sheetViews>
    <sheetView showGridLines="0" defaultGridColor="0" colorId="8" zoomScale="110" zoomScaleNormal="110" workbookViewId="0">
      <selection activeCell="A20" sqref="A20"/>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1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19"/>
      <c r="B3" s="1294"/>
      <c r="C3" s="1295"/>
      <c r="D3" s="1296" t="s">
        <v>254</v>
      </c>
      <c r="E3" s="1295"/>
      <c r="F3" s="1296" t="s">
        <v>255</v>
      </c>
    </row>
    <row r="4" spans="1:8" ht="13.7" customHeight="1" x14ac:dyDescent="0.2">
      <c r="A4" s="579" t="s">
        <v>1145</v>
      </c>
      <c r="B4" s="1721">
        <f>'Revenues 9-14'!C5</f>
        <v>866878</v>
      </c>
      <c r="C4" s="1722"/>
      <c r="D4" s="1723">
        <f>B4-C4</f>
        <v>866878</v>
      </c>
      <c r="E4" s="1722">
        <v>890002</v>
      </c>
      <c r="F4" s="1723">
        <f>E4-C4</f>
        <v>890002</v>
      </c>
    </row>
    <row r="5" spans="1:8" ht="13.7" customHeight="1" x14ac:dyDescent="0.2">
      <c r="A5" s="579" t="s">
        <v>865</v>
      </c>
      <c r="B5" s="1724">
        <f>'Revenues 9-14'!D5</f>
        <v>178009</v>
      </c>
      <c r="C5" s="1664"/>
      <c r="D5" s="1725">
        <f t="shared" ref="D5:D18" si="0">B5-C5</f>
        <v>178009</v>
      </c>
      <c r="E5" s="1664">
        <v>185000</v>
      </c>
      <c r="F5" s="1725">
        <f>E5-C5</f>
        <v>185000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37005</v>
      </c>
      <c r="C7" s="1664"/>
      <c r="D7" s="1725">
        <f t="shared" si="0"/>
        <v>37005</v>
      </c>
      <c r="E7" s="1664">
        <v>40002</v>
      </c>
      <c r="F7" s="1725">
        <f t="shared" si="1"/>
        <v>40002</v>
      </c>
    </row>
    <row r="8" spans="1:8" ht="13.7" customHeight="1" x14ac:dyDescent="0.2">
      <c r="A8" s="579" t="s">
        <v>1169</v>
      </c>
      <c r="B8" s="1724">
        <f>'Revenues 9-14'!G5</f>
        <v>23005</v>
      </c>
      <c r="C8" s="1664"/>
      <c r="D8" s="1725">
        <f t="shared" si="0"/>
        <v>23005</v>
      </c>
      <c r="E8" s="1664">
        <v>23002</v>
      </c>
      <c r="F8" s="1725">
        <f t="shared" si="1"/>
        <v>23002</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14505</v>
      </c>
      <c r="C10" s="1664"/>
      <c r="D10" s="1725">
        <f t="shared" si="0"/>
        <v>14505</v>
      </c>
      <c r="E10" s="1664">
        <v>15002</v>
      </c>
      <c r="F10" s="1725">
        <f t="shared" si="1"/>
        <v>15002</v>
      </c>
    </row>
    <row r="11" spans="1:8" x14ac:dyDescent="0.2">
      <c r="A11" s="579" t="s">
        <v>406</v>
      </c>
      <c r="B11" s="1724">
        <f>'Revenues 9-14'!J5</f>
        <v>27001</v>
      </c>
      <c r="C11" s="1664"/>
      <c r="D11" s="1725">
        <f t="shared" si="0"/>
        <v>27001</v>
      </c>
      <c r="E11" s="1664">
        <v>25003</v>
      </c>
      <c r="F11" s="1725">
        <f t="shared" si="1"/>
        <v>25003</v>
      </c>
    </row>
    <row r="12" spans="1:8" ht="13.7" customHeight="1" x14ac:dyDescent="0.2">
      <c r="A12" s="579" t="s">
        <v>156</v>
      </c>
      <c r="B12" s="1724">
        <f>'Revenues 9-14'!K5</f>
        <v>14004</v>
      </c>
      <c r="C12" s="1664"/>
      <c r="D12" s="1725">
        <f t="shared" si="0"/>
        <v>14004</v>
      </c>
      <c r="E12" s="1664">
        <v>14001</v>
      </c>
      <c r="F12" s="1725">
        <f t="shared" si="1"/>
        <v>14001</v>
      </c>
    </row>
    <row r="13" spans="1:8" ht="13.7" customHeight="1" x14ac:dyDescent="0.2">
      <c r="A13" s="579" t="s">
        <v>930</v>
      </c>
      <c r="B13" s="1724">
        <f>SUM('Revenues 9-14'!C6:D6)</f>
        <v>9001</v>
      </c>
      <c r="C13" s="1664"/>
      <c r="D13" s="1725">
        <f t="shared" si="0"/>
        <v>9001</v>
      </c>
      <c r="E13" s="1664">
        <v>9000</v>
      </c>
      <c r="F13" s="1725">
        <f t="shared" si="1"/>
        <v>9000</v>
      </c>
    </row>
    <row r="14" spans="1:8" ht="13.7" customHeight="1" x14ac:dyDescent="0.2">
      <c r="A14" s="579" t="s">
        <v>407</v>
      </c>
      <c r="B14" s="1724">
        <f>SUM('Revenues 9-14'!C7:D7,'Revenues 9-14'!F7:H7)</f>
        <v>5002</v>
      </c>
      <c r="C14" s="1664"/>
      <c r="D14" s="1725">
        <f t="shared" si="0"/>
        <v>5002</v>
      </c>
      <c r="E14" s="1664">
        <v>5001</v>
      </c>
      <c r="F14" s="1725">
        <f t="shared" si="1"/>
        <v>5001</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2002</v>
      </c>
      <c r="C16" s="1664"/>
      <c r="D16" s="1725">
        <f t="shared" si="0"/>
        <v>2002</v>
      </c>
      <c r="E16" s="1664">
        <v>2002</v>
      </c>
      <c r="F16" s="1725">
        <f t="shared" si="1"/>
        <v>2002</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v>-6080</v>
      </c>
      <c r="F18" s="1725">
        <f t="shared" si="1"/>
        <v>-6080</v>
      </c>
    </row>
    <row r="19" spans="1:6" ht="13.7" customHeight="1" thickBot="1" x14ac:dyDescent="0.25">
      <c r="A19" s="1432" t="s">
        <v>1151</v>
      </c>
      <c r="B19" s="1726">
        <f>SUM(B4:B18)</f>
        <v>1176412</v>
      </c>
      <c r="C19" s="1726">
        <f>SUM(C4:C18)</f>
        <v>0</v>
      </c>
      <c r="D19" s="1726">
        <f>SUM(D4:D18)</f>
        <v>1176412</v>
      </c>
      <c r="E19" s="1726">
        <f>SUM(E4:E18)</f>
        <v>1201935</v>
      </c>
      <c r="F19" s="1726">
        <f>SUM(F4:F18)</f>
        <v>1201935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orizontalCentered="1" headings="1" gridLinesSet="0"/>
  <pageMargins left="0.5" right="0.5" top="1.25" bottom="0.75" header="1" footer="0.25"/>
  <pageSetup scale="97" firstPageNumber="23" orientation="landscape" useFirstPageNumber="1" r:id="rId1"/>
  <headerFooter alignWithMargins="0">
    <oddHeader>&amp;L&amp;8Page &amp;P&amp;R&amp;8Page &amp;P</oddHeader>
    <oddFooter>&amp;L&amp;8Print Date: &amp;D
&amp;F&amp;CReference should be made to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F53" sqref="F53:G5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40" t="s">
        <v>625</v>
      </c>
      <c r="B1" s="2338"/>
      <c r="C1" s="585"/>
    </row>
    <row r="2" spans="1:7" ht="33.75" x14ac:dyDescent="0.2">
      <c r="A2" s="2345" t="s">
        <v>1779</v>
      </c>
      <c r="B2" s="234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47" t="s">
        <v>1104</v>
      </c>
      <c r="B3" s="2348"/>
      <c r="C3" s="2341"/>
      <c r="D3" s="2342"/>
      <c r="E3" s="2342"/>
      <c r="F3" s="2343"/>
    </row>
    <row r="4" spans="1:7" ht="12.75" customHeight="1" thickBot="1" x14ac:dyDescent="0.25">
      <c r="A4" s="2335" t="s">
        <v>626</v>
      </c>
      <c r="B4" s="2336"/>
      <c r="C4" s="1656"/>
      <c r="D4" s="1656"/>
      <c r="E4" s="1656"/>
      <c r="F4" s="1732">
        <f>SUM(C4+D4)-E4</f>
        <v>0</v>
      </c>
    </row>
    <row r="5" spans="1:7" ht="15.75" customHeight="1" thickTop="1" x14ac:dyDescent="0.2">
      <c r="A5" s="2339" t="s">
        <v>1101</v>
      </c>
      <c r="B5" s="2334"/>
      <c r="C5" s="2328"/>
      <c r="D5" s="2329"/>
      <c r="E5" s="2329"/>
      <c r="F5" s="2330"/>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31" t="s">
        <v>627</v>
      </c>
      <c r="B15" s="2332"/>
      <c r="C15" s="1732">
        <f>SUM(C6:C14)</f>
        <v>0</v>
      </c>
      <c r="D15" s="1732">
        <f>SUM(D6:D14)</f>
        <v>0</v>
      </c>
      <c r="E15" s="1732">
        <f>SUM(E6:E14)</f>
        <v>0</v>
      </c>
      <c r="F15" s="1732">
        <f>SUM(F6:F14)</f>
        <v>0</v>
      </c>
      <c r="G15" s="473"/>
    </row>
    <row r="16" spans="1:7" s="197" customFormat="1" ht="15.75" customHeight="1" thickTop="1" x14ac:dyDescent="0.2">
      <c r="A16" s="2344" t="s">
        <v>1102</v>
      </c>
      <c r="B16" s="2334"/>
      <c r="C16" s="2328"/>
      <c r="D16" s="2329"/>
      <c r="E16" s="2329"/>
      <c r="F16" s="2330"/>
    </row>
    <row r="17" spans="1:11" ht="12.75" customHeight="1" thickBot="1" x14ac:dyDescent="0.25">
      <c r="A17" s="2326" t="s">
        <v>64</v>
      </c>
      <c r="B17" s="2327"/>
      <c r="C17" s="1733"/>
      <c r="D17" s="1664"/>
      <c r="E17" s="1733"/>
      <c r="F17" s="1732">
        <f>SUM(C17+D17)-E17</f>
        <v>0</v>
      </c>
    </row>
    <row r="18" spans="1:11" ht="12.75" customHeight="1" thickTop="1" thickBot="1" x14ac:dyDescent="0.25">
      <c r="A18" s="2326" t="s">
        <v>6</v>
      </c>
      <c r="B18" s="2327"/>
      <c r="C18" s="1733"/>
      <c r="D18" s="1664"/>
      <c r="E18" s="1733"/>
      <c r="F18" s="1732">
        <f>SUM(C18+D18)-E18</f>
        <v>0</v>
      </c>
    </row>
    <row r="19" spans="1:11" ht="12.75" customHeight="1" thickTop="1" thickBot="1" x14ac:dyDescent="0.25">
      <c r="A19" s="2326" t="s">
        <v>385</v>
      </c>
      <c r="B19" s="2327"/>
      <c r="C19" s="1733"/>
      <c r="D19" s="1664"/>
      <c r="E19" s="1733"/>
      <c r="F19" s="1732">
        <f>SUM(C19+D19)-E19</f>
        <v>0</v>
      </c>
    </row>
    <row r="20" spans="1:11" ht="12.75" customHeight="1" thickTop="1" thickBot="1" x14ac:dyDescent="0.25">
      <c r="A20" s="2326" t="s">
        <v>445</v>
      </c>
      <c r="B20" s="2327"/>
      <c r="C20" s="1733"/>
      <c r="D20" s="1664"/>
      <c r="E20" s="1733"/>
      <c r="F20" s="1732">
        <f>SUM(C20+D20)-E20</f>
        <v>0</v>
      </c>
    </row>
    <row r="21" spans="1:11" ht="14.25" thickTop="1" thickBot="1" x14ac:dyDescent="0.25">
      <c r="A21" s="2331" t="s">
        <v>628</v>
      </c>
      <c r="B21" s="2332"/>
      <c r="C21" s="1732">
        <f>SUM(C17:C20)</f>
        <v>0</v>
      </c>
      <c r="D21" s="1732">
        <f>SUM(D17:D20)</f>
        <v>0</v>
      </c>
      <c r="E21" s="1732">
        <f>SUM(E17:E20)</f>
        <v>0</v>
      </c>
      <c r="F21" s="1732">
        <f>SUM(F17:F20)</f>
        <v>0</v>
      </c>
      <c r="G21" s="473"/>
    </row>
    <row r="22" spans="1:11" ht="15.75" customHeight="1" thickTop="1" x14ac:dyDescent="0.2">
      <c r="A22" s="2333" t="s">
        <v>1103</v>
      </c>
      <c r="B22" s="2334"/>
      <c r="C22" s="2328"/>
      <c r="D22" s="2329"/>
      <c r="E22" s="2329"/>
      <c r="F22" s="2330"/>
    </row>
    <row r="23" spans="1:11" ht="13.5" thickBot="1" x14ac:dyDescent="0.25">
      <c r="A23" s="2335" t="s">
        <v>629</v>
      </c>
      <c r="B23" s="2336"/>
      <c r="C23" s="1656"/>
      <c r="D23" s="1656"/>
      <c r="E23" s="1656"/>
      <c r="F23" s="1732">
        <f>SUM(C23+D23)-E23</f>
        <v>0</v>
      </c>
      <c r="G23" s="473"/>
    </row>
    <row r="24" spans="1:11" ht="15.75" customHeight="1" thickTop="1" x14ac:dyDescent="0.2">
      <c r="A24" s="2333" t="s">
        <v>2006</v>
      </c>
      <c r="B24" s="2334"/>
      <c r="C24" s="2328"/>
      <c r="D24" s="2329"/>
      <c r="E24" s="2329"/>
      <c r="F24" s="2330"/>
    </row>
    <row r="25" spans="1:11" ht="13.5" thickBot="1" x14ac:dyDescent="0.25">
      <c r="A25" s="2335" t="s">
        <v>2007</v>
      </c>
      <c r="B25" s="2336"/>
      <c r="C25" s="1656"/>
      <c r="D25" s="1656"/>
      <c r="E25" s="1656"/>
      <c r="F25" s="1732">
        <f>SUM(C25+D25)-E25</f>
        <v>0</v>
      </c>
      <c r="G25" s="473"/>
    </row>
    <row r="26" spans="1:11" ht="15.75" customHeight="1" thickTop="1" x14ac:dyDescent="0.2">
      <c r="A26" s="2339" t="s">
        <v>652</v>
      </c>
      <c r="B26" s="2334"/>
      <c r="C26" s="589"/>
      <c r="D26" s="589"/>
      <c r="E26" s="589"/>
      <c r="F26" s="590"/>
    </row>
    <row r="27" spans="1:11" ht="13.5" thickBot="1" x14ac:dyDescent="0.25">
      <c r="A27" s="2331" t="s">
        <v>1061</v>
      </c>
      <c r="B27" s="2332"/>
      <c r="C27" s="1664"/>
      <c r="D27" s="1664"/>
      <c r="E27" s="1664"/>
      <c r="F27" s="1732">
        <f>SUM(C27+D27)-E27</f>
        <v>0</v>
      </c>
      <c r="G27" s="473"/>
    </row>
    <row r="28" spans="1:11" ht="7.5" customHeight="1" thickTop="1" x14ac:dyDescent="0.2">
      <c r="A28" s="489"/>
    </row>
    <row r="29" spans="1:11" ht="23.25" customHeight="1" x14ac:dyDescent="0.2">
      <c r="A29" s="2337" t="s">
        <v>578</v>
      </c>
      <c r="B29" s="2338"/>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2166</v>
      </c>
      <c r="B31" s="595">
        <v>41920</v>
      </c>
      <c r="C31" s="1734">
        <v>330000</v>
      </c>
      <c r="D31" s="1735">
        <v>7</v>
      </c>
      <c r="E31" s="1734">
        <v>274000</v>
      </c>
      <c r="F31" s="1734"/>
      <c r="G31" s="1734"/>
      <c r="H31" s="1734">
        <v>19000</v>
      </c>
      <c r="I31" s="1736">
        <f>((E31+F31)-H31)+G31</f>
        <v>255000</v>
      </c>
      <c r="J31" s="1734">
        <v>255000</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330000</v>
      </c>
      <c r="D49" s="1742"/>
      <c r="E49" s="1736">
        <f t="shared" ref="E49:J49" si="2">SUM(E31:E48)</f>
        <v>274000</v>
      </c>
      <c r="F49" s="1736">
        <f t="shared" si="2"/>
        <v>0</v>
      </c>
      <c r="G49" s="1736">
        <f t="shared" si="2"/>
        <v>0</v>
      </c>
      <c r="H49" s="1736">
        <f t="shared" si="2"/>
        <v>19000</v>
      </c>
      <c r="I49" s="1736">
        <f t="shared" si="2"/>
        <v>255000</v>
      </c>
      <c r="J49" s="1736">
        <f t="shared" si="2"/>
        <v>255000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20" t="s">
        <v>580</v>
      </c>
      <c r="C52" s="2321"/>
      <c r="D52" s="2321"/>
      <c r="E52" s="603" t="s">
        <v>840</v>
      </c>
      <c r="F52" s="2322" t="s">
        <v>2166</v>
      </c>
      <c r="G52" s="2323"/>
      <c r="H52" s="596"/>
      <c r="I52" s="596"/>
      <c r="J52" s="600"/>
    </row>
    <row r="53" spans="1:11" ht="11.25" customHeight="1" x14ac:dyDescent="0.2">
      <c r="A53" s="604" t="s">
        <v>907</v>
      </c>
      <c r="B53" s="605" t="s">
        <v>945</v>
      </c>
      <c r="C53" s="600"/>
      <c r="D53" s="597"/>
      <c r="E53" s="603" t="s">
        <v>494</v>
      </c>
      <c r="F53" s="2324"/>
      <c r="G53" s="2325"/>
      <c r="H53" s="596"/>
      <c r="I53" s="596"/>
      <c r="J53" s="600"/>
    </row>
    <row r="54" spans="1:11" ht="11.25" customHeight="1" x14ac:dyDescent="0.2">
      <c r="A54" s="606" t="s">
        <v>908</v>
      </c>
      <c r="B54" s="601" t="s">
        <v>946</v>
      </c>
      <c r="C54" s="600"/>
      <c r="D54" s="597"/>
      <c r="E54" s="603" t="s">
        <v>495</v>
      </c>
      <c r="F54" s="2324"/>
      <c r="G54" s="232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5" right="0.5" top="1.25" bottom="0.75" header="1" footer="0.25"/>
  <pageSetup scale="62" firstPageNumber="24" orientation="landscape" useFirstPageNumber="1" r:id="rId1"/>
  <headerFooter alignWithMargins="0">
    <oddHeader>&amp;L&amp;8Page &amp;P&amp;R&amp;8Page &amp;P</oddHeader>
    <oddFooter>&amp;L&amp;8Print Date: &amp;D 
&amp;F&amp;CReference should be made to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topLeftCell="A10" colorId="8" zoomScale="110" zoomScaleNormal="110" workbookViewId="0">
      <selection activeCell="J30" sqref="J3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9" t="s">
        <v>851</v>
      </c>
      <c r="B1" s="2350"/>
      <c r="C1" s="2350"/>
      <c r="D1" s="2350"/>
      <c r="E1" s="2350"/>
      <c r="F1" s="2350"/>
      <c r="G1" s="2351"/>
      <c r="H1" s="1298"/>
      <c r="I1" s="614"/>
      <c r="J1" s="400"/>
    </row>
    <row r="2" spans="1:11" ht="26.25" x14ac:dyDescent="0.2">
      <c r="A2" s="2368" t="s">
        <v>1658</v>
      </c>
      <c r="B2" s="2369"/>
      <c r="C2" s="2369"/>
      <c r="D2" s="2369"/>
      <c r="E2" s="2370"/>
      <c r="F2" s="615" t="s">
        <v>898</v>
      </c>
      <c r="G2" s="616" t="s">
        <v>1655</v>
      </c>
      <c r="H2" s="616" t="s">
        <v>407</v>
      </c>
      <c r="I2" s="616" t="s">
        <v>1148</v>
      </c>
      <c r="J2" s="616" t="s">
        <v>1789</v>
      </c>
      <c r="K2" s="616" t="s">
        <v>137</v>
      </c>
    </row>
    <row r="3" spans="1:11" x14ac:dyDescent="0.2">
      <c r="A3" s="2371" t="str">
        <f>"Cash Basis Fund Balance as of July 1, "&amp;'AFR20'!E2-1</f>
        <v>Cash Basis Fund Balance as of July 1, 2019</v>
      </c>
      <c r="B3" s="2372"/>
      <c r="C3" s="2372"/>
      <c r="D3" s="2372"/>
      <c r="E3" s="2373"/>
      <c r="F3" s="617"/>
      <c r="G3" s="1744"/>
      <c r="H3" s="1744"/>
      <c r="I3" s="1744"/>
      <c r="J3" s="1745">
        <f>109194-31666</f>
        <v>77528</v>
      </c>
      <c r="K3" s="1745"/>
    </row>
    <row r="4" spans="1:11" x14ac:dyDescent="0.2">
      <c r="A4" s="2374" t="s">
        <v>366</v>
      </c>
      <c r="B4" s="2375"/>
      <c r="C4" s="2375"/>
      <c r="D4" s="2375"/>
      <c r="E4" s="2321"/>
      <c r="F4" s="620"/>
      <c r="G4" s="1746"/>
      <c r="H4" s="1747"/>
      <c r="I4" s="1746"/>
      <c r="J4" s="1748"/>
      <c r="K4" s="1748"/>
    </row>
    <row r="5" spans="1:11" x14ac:dyDescent="0.2">
      <c r="A5" s="2352" t="s">
        <v>1060</v>
      </c>
      <c r="B5" s="2353"/>
      <c r="C5" s="2353"/>
      <c r="D5" s="2353"/>
      <c r="E5" s="2354"/>
      <c r="F5" s="622" t="s">
        <v>843</v>
      </c>
      <c r="G5" s="1749"/>
      <c r="H5" s="1744">
        <v>5002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55750</v>
      </c>
      <c r="K8" s="1748"/>
    </row>
    <row r="9" spans="1:11" x14ac:dyDescent="0.2">
      <c r="A9" s="629" t="s">
        <v>137</v>
      </c>
      <c r="B9" s="630"/>
      <c r="C9" s="630"/>
      <c r="D9" s="630"/>
      <c r="E9" s="631"/>
      <c r="F9" s="628" t="s">
        <v>848</v>
      </c>
      <c r="G9" s="1753"/>
      <c r="H9" s="1749"/>
      <c r="I9" s="1749"/>
      <c r="J9" s="1752"/>
      <c r="K9" s="1745"/>
    </row>
    <row r="10" spans="1:11" x14ac:dyDescent="0.2">
      <c r="A10" s="2352" t="s">
        <v>1790</v>
      </c>
      <c r="B10" s="2353"/>
      <c r="C10" s="2353"/>
      <c r="D10" s="2353"/>
      <c r="E10" s="2355"/>
      <c r="F10" s="633" t="s">
        <v>857</v>
      </c>
      <c r="G10" s="1753"/>
      <c r="H10" s="1754"/>
      <c r="I10" s="1744"/>
      <c r="J10" s="1745"/>
      <c r="K10" s="1745"/>
    </row>
    <row r="11" spans="1:11" x14ac:dyDescent="0.2">
      <c r="A11" s="2352" t="s">
        <v>159</v>
      </c>
      <c r="B11" s="2353"/>
      <c r="C11" s="2353"/>
      <c r="D11" s="2353"/>
      <c r="E11" s="2354"/>
      <c r="F11" s="622" t="s">
        <v>847</v>
      </c>
      <c r="G11" s="1749"/>
      <c r="H11" s="1744"/>
      <c r="I11" s="1744"/>
      <c r="J11" s="1745"/>
      <c r="K11" s="1751"/>
    </row>
    <row r="12" spans="1:11" ht="13.5" thickBot="1" x14ac:dyDescent="0.25">
      <c r="A12" s="2379" t="s">
        <v>899</v>
      </c>
      <c r="B12" s="2380"/>
      <c r="C12" s="2380"/>
      <c r="D12" s="2380"/>
      <c r="E12" s="2381"/>
      <c r="F12" s="1433"/>
      <c r="G12" s="1755">
        <f>SUM(G5:G11)</f>
        <v>0</v>
      </c>
      <c r="H12" s="1755">
        <f>SUM(H5:H11)</f>
        <v>5002</v>
      </c>
      <c r="I12" s="1755">
        <f>SUM(I5:I11)</f>
        <v>0</v>
      </c>
      <c r="J12" s="1755">
        <f>SUM(J5:J11)</f>
        <v>55750</v>
      </c>
      <c r="K12" s="1755">
        <f>SUM(K5:K11)</f>
        <v>0</v>
      </c>
    </row>
    <row r="13" spans="1:11" ht="13.5" thickTop="1" x14ac:dyDescent="0.2">
      <c r="A13" s="2376" t="s">
        <v>367</v>
      </c>
      <c r="B13" s="2377"/>
      <c r="C13" s="2377"/>
      <c r="D13" s="2377"/>
      <c r="E13" s="2378"/>
      <c r="F13" s="634"/>
      <c r="G13" s="1756"/>
      <c r="H13" s="1757"/>
      <c r="I13" s="1758"/>
      <c r="J13" s="1758"/>
      <c r="K13" s="1758"/>
    </row>
    <row r="14" spans="1:11" x14ac:dyDescent="0.2">
      <c r="A14" s="2359" t="s">
        <v>453</v>
      </c>
      <c r="B14" s="2359"/>
      <c r="C14" s="2359"/>
      <c r="D14" s="2359"/>
      <c r="E14" s="2360"/>
      <c r="F14" s="635" t="s">
        <v>849</v>
      </c>
      <c r="G14" s="1753"/>
      <c r="H14" s="1744">
        <v>5002</v>
      </c>
      <c r="I14" s="1749"/>
      <c r="J14" s="1751"/>
      <c r="K14" s="1745"/>
    </row>
    <row r="15" spans="1:11" x14ac:dyDescent="0.2">
      <c r="A15" s="2353" t="s">
        <v>4</v>
      </c>
      <c r="B15" s="2353"/>
      <c r="C15" s="2353"/>
      <c r="D15" s="2353"/>
      <c r="E15" s="2354"/>
      <c r="F15" s="635" t="s">
        <v>850</v>
      </c>
      <c r="G15" s="1749"/>
      <c r="H15" s="1744"/>
      <c r="I15" s="1744"/>
      <c r="J15" s="1745">
        <v>6228</v>
      </c>
      <c r="K15" s="1745"/>
    </row>
    <row r="16" spans="1:11" x14ac:dyDescent="0.2">
      <c r="A16" s="2353" t="s">
        <v>295</v>
      </c>
      <c r="B16" s="2353"/>
      <c r="C16" s="2353"/>
      <c r="D16" s="2353"/>
      <c r="E16" s="2354"/>
      <c r="F16" s="635" t="s">
        <v>917</v>
      </c>
      <c r="G16" s="1750"/>
      <c r="H16" s="1746"/>
      <c r="I16" s="1746"/>
      <c r="J16" s="1748"/>
      <c r="K16" s="1748"/>
    </row>
    <row r="17" spans="1:15" x14ac:dyDescent="0.2">
      <c r="A17" s="2386" t="s">
        <v>929</v>
      </c>
      <c r="B17" s="2386"/>
      <c r="C17" s="2386"/>
      <c r="D17" s="2386"/>
      <c r="E17" s="2387"/>
      <c r="F17" s="636"/>
      <c r="G17" s="1759"/>
      <c r="H17" s="1760"/>
      <c r="I17" s="1760"/>
      <c r="J17" s="1761"/>
      <c r="K17" s="1762"/>
    </row>
    <row r="18" spans="1:15" x14ac:dyDescent="0.2">
      <c r="A18" s="2363" t="s">
        <v>365</v>
      </c>
      <c r="B18" s="2364"/>
      <c r="C18" s="2364"/>
      <c r="D18" s="2364"/>
      <c r="E18" s="2365"/>
      <c r="F18" s="635" t="s">
        <v>926</v>
      </c>
      <c r="G18" s="1753"/>
      <c r="H18" s="1753"/>
      <c r="I18" s="1753"/>
      <c r="J18" s="1745">
        <v>11988</v>
      </c>
      <c r="K18" s="1763"/>
    </row>
    <row r="19" spans="1:15" ht="21.75" customHeight="1" x14ac:dyDescent="0.2">
      <c r="A19" s="2361" t="s">
        <v>1786</v>
      </c>
      <c r="B19" s="2361"/>
      <c r="C19" s="2361"/>
      <c r="D19" s="2361"/>
      <c r="E19" s="2362"/>
      <c r="F19" s="635" t="s">
        <v>927</v>
      </c>
      <c r="G19" s="1753"/>
      <c r="H19" s="1753"/>
      <c r="I19" s="1753"/>
      <c r="J19" s="1745">
        <v>19000</v>
      </c>
      <c r="K19" s="1763"/>
    </row>
    <row r="20" spans="1:15" x14ac:dyDescent="0.2">
      <c r="A20" s="2363" t="s">
        <v>1791</v>
      </c>
      <c r="B20" s="2364"/>
      <c r="C20" s="2364"/>
      <c r="D20" s="2364"/>
      <c r="E20" s="2365"/>
      <c r="F20" s="635" t="s">
        <v>928</v>
      </c>
      <c r="G20" s="1753"/>
      <c r="H20" s="1753"/>
      <c r="I20" s="1753"/>
      <c r="J20" s="1745">
        <v>500</v>
      </c>
      <c r="K20" s="1763"/>
    </row>
    <row r="21" spans="1:15" ht="13.5" thickBot="1" x14ac:dyDescent="0.25">
      <c r="A21" s="2382" t="s">
        <v>633</v>
      </c>
      <c r="B21" s="2382"/>
      <c r="C21" s="2382"/>
      <c r="D21" s="2382"/>
      <c r="E21" s="2382"/>
      <c r="F21" s="1434"/>
      <c r="G21" s="1760"/>
      <c r="H21" s="1764"/>
      <c r="I21" s="1764"/>
      <c r="J21" s="1765">
        <f>SUM(J18:J20)</f>
        <v>31488</v>
      </c>
      <c r="K21" s="1761"/>
    </row>
    <row r="22" spans="1:15" ht="13.5" thickTop="1" x14ac:dyDescent="0.2">
      <c r="A22" s="2353" t="s">
        <v>1792</v>
      </c>
      <c r="B22" s="2353"/>
      <c r="C22" s="2353"/>
      <c r="D22" s="2353"/>
      <c r="E22" s="2354"/>
      <c r="F22" s="635" t="s">
        <v>857</v>
      </c>
      <c r="G22" s="1753"/>
      <c r="H22" s="1744"/>
      <c r="I22" s="1744"/>
      <c r="J22" s="1766"/>
      <c r="K22" s="1745"/>
    </row>
    <row r="23" spans="1:15" ht="13.5" thickBot="1" x14ac:dyDescent="0.25">
      <c r="A23" s="2383" t="s">
        <v>900</v>
      </c>
      <c r="B23" s="2382"/>
      <c r="C23" s="2382"/>
      <c r="D23" s="2382"/>
      <c r="E23" s="2382"/>
      <c r="F23" s="1436"/>
      <c r="G23" s="1755">
        <f>SUM(G14:G16,G21,G22)</f>
        <v>0</v>
      </c>
      <c r="H23" s="1755">
        <f>SUM(H14:H16,H21,H22)</f>
        <v>5002</v>
      </c>
      <c r="I23" s="1755">
        <f>SUM(I14:I16,I21,I22)</f>
        <v>0</v>
      </c>
      <c r="J23" s="1755">
        <f>SUM(J14:J16,J21,J22)</f>
        <v>37716</v>
      </c>
      <c r="K23" s="1755">
        <f>SUM(K14:K16,K21,K22)</f>
        <v>0</v>
      </c>
      <c r="M23" s="1846"/>
      <c r="N23" s="1846"/>
      <c r="O23" s="1846"/>
    </row>
    <row r="24" spans="1:15" ht="14.25" thickTop="1" thickBot="1" x14ac:dyDescent="0.25">
      <c r="A24" s="2384" t="str">
        <f>"Ending Cash Basis Fund Balance as of June 30, "&amp;'AFR20'!E2</f>
        <v>Ending Cash Basis Fund Balance as of June 30, 2020</v>
      </c>
      <c r="B24" s="2385"/>
      <c r="C24" s="2385"/>
      <c r="D24" s="2385"/>
      <c r="E24" s="2385"/>
      <c r="F24" s="1437"/>
      <c r="G24" s="1767">
        <f>SUM(G3,G12)-G23</f>
        <v>0</v>
      </c>
      <c r="H24" s="1767">
        <f>SUM(H3,H12)-H23</f>
        <v>0</v>
      </c>
      <c r="I24" s="1767">
        <f>SUM(I3,I12)-I23</f>
        <v>0</v>
      </c>
      <c r="J24" s="1767">
        <f>SUM(J3,J12)-J23</f>
        <v>95562</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95562</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6"/>
      <c r="I31" s="2357"/>
      <c r="J31" s="2357"/>
      <c r="K31" s="2357"/>
    </row>
    <row r="32" spans="1:15" x14ac:dyDescent="0.2">
      <c r="A32" s="649"/>
      <c r="B32" s="232"/>
      <c r="C32" s="232"/>
      <c r="D32" s="232"/>
      <c r="E32" s="645"/>
      <c r="F32" s="651" t="s">
        <v>537</v>
      </c>
      <c r="G32" s="618"/>
      <c r="H32" s="2358"/>
      <c r="I32" s="2357"/>
      <c r="J32" s="2357"/>
      <c r="K32" s="2357"/>
    </row>
    <row r="33" spans="1:11" ht="1.5" customHeight="1" x14ac:dyDescent="0.2">
      <c r="A33" s="652" t="s">
        <v>1159</v>
      </c>
      <c r="B33" s="341"/>
      <c r="C33" s="341"/>
      <c r="D33" s="341"/>
      <c r="E33" s="341"/>
      <c r="F33" s="341"/>
      <c r="G33" s="653"/>
      <c r="H33" s="2358"/>
      <c r="I33" s="2357"/>
      <c r="J33" s="2357"/>
      <c r="K33" s="235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53" t="s">
        <v>538</v>
      </c>
      <c r="B41" s="2366"/>
      <c r="C41" s="2366"/>
      <c r="D41" s="2366"/>
      <c r="E41" s="2366"/>
      <c r="F41" s="236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orizontalCentered="1" headings="1"/>
  <pageMargins left="0.5" right="0.5" top="1.35" bottom="0.8" header="1" footer="0.25"/>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topLeftCell="G7" colorId="8" zoomScale="110" zoomScaleNormal="110" workbookViewId="0">
      <selection activeCell="M23" sqref="M2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90" t="s">
        <v>1875</v>
      </c>
      <c r="B1" s="2391"/>
      <c r="C1" s="2392"/>
      <c r="D1" s="666"/>
      <c r="E1" s="667"/>
      <c r="F1" s="667"/>
      <c r="G1" s="668"/>
      <c r="H1" s="669"/>
      <c r="I1" s="670"/>
      <c r="J1" s="2388"/>
      <c r="K1" s="2389"/>
      <c r="L1" s="238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5000</v>
      </c>
      <c r="D5" s="1770"/>
      <c r="E5" s="1770"/>
      <c r="F5" s="1765">
        <f>(C5+D5)-E5</f>
        <v>5000</v>
      </c>
      <c r="G5" s="676"/>
      <c r="H5" s="680"/>
      <c r="I5" s="680"/>
      <c r="J5" s="680"/>
      <c r="K5" s="637"/>
      <c r="L5" s="1442">
        <f>F5-K5</f>
        <v>5000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2923142</v>
      </c>
      <c r="D8" s="1771">
        <v>9799</v>
      </c>
      <c r="E8" s="1771"/>
      <c r="F8" s="1765">
        <f>(C8+D8)-E8</f>
        <v>2932941</v>
      </c>
      <c r="G8" s="681">
        <v>50</v>
      </c>
      <c r="H8" s="619">
        <v>1921715</v>
      </c>
      <c r="I8" s="619">
        <v>58504</v>
      </c>
      <c r="J8" s="619"/>
      <c r="K8" s="1442">
        <f>(H8+I8)-J8</f>
        <v>1980219</v>
      </c>
      <c r="L8" s="1442">
        <f>F8-K8</f>
        <v>952722</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303454</v>
      </c>
      <c r="D10" s="1772"/>
      <c r="E10" s="1772"/>
      <c r="F10" s="1773">
        <f>(C10+D10)-E10</f>
        <v>303454</v>
      </c>
      <c r="G10" s="681">
        <v>20</v>
      </c>
      <c r="H10" s="683">
        <v>50176</v>
      </c>
      <c r="I10" s="683">
        <v>14953</v>
      </c>
      <c r="J10" s="683"/>
      <c r="K10" s="1442">
        <f>(H10+I10)-J10</f>
        <v>65129</v>
      </c>
      <c r="L10" s="1442">
        <f>F10-K10</f>
        <v>238325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799676</v>
      </c>
      <c r="D12" s="1771"/>
      <c r="E12" s="1771">
        <v>729266</v>
      </c>
      <c r="F12" s="1765">
        <f>(C12+D12)-E12</f>
        <v>70410</v>
      </c>
      <c r="G12" s="681">
        <v>10</v>
      </c>
      <c r="H12" s="619">
        <f>746445</f>
        <v>746445</v>
      </c>
      <c r="I12" s="619">
        <f>7041-2</f>
        <v>7039</v>
      </c>
      <c r="J12" s="619">
        <f>696273+6777</f>
        <v>703050</v>
      </c>
      <c r="K12" s="1442">
        <f>(H12+I12)-J12</f>
        <v>50434</v>
      </c>
      <c r="L12" s="1442">
        <f>F12-K12</f>
        <v>19976</v>
      </c>
    </row>
    <row r="13" spans="1:14" ht="14.25" thickTop="1" thickBot="1" x14ac:dyDescent="0.25">
      <c r="A13" s="684" t="s">
        <v>1112</v>
      </c>
      <c r="B13" s="679">
        <v>252</v>
      </c>
      <c r="C13" s="1771">
        <v>109032</v>
      </c>
      <c r="D13" s="1771">
        <f>38335+6164+7478</f>
        <v>51977</v>
      </c>
      <c r="E13" s="1771">
        <f>102354+1823+4855</f>
        <v>109032</v>
      </c>
      <c r="F13" s="1765">
        <f>(C13+D13)-E13</f>
        <v>51977</v>
      </c>
      <c r="G13" s="681">
        <v>5</v>
      </c>
      <c r="H13" s="619">
        <f>61514</f>
        <v>61514</v>
      </c>
      <c r="I13" s="619">
        <f>1262+1027+3834</f>
        <v>6123</v>
      </c>
      <c r="J13" s="619">
        <v>61514</v>
      </c>
      <c r="K13" s="1442">
        <f>(H13+I13)-J13</f>
        <v>6123</v>
      </c>
      <c r="L13" s="1442">
        <f>F13-K13</f>
        <v>45854</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4140304</v>
      </c>
      <c r="D16" s="1765">
        <f>SUM(D3,D5:D6,D8:D10,D12:D15)</f>
        <v>61776</v>
      </c>
      <c r="E16" s="1765">
        <f>SUM(E3,E5:E6,E8:E10,E12:E15)</f>
        <v>838298</v>
      </c>
      <c r="F16" s="1765">
        <f>SUM(F3,F5:F6,F8:F10,F12:F15)</f>
        <v>3363782</v>
      </c>
      <c r="G16" s="681"/>
      <c r="H16" s="1435">
        <f>SUM(H3,H6,H8:H10,H12:H14,)</f>
        <v>2779850</v>
      </c>
      <c r="I16" s="1435">
        <f>SUM(I3,I6,I8:I10,I12:I14,)</f>
        <v>86619</v>
      </c>
      <c r="J16" s="1435">
        <f>SUM(J3,J6,J8:J10,J12:J14,)</f>
        <v>764564</v>
      </c>
      <c r="K16" s="1435">
        <f>(H16+I16)-J16</f>
        <v>2101905</v>
      </c>
      <c r="L16" s="1435">
        <f>F16-K16</f>
        <v>1261877</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86619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orizontalCentered="1" headings="1"/>
  <pageMargins left="0.5" right="0.5" top="1.25" bottom="0.75" header="1" footer="0.25"/>
  <pageSetup scale="76" firstPageNumber="26" orientation="landscape" useFirstPageNumber="1" r:id="rId1"/>
  <headerFooter alignWithMargins="0">
    <oddHeader>&amp;L&amp;8Page &amp;P&amp;C &amp;R&amp;8Page &amp;P</oddHeader>
    <oddFooter>&amp;L&amp;8Print Date: &amp;D
&amp;F&amp;CReference should be made to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I77" sqref="I7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6" t="str">
        <f>"ESTIMATED OPERATING EXPENSE PER PUPIL (OEPP)/PER CAPITA TUITION CHARGE (PCTC) COMPUTATIONS ("&amp;'AFR20'!E2-1&amp;" - "&amp;'AFR20'!E2&amp;")"</f>
        <v>ESTIMATED OPERATING EXPENSE PER PUPIL (OEPP)/PER CAPITA TUITION CHARGE (PCTC) COMPUTATIONS (2019 - 2020)</v>
      </c>
      <c r="B1" s="2397"/>
      <c r="C1" s="2397"/>
      <c r="D1" s="2397"/>
      <c r="E1" s="2397"/>
      <c r="F1" s="2398"/>
      <c r="G1" s="691"/>
      <c r="I1" s="701"/>
    </row>
    <row r="2" spans="1:9" ht="15" customHeight="1" thickBot="1" x14ac:dyDescent="0.25">
      <c r="A2" s="2399" t="s">
        <v>474</v>
      </c>
      <c r="B2" s="2400"/>
      <c r="C2" s="2400"/>
      <c r="D2" s="2400"/>
      <c r="E2" s="2400"/>
      <c r="F2" s="240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02"/>
      <c r="B5" s="2403"/>
      <c r="C5" s="2403"/>
      <c r="D5" s="2403"/>
      <c r="E5" s="2403"/>
      <c r="F5" s="2403"/>
    </row>
    <row r="6" spans="1:9" ht="13.5" customHeight="1" thickBot="1" x14ac:dyDescent="0.25">
      <c r="A6" s="2393" t="s">
        <v>1095</v>
      </c>
      <c r="B6" s="2394"/>
      <c r="C6" s="2394"/>
      <c r="D6" s="2394"/>
      <c r="E6" s="2394"/>
      <c r="F6" s="239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1059808</v>
      </c>
      <c r="G8" s="701"/>
    </row>
    <row r="9" spans="1:9" x14ac:dyDescent="0.2">
      <c r="A9" s="705" t="s">
        <v>457</v>
      </c>
      <c r="B9" s="706" t="s">
        <v>1848</v>
      </c>
      <c r="C9" s="707"/>
      <c r="D9" s="705" t="s">
        <v>498</v>
      </c>
      <c r="E9" s="704"/>
      <c r="F9" s="1775">
        <f>'Expenditures 15-22'!K151</f>
        <v>127614</v>
      </c>
      <c r="G9" s="708"/>
    </row>
    <row r="10" spans="1:9" x14ac:dyDescent="0.2">
      <c r="A10" s="705" t="s">
        <v>496</v>
      </c>
      <c r="B10" s="706" t="s">
        <v>1849</v>
      </c>
      <c r="C10" s="707"/>
      <c r="D10" s="705" t="s">
        <v>498</v>
      </c>
      <c r="E10" s="704"/>
      <c r="F10" s="1775">
        <f>'Expenditures 15-22'!K174</f>
        <v>31488</v>
      </c>
      <c r="G10" s="708"/>
    </row>
    <row r="11" spans="1:9" x14ac:dyDescent="0.2">
      <c r="A11" s="705" t="s">
        <v>458</v>
      </c>
      <c r="B11" s="706" t="s">
        <v>1850</v>
      </c>
      <c r="C11" s="707"/>
      <c r="D11" s="705" t="s">
        <v>498</v>
      </c>
      <c r="E11" s="704"/>
      <c r="F11" s="1775">
        <f>'Expenditures 15-22'!K210</f>
        <v>118002</v>
      </c>
      <c r="G11" s="708"/>
    </row>
    <row r="12" spans="1:9" x14ac:dyDescent="0.2">
      <c r="A12" s="705" t="s">
        <v>459</v>
      </c>
      <c r="B12" s="706" t="s">
        <v>1851</v>
      </c>
      <c r="C12" s="707"/>
      <c r="D12" s="705" t="s">
        <v>498</v>
      </c>
      <c r="E12" s="704"/>
      <c r="F12" s="1775">
        <f>'Expenditures 15-22'!K295</f>
        <v>33456</v>
      </c>
      <c r="G12" s="708"/>
    </row>
    <row r="13" spans="1:9" x14ac:dyDescent="0.2">
      <c r="A13" s="705" t="s">
        <v>106</v>
      </c>
      <c r="B13" s="706" t="s">
        <v>1852</v>
      </c>
      <c r="C13" s="707"/>
      <c r="D13" s="705" t="s">
        <v>498</v>
      </c>
      <c r="E13" s="704"/>
      <c r="F13" s="1775">
        <f>'Expenditures 15-22'!K342</f>
        <v>32934</v>
      </c>
      <c r="G13" s="709"/>
    </row>
    <row r="14" spans="1:9" ht="12" customHeight="1" thickBot="1" x14ac:dyDescent="0.25">
      <c r="A14" s="1443"/>
      <c r="B14" s="1444"/>
      <c r="C14" s="1445"/>
      <c r="D14" s="1446" t="s">
        <v>498</v>
      </c>
      <c r="E14" s="1447" t="s">
        <v>952</v>
      </c>
      <c r="F14" s="1776">
        <f>SUM(F8:F13)</f>
        <v>1403302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79446</v>
      </c>
      <c r="G53" s="701"/>
    </row>
    <row r="54" spans="1:7" x14ac:dyDescent="0.2">
      <c r="A54" s="705" t="s">
        <v>456</v>
      </c>
      <c r="B54" s="705" t="s">
        <v>1459</v>
      </c>
      <c r="C54" s="724" t="s">
        <v>975</v>
      </c>
      <c r="D54" s="720" t="s">
        <v>1086</v>
      </c>
      <c r="E54" s="704"/>
      <c r="F54" s="1782">
        <f>'Expenditures 15-22'!G114</f>
        <v>5940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17501</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19000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38335</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160222</v>
      </c>
      <c r="G77" s="701"/>
    </row>
    <row r="78" spans="1:9" s="728" customFormat="1" ht="12" customHeight="1" thickTop="1" thickBot="1" x14ac:dyDescent="0.25">
      <c r="A78" s="1450"/>
      <c r="B78" s="1448"/>
      <c r="C78" s="1445"/>
      <c r="D78" s="1449" t="s">
        <v>2012</v>
      </c>
      <c r="E78" s="1447"/>
      <c r="F78" s="1788">
        <f>(F14-F77)</f>
        <v>1243080</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75.599999999999994</v>
      </c>
      <c r="G79" s="733"/>
      <c r="H79" s="705"/>
      <c r="I79" s="705"/>
    </row>
    <row r="80" spans="1:9" s="728" customFormat="1" ht="12" customHeight="1" thickBot="1" x14ac:dyDescent="0.25">
      <c r="A80" s="1452"/>
      <c r="B80" s="1448"/>
      <c r="C80" s="1445"/>
      <c r="D80" s="1449" t="s">
        <v>2013</v>
      </c>
      <c r="E80" s="1447" t="s">
        <v>952</v>
      </c>
      <c r="F80" s="1790">
        <f>IF(F79&gt;0,F78/F79," Complete Line 79")</f>
        <v>16442.857142857145</v>
      </c>
      <c r="G80" s="705"/>
    </row>
    <row r="81" spans="1:7" s="728" customFormat="1" ht="8.25" customHeight="1" thickTop="1" x14ac:dyDescent="0.2">
      <c r="A81" s="734"/>
      <c r="B81" s="705"/>
      <c r="C81" s="707"/>
      <c r="D81" s="735"/>
      <c r="E81" s="704"/>
      <c r="F81" s="1791"/>
      <c r="G81" s="705"/>
    </row>
    <row r="82" spans="1:7" s="728" customFormat="1" ht="12" thickBot="1" x14ac:dyDescent="0.25">
      <c r="A82" s="2393" t="s">
        <v>1096</v>
      </c>
      <c r="B82" s="2394"/>
      <c r="C82" s="2394"/>
      <c r="D82" s="2394"/>
      <c r="E82" s="2394"/>
      <c r="F82" s="239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308</v>
      </c>
      <c r="G95" s="745"/>
    </row>
    <row r="96" spans="1:7" x14ac:dyDescent="0.2">
      <c r="A96" s="741" t="s">
        <v>139</v>
      </c>
      <c r="B96" s="741" t="s">
        <v>174</v>
      </c>
      <c r="C96" s="743">
        <v>1700</v>
      </c>
      <c r="D96" s="751" t="str">
        <f>'Revenues 9-14'!A82</f>
        <v>Total District/School Activity Income</v>
      </c>
      <c r="E96" s="739"/>
      <c r="F96" s="1793">
        <f>SUM('Revenues 9-14'!C82,'Revenues 9-14'!D82)</f>
        <v>1080</v>
      </c>
      <c r="G96" s="745"/>
    </row>
    <row r="97" spans="1:7" x14ac:dyDescent="0.2">
      <c r="A97" s="741" t="s">
        <v>456</v>
      </c>
      <c r="B97" s="741" t="s">
        <v>175</v>
      </c>
      <c r="C97" s="743">
        <f>'Revenues 9-14'!B84</f>
        <v>1811</v>
      </c>
      <c r="D97" s="744" t="str">
        <f>'Revenues 9-14'!A84</f>
        <v>Rentals - Regular Textbooks</v>
      </c>
      <c r="E97" s="739"/>
      <c r="F97" s="1793">
        <f>'Revenues 9-14'!C84</f>
        <v>2010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29034</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511</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37614</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32500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11756</v>
      </c>
      <c r="G125" s="763"/>
    </row>
    <row r="126" spans="1:7" x14ac:dyDescent="0.2">
      <c r="A126" s="760" t="s">
        <v>659</v>
      </c>
      <c r="B126" s="760" t="s">
        <v>1930</v>
      </c>
      <c r="C126" s="765">
        <v>4200</v>
      </c>
      <c r="D126" s="762" t="str">
        <f>'Revenues 9-14'!A198</f>
        <v>Total Food Service</v>
      </c>
      <c r="E126" s="739"/>
      <c r="F126" s="1793">
        <f>SUM('Revenues 9-14'!C198,'Revenues 9-14'!G198)</f>
        <v>27294</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19056</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10000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30579</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2574</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204316</v>
      </c>
    </row>
    <row r="176" spans="1:7" ht="12" customHeight="1" x14ac:dyDescent="0.2">
      <c r="A176" s="1443"/>
      <c r="B176" s="1453"/>
      <c r="C176" s="1454"/>
      <c r="D176" s="1455" t="s">
        <v>2014</v>
      </c>
      <c r="E176" s="1456"/>
      <c r="F176" s="1793">
        <f>'PCTC-OEPP 27-28'!F78-F175</f>
        <v>1038764</v>
      </c>
    </row>
    <row r="177" spans="1:9" ht="12" customHeight="1" x14ac:dyDescent="0.2">
      <c r="A177" s="1443"/>
      <c r="B177" s="1453"/>
      <c r="C177" s="1454"/>
      <c r="D177" s="1455" t="s">
        <v>1794</v>
      </c>
      <c r="E177" s="1456"/>
      <c r="F177" s="1793">
        <f>'Cap Outlay Deprec 26'!I18</f>
        <v>86619</v>
      </c>
    </row>
    <row r="178" spans="1:9" ht="12" customHeight="1" x14ac:dyDescent="0.2">
      <c r="A178" s="1443"/>
      <c r="B178" s="1453"/>
      <c r="C178" s="1454"/>
      <c r="D178" s="1455" t="s">
        <v>2015</v>
      </c>
      <c r="E178" s="1456"/>
      <c r="F178" s="1793">
        <f>F176+F177</f>
        <v>1125383</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75.599999999999994</v>
      </c>
      <c r="G179" s="763"/>
      <c r="I179" s="701"/>
    </row>
    <row r="180" spans="1:9" ht="12" customHeight="1" thickBot="1" x14ac:dyDescent="0.25">
      <c r="A180" s="1443"/>
      <c r="B180" s="1457"/>
      <c r="C180" s="1454"/>
      <c r="D180" s="1455" t="s">
        <v>2017</v>
      </c>
      <c r="E180" s="1456" t="s">
        <v>1528</v>
      </c>
      <c r="F180" s="1798">
        <f>F178/F179</f>
        <v>14886.01851851852</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orizontalCentered="1" headings="1"/>
  <pageMargins left="0.75" right="0.25" top="0.75" bottom="0.75" header="0.5" footer="0.25"/>
  <pageSetup scale="68" firstPageNumber="27" fitToHeight="2" orientation="portrait" useFirstPageNumber="1" r:id="rId2"/>
  <headerFooter differentOddEven="1" alignWithMargins="0">
    <oddHeader>&amp;L&amp;8Page &amp;P&amp;C &amp;R&amp;8Page &amp;P</oddHeader>
    <oddFooter>&amp;L&amp;8Print Date: &amp;D
&amp;F&amp;CReference should be made to auditor's report regarding this information.
46</oddFooter>
    <evenFooter>&amp;CReference should be made to auditor's report regarding this information.
47</even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4"/>
  <sheetViews>
    <sheetView showGridLines="0" topLeftCell="A7" zoomScaleNormal="100" workbookViewId="0">
      <selection activeCell="C19" sqref="C19"/>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2" t="s">
        <v>2003</v>
      </c>
      <c r="D2" s="1863"/>
      <c r="E2" s="1863"/>
      <c r="F2" s="1863"/>
    </row>
    <row r="3" spans="1:6" ht="5.25" customHeight="1" x14ac:dyDescent="0.25">
      <c r="A3" s="1865"/>
      <c r="B3" s="1866"/>
      <c r="C3" s="1865"/>
      <c r="D3" s="1865"/>
      <c r="E3" s="1865"/>
      <c r="F3" s="1865"/>
    </row>
    <row r="4" spans="1:6" ht="18.75" customHeight="1" x14ac:dyDescent="0.25">
      <c r="A4" s="2407" t="s">
        <v>1795</v>
      </c>
      <c r="B4" s="2408"/>
      <c r="C4" s="2408"/>
      <c r="D4" s="2408"/>
      <c r="E4" s="2408"/>
      <c r="F4" s="2409"/>
    </row>
    <row r="5" spans="1:6" x14ac:dyDescent="0.25">
      <c r="A5" s="2410"/>
      <c r="B5" s="2411"/>
      <c r="C5" s="2411"/>
      <c r="D5" s="2411"/>
      <c r="E5" s="2411"/>
      <c r="F5" s="2412"/>
    </row>
    <row r="6" spans="1:6" ht="18.75" x14ac:dyDescent="0.25">
      <c r="A6" s="1867" t="s">
        <v>1796</v>
      </c>
      <c r="B6" s="1868"/>
      <c r="C6" s="1869"/>
      <c r="D6" s="1869"/>
      <c r="E6" s="1869"/>
      <c r="F6" s="1870"/>
    </row>
    <row r="7" spans="1:6" ht="47.25" customHeight="1" x14ac:dyDescent="0.25">
      <c r="A7" s="2413" t="s">
        <v>1985</v>
      </c>
      <c r="B7" s="2414"/>
      <c r="C7" s="2414"/>
      <c r="D7" s="2414"/>
      <c r="E7" s="2414"/>
      <c r="F7" s="2415"/>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416" t="s">
        <v>1981</v>
      </c>
      <c r="B10" s="2417"/>
      <c r="C10" s="2417"/>
      <c r="D10" s="2417"/>
      <c r="E10" s="2417"/>
      <c r="F10" s="2418"/>
    </row>
    <row r="11" spans="1:6" ht="33" customHeight="1" x14ac:dyDescent="0.25">
      <c r="A11" s="2413" t="s">
        <v>1986</v>
      </c>
      <c r="B11" s="2414"/>
      <c r="C11" s="2414"/>
      <c r="D11" s="2414"/>
      <c r="E11" s="2414"/>
      <c r="F11" s="2415"/>
    </row>
    <row r="12" spans="1:6" ht="15" customHeight="1" x14ac:dyDescent="0.25">
      <c r="A12" s="1873" t="s">
        <v>1982</v>
      </c>
      <c r="B12" s="1874"/>
      <c r="C12" s="1875"/>
      <c r="D12" s="1875"/>
      <c r="E12" s="1875"/>
      <c r="F12" s="1876"/>
    </row>
    <row r="13" spans="1:6" ht="17.25" customHeight="1" x14ac:dyDescent="0.25">
      <c r="A13" s="2413" t="s">
        <v>1983</v>
      </c>
      <c r="B13" s="2414"/>
      <c r="C13" s="2414"/>
      <c r="D13" s="2414"/>
      <c r="E13" s="2414"/>
      <c r="F13" s="2415"/>
    </row>
    <row r="14" spans="1:6" ht="15" customHeight="1" x14ac:dyDescent="0.25">
      <c r="A14" s="1873" t="s">
        <v>1800</v>
      </c>
      <c r="B14" s="1874"/>
      <c r="C14" s="1875"/>
      <c r="D14" s="1875"/>
      <c r="E14" s="1875"/>
      <c r="F14" s="1876"/>
    </row>
    <row r="15" spans="1:6" ht="32.25" customHeight="1" x14ac:dyDescent="0.25">
      <c r="A15" s="240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5"/>
      <c r="C15" s="2405"/>
      <c r="D15" s="2405"/>
      <c r="E15" s="2405"/>
      <c r="F15" s="240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066" t="s">
        <v>2152</v>
      </c>
      <c r="B18" s="1907">
        <v>102560300</v>
      </c>
      <c r="C18" s="2065" t="s">
        <v>2151</v>
      </c>
      <c r="D18" s="1885">
        <v>32793</v>
      </c>
      <c r="E18" s="1905" t="str">
        <f t="shared" ref="E18:E25" si="0">IF(D18&lt;25000,D18,"25,000")</f>
        <v>25,000</v>
      </c>
      <c r="F18" s="1905">
        <f t="shared" ref="F18:F25" si="1">IF(D18&gt;=25000,(D18-E18),"0")</f>
        <v>7793</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8"/>
      <c r="C23" s="1888"/>
      <c r="D23" s="1885"/>
      <c r="E23" s="1905">
        <f t="shared" si="0"/>
        <v>0</v>
      </c>
      <c r="F23" s="1905" t="str">
        <f t="shared" si="1"/>
        <v>0</v>
      </c>
    </row>
    <row r="24" spans="1:7" x14ac:dyDescent="0.25">
      <c r="A24" s="1887"/>
      <c r="B24" s="1908"/>
      <c r="C24" s="1888"/>
      <c r="D24" s="1885"/>
      <c r="E24" s="1905">
        <f t="shared" si="0"/>
        <v>0</v>
      </c>
      <c r="F24" s="1905" t="str">
        <f t="shared" si="1"/>
        <v>0</v>
      </c>
    </row>
    <row r="25" spans="1:7" x14ac:dyDescent="0.25">
      <c r="A25" s="1887"/>
      <c r="B25" s="1908"/>
      <c r="C25" s="1888"/>
      <c r="D25" s="1885"/>
      <c r="E25" s="1905">
        <f t="shared" si="0"/>
        <v>0</v>
      </c>
      <c r="F25" s="1905" t="str">
        <f t="shared" si="1"/>
        <v>0</v>
      </c>
    </row>
    <row r="26" spans="1:7" x14ac:dyDescent="0.25">
      <c r="A26" s="1887"/>
      <c r="B26" s="1908"/>
      <c r="C26" s="1888"/>
      <c r="D26" s="1885"/>
      <c r="E26" s="1905">
        <f t="shared" ref="E26:E33" si="2">IF(D26&lt;25000,D26,"25,000")</f>
        <v>0</v>
      </c>
      <c r="F26" s="1905" t="str">
        <f t="shared" ref="F26:F33" si="3">IF(D26&gt;=25000,(D26-E26),"0")</f>
        <v>0</v>
      </c>
    </row>
    <row r="27" spans="1:7" x14ac:dyDescent="0.25">
      <c r="A27" s="1887"/>
      <c r="B27" s="1908"/>
      <c r="C27" s="1888"/>
      <c r="D27" s="1885"/>
      <c r="E27" s="1905">
        <f t="shared" si="2"/>
        <v>0</v>
      </c>
      <c r="F27" s="1905" t="str">
        <f t="shared" si="3"/>
        <v>0</v>
      </c>
    </row>
    <row r="28" spans="1:7" x14ac:dyDescent="0.25">
      <c r="A28" s="1887"/>
      <c r="B28" s="1908"/>
      <c r="C28" s="1888"/>
      <c r="D28" s="1885"/>
      <c r="E28" s="1905">
        <f t="shared" si="2"/>
        <v>0</v>
      </c>
      <c r="F28" s="1905" t="str">
        <f t="shared" si="3"/>
        <v>0</v>
      </c>
    </row>
    <row r="29" spans="1:7" x14ac:dyDescent="0.25">
      <c r="A29" s="1887"/>
      <c r="B29" s="1908"/>
      <c r="C29" s="1888"/>
      <c r="D29" s="1885"/>
      <c r="E29" s="1905">
        <f t="shared" si="2"/>
        <v>0</v>
      </c>
      <c r="F29" s="1905" t="str">
        <f t="shared" si="3"/>
        <v>0</v>
      </c>
    </row>
    <row r="30" spans="1:7" x14ac:dyDescent="0.25">
      <c r="A30" s="1887"/>
      <c r="B30" s="1908"/>
      <c r="C30" s="1888"/>
      <c r="D30" s="1885"/>
      <c r="E30" s="1905">
        <f t="shared" si="2"/>
        <v>0</v>
      </c>
      <c r="F30" s="1905" t="str">
        <f t="shared" si="3"/>
        <v>0</v>
      </c>
    </row>
    <row r="31" spans="1:7" x14ac:dyDescent="0.25">
      <c r="A31" s="1887"/>
      <c r="B31" s="1908"/>
      <c r="C31" s="1888"/>
      <c r="D31" s="1885"/>
      <c r="E31" s="1905">
        <f t="shared" si="2"/>
        <v>0</v>
      </c>
      <c r="F31" s="1905" t="str">
        <f t="shared" si="3"/>
        <v>0</v>
      </c>
    </row>
    <row r="32" spans="1:7" x14ac:dyDescent="0.25">
      <c r="A32" s="1887"/>
      <c r="B32" s="1908"/>
      <c r="C32" s="1888"/>
      <c r="D32" s="1885"/>
      <c r="E32" s="1905">
        <f t="shared" si="2"/>
        <v>0</v>
      </c>
      <c r="F32" s="1905" t="str">
        <f t="shared" si="3"/>
        <v>0</v>
      </c>
    </row>
    <row r="33" spans="1:6" x14ac:dyDescent="0.25">
      <c r="A33" s="1887"/>
      <c r="B33" s="1909"/>
      <c r="C33" s="1888"/>
      <c r="D33" s="1885"/>
      <c r="E33" s="1905">
        <f t="shared" si="2"/>
        <v>0</v>
      </c>
      <c r="F33" s="1905" t="str">
        <f t="shared" si="3"/>
        <v>0</v>
      </c>
    </row>
    <row r="34" spans="1:6" x14ac:dyDescent="0.25">
      <c r="A34" s="1889" t="s">
        <v>155</v>
      </c>
      <c r="B34" s="1910"/>
      <c r="C34" s="1890"/>
      <c r="D34" s="1891">
        <f>SUM(D18:D33)</f>
        <v>32793</v>
      </c>
      <c r="E34" s="1892">
        <v>25000</v>
      </c>
      <c r="F34" s="1893">
        <f>SUM(F18:F33)</f>
        <v>7793</v>
      </c>
    </row>
  </sheetData>
  <sheetProtection selectLockedCells="1"/>
  <mergeCells count="6">
    <mergeCell ref="A15:F15"/>
    <mergeCell ref="A4:F5"/>
    <mergeCell ref="A7:F7"/>
    <mergeCell ref="A10:F10"/>
    <mergeCell ref="A11:F11"/>
    <mergeCell ref="A13:F13"/>
  </mergeCells>
  <printOptions horizontalCentered="1"/>
  <pageMargins left="0.5" right="0.5" top="1.1499999999999999" bottom="0.5" header="1" footer="0.25"/>
  <pageSetup scale="78" firstPageNumber="30" fitToHeight="0" orientation="landscape" r:id="rId1"/>
  <headerFooter>
    <oddHeader>&amp;RPage 29</oddHeader>
    <oddFooter>&amp;CReference should be made to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topLeftCell="A19"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9" t="s">
        <v>1660</v>
      </c>
      <c r="B5" s="2420"/>
      <c r="C5" s="2420"/>
      <c r="D5" s="2420"/>
      <c r="E5" s="2420"/>
      <c r="F5" s="2420"/>
      <c r="G5" s="242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64952</v>
      </c>
      <c r="F10" s="805"/>
      <c r="G10" s="806"/>
      <c r="H10" s="157"/>
      <c r="I10" s="157"/>
    </row>
    <row r="11" spans="1:13" s="542" customFormat="1" ht="22.5" customHeight="1" x14ac:dyDescent="0.2">
      <c r="A11" s="242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5"/>
      <c r="C11" s="2425"/>
      <c r="D11" s="2426"/>
      <c r="E11" s="1801">
        <v>5277</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717597</v>
      </c>
      <c r="F19" s="1802"/>
      <c r="G19" s="1804">
        <f>'Expenditures 15-22'!K33-SUM('Expenditures 15-22'!G33,'Expenditures 15-22'!I33)+'Expenditures 15-22'!D229</f>
        <v>717597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20532</v>
      </c>
      <c r="F21" s="1805"/>
      <c r="G21" s="1808">
        <f>'Expenditures 15-22'!K42-SUM('Expenditures 15-22'!G42,'Expenditures 15-22'!I42)+'Expenditures 15-22'!K120-SUM('Expenditures 15-22'!G120,'Expenditures 15-22'!I120)+'Expenditures 15-22'!K180-SUM('Expenditures 15-22'!G180,'Expenditures 15-22'!I180)+'Expenditures 15-22'!D238</f>
        <v>20532</v>
      </c>
      <c r="H21" s="817"/>
      <c r="I21" s="157"/>
    </row>
    <row r="22" spans="1:9" s="542" customFormat="1" ht="12" customHeight="1" x14ac:dyDescent="0.2">
      <c r="A22" s="824" t="s">
        <v>560</v>
      </c>
      <c r="B22" s="825"/>
      <c r="C22" s="823">
        <v>2200</v>
      </c>
      <c r="D22" s="1805"/>
      <c r="E22" s="1807">
        <f>'Expenditures 15-22'!K47-SUM('Expenditures 15-22'!G47,'Expenditures 15-22'!I47)+'Expenditures 15-22'!D243</f>
        <v>17698</v>
      </c>
      <c r="F22" s="1805"/>
      <c r="G22" s="1808">
        <f>'Expenditures 15-22'!K47-SUM('Expenditures 15-22'!G47,'Expenditures 15-22'!I47)+'Expenditures 15-22'!D243</f>
        <v>17698</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147483</v>
      </c>
      <c r="F23" s="1805"/>
      <c r="G23" s="1807">
        <f>'Expenditures 15-22'!K53-SUM('Expenditures 15-22'!G53,'Expenditures 15-22'!I53)+'Expenditures 15-22'!D257+'Expenditures 15-22'!K330-SUM('Expenditures 15-22'!G330,'Expenditures 15-22'!I330)</f>
        <v>147483</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57077</v>
      </c>
      <c r="E27" s="1807">
        <f>E8</f>
        <v>0</v>
      </c>
      <c r="F27" s="1807">
        <f>'Expenditures 15-22'!K60-SUM('Expenditures 15-22'!G60,'Expenditures 15-22'!I60)+'Expenditures 15-22'!D264-E8</f>
        <v>57077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118988</v>
      </c>
      <c r="F28" s="1809">
        <f>'Expenditures 15-22'!K61-SUM('Expenditures 15-22'!G61,'Expenditures 15-22'!I61)+'Expenditures 15-22'!K124-SUM('Expenditures 15-22'!G124,'Expenditures 15-22'!I124)+'Expenditures 15-22'!D266-E9</f>
        <v>118988</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83620</v>
      </c>
      <c r="F29" s="1805"/>
      <c r="G29" s="1808">
        <f>'Expenditures 15-22'!K62-SUM('Expenditures 15-22'!G62,'Expenditures 15-22'!I62)+'Expenditures 15-22'!K125-SUM('Expenditures 15-22'!G125,'Expenditures 15-22'!I125)+'Expenditures 15-22'!K182-SUM('Expenditures 15-22'!G182,'Expenditures 15-22'!I182)+'Expenditures 15-22'!D267</f>
        <v>83620</v>
      </c>
      <c r="H29" s="815"/>
    </row>
    <row r="30" spans="1:9" ht="12" customHeight="1" x14ac:dyDescent="0.2">
      <c r="A30" s="824" t="s">
        <v>100</v>
      </c>
      <c r="B30" s="827"/>
      <c r="C30" s="823">
        <v>2560</v>
      </c>
      <c r="D30" s="1805"/>
      <c r="E30" s="1807">
        <f>'Expenditures 15-22'!K63-SUM('Expenditures 15-22'!G63,'Expenditures 15-22'!I63)+'Expenditures 15-22'!D268-E10</f>
        <v>1236</v>
      </c>
      <c r="F30" s="1805"/>
      <c r="G30" s="1807">
        <f>'Expenditures 15-22'!K63-SUM('Expenditures 15-22'!G63,'Expenditures 15-22'!I63)+'Expenditures 15-22'!D268-E10</f>
        <v>1236</v>
      </c>
    </row>
    <row r="31" spans="1:9" ht="12" customHeight="1" x14ac:dyDescent="0.2">
      <c r="A31" s="824" t="s">
        <v>101</v>
      </c>
      <c r="B31" s="827"/>
      <c r="C31" s="823">
        <v>2570</v>
      </c>
      <c r="D31" s="1807">
        <f>'Expenditures 15-22'!K64-SUM('Expenditures 15-22'!G64,'Expenditures 15-22'!I64)+'Expenditures 15-22'!D269-E12</f>
        <v>1409</v>
      </c>
      <c r="E31" s="1807">
        <f>E12</f>
        <v>0</v>
      </c>
      <c r="F31" s="1807">
        <f>'Expenditures 15-22'!K64-SUM('Expenditures 15-22'!G64,'Expenditures 15-22'!I64)+'Expenditures 15-22'!D269-E12</f>
        <v>1409</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29'!F34</f>
        <v>-7793</v>
      </c>
      <c r="F40" s="1805"/>
      <c r="G40" s="1809">
        <f>-'Contracts Paid in CY 29'!F34</f>
        <v>-7793</v>
      </c>
    </row>
    <row r="41" spans="1:7" ht="12" customHeight="1" x14ac:dyDescent="0.2">
      <c r="A41" s="828" t="s">
        <v>155</v>
      </c>
      <c r="B41" s="829"/>
      <c r="C41" s="830"/>
      <c r="D41" s="1809">
        <f>SUM(D19:D39)</f>
        <v>58486</v>
      </c>
      <c r="E41" s="1809">
        <f>SUM(E19:E40)</f>
        <v>1099361</v>
      </c>
      <c r="F41" s="1809">
        <f>SUM(F19:F39)</f>
        <v>177474</v>
      </c>
      <c r="G41" s="1809">
        <f>SUM(G19:G40)</f>
        <v>980373</v>
      </c>
    </row>
    <row r="42" spans="1:7" x14ac:dyDescent="0.2">
      <c r="A42" s="817"/>
      <c r="B42" s="157"/>
      <c r="C42" s="831"/>
      <c r="D42" s="2422" t="s">
        <v>519</v>
      </c>
      <c r="E42" s="2423"/>
      <c r="F42" s="832" t="s">
        <v>520</v>
      </c>
      <c r="G42" s="833"/>
    </row>
    <row r="43" spans="1:7" ht="12" customHeight="1" x14ac:dyDescent="0.2">
      <c r="A43" s="817"/>
      <c r="B43" s="157"/>
      <c r="C43" s="831"/>
      <c r="D43" s="1458" t="s">
        <v>470</v>
      </c>
      <c r="E43" s="1810">
        <f>D41</f>
        <v>58486</v>
      </c>
      <c r="F43" s="1458" t="s">
        <v>470</v>
      </c>
      <c r="G43" s="1810">
        <f>F41</f>
        <v>177474</v>
      </c>
    </row>
    <row r="44" spans="1:7" ht="12" customHeight="1" x14ac:dyDescent="0.2">
      <c r="A44" s="817"/>
      <c r="B44" s="157"/>
      <c r="C44" s="831"/>
      <c r="D44" s="1458" t="s">
        <v>471</v>
      </c>
      <c r="E44" s="1810">
        <f>E41</f>
        <v>1099361</v>
      </c>
      <c r="F44" s="1458" t="s">
        <v>471</v>
      </c>
      <c r="G44" s="1810">
        <f>G41</f>
        <v>980373</v>
      </c>
    </row>
    <row r="45" spans="1:7" ht="12" customHeight="1" x14ac:dyDescent="0.2">
      <c r="A45" s="817"/>
      <c r="B45" s="157"/>
      <c r="C45" s="157"/>
      <c r="D45" s="1459" t="s">
        <v>999</v>
      </c>
      <c r="E45" s="1811">
        <f>(E43/E44)</f>
        <v>5.3199995269979559E-2</v>
      </c>
      <c r="F45" s="1459" t="s">
        <v>999</v>
      </c>
      <c r="G45" s="1811">
        <f>(G43/G44)</f>
        <v>0.18102701726791742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0.5" right="0.5" top="1.35" bottom="0.8" header="1" footer="0.25"/>
  <pageSetup scale="73" firstPageNumber="30" orientation="landscape" useFirstPageNumber="1" r:id="rId1"/>
  <headerFooter alignWithMargins="0">
    <oddHeader>&amp;L&amp;8Page &amp;P&amp;C&amp;"Arial,Bold"
ESTIMATED INDIRECT COST DATA&amp;R&amp;8Page &amp;P</oddHeader>
    <oddFooter>&amp;L&amp;8Print Date:  &amp;D
&amp;F&amp;CReference should be made to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3" zoomScale="110" zoomScaleNormal="110" workbookViewId="0">
      <selection activeCell="C27" sqref="C27"/>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41" t="s">
        <v>1363</v>
      </c>
      <c r="B1" s="2441"/>
      <c r="C1" s="2441"/>
      <c r="D1" s="2441"/>
      <c r="E1" s="2441"/>
      <c r="F1" s="2441"/>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42" t="s">
        <v>1529</v>
      </c>
      <c r="B5" s="2443"/>
      <c r="C5" s="2444"/>
      <c r="D5" s="2444"/>
      <c r="E5" s="2444"/>
      <c r="F5" s="2444"/>
      <c r="G5" s="1507"/>
      <c r="L5" s="1507"/>
      <c r="M5" s="1855"/>
      <c r="N5" s="1855"/>
      <c r="O5" s="1855"/>
    </row>
    <row r="6" spans="1:15" ht="12" customHeight="1" x14ac:dyDescent="0.25">
      <c r="A6" s="1480"/>
      <c r="B6" s="1481"/>
      <c r="C6" s="2445" t="str">
        <f>COVER!A17</f>
        <v>New Holland-Middletown ED 88</v>
      </c>
      <c r="D6" s="2445"/>
      <c r="E6" s="2445"/>
      <c r="F6" s="1482"/>
      <c r="G6" s="1507"/>
      <c r="L6" s="1507"/>
      <c r="M6" s="1855"/>
      <c r="N6" s="1855"/>
      <c r="O6" s="1855"/>
    </row>
    <row r="7" spans="1:15" ht="11.25" customHeight="1" thickBot="1" x14ac:dyDescent="0.3">
      <c r="A7" s="1480"/>
      <c r="B7" s="1481"/>
      <c r="C7" s="2446">
        <f>COVER!A13</f>
        <v>17054088002</v>
      </c>
      <c r="D7" s="2446"/>
      <c r="E7" s="2446"/>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2061</v>
      </c>
      <c r="D26" s="1495" t="s">
        <v>2061</v>
      </c>
      <c r="E26" s="1498" t="s">
        <v>2061</v>
      </c>
      <c r="F26" s="1497" t="s">
        <v>2150</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1376</v>
      </c>
      <c r="B35" s="1501"/>
      <c r="C35" s="2447"/>
      <c r="D35" s="2447"/>
      <c r="E35" s="2447"/>
      <c r="F35" s="2448"/>
    </row>
    <row r="36" spans="1:15" ht="12" customHeight="1" x14ac:dyDescent="0.2">
      <c r="A36" s="2430"/>
      <c r="B36" s="2431"/>
      <c r="C36" s="2431"/>
      <c r="D36" s="2431"/>
      <c r="E36" s="2431"/>
      <c r="F36" s="2432"/>
    </row>
    <row r="37" spans="1:15" ht="12" customHeight="1" x14ac:dyDescent="0.2">
      <c r="A37" s="2430"/>
      <c r="B37" s="2431"/>
      <c r="C37" s="2431"/>
      <c r="D37" s="2431"/>
      <c r="E37" s="2431"/>
      <c r="F37" s="2432"/>
    </row>
    <row r="38" spans="1:15" ht="12" customHeight="1" x14ac:dyDescent="0.2">
      <c r="A38" s="2433"/>
      <c r="B38" s="2434"/>
      <c r="C38" s="2434"/>
      <c r="D38" s="2434"/>
      <c r="E38" s="2434"/>
      <c r="F38" s="2435"/>
    </row>
    <row r="39" spans="1:15" ht="4.5" hidden="1" customHeight="1" x14ac:dyDescent="0.2">
      <c r="A39" s="1502"/>
      <c r="B39" s="1502"/>
      <c r="C39" s="1502"/>
      <c r="D39" s="1502"/>
      <c r="E39" s="1502"/>
      <c r="F39" s="1502"/>
    </row>
    <row r="40" spans="1:15" s="1499" customFormat="1" ht="12" customHeight="1" x14ac:dyDescent="0.25">
      <c r="A40" s="1503" t="s">
        <v>1375</v>
      </c>
      <c r="B40" s="1504"/>
      <c r="C40" s="2436"/>
      <c r="D40" s="2436"/>
      <c r="E40" s="2436"/>
      <c r="F40" s="2437"/>
      <c r="H40" s="1508"/>
      <c r="I40" s="1508"/>
      <c r="J40" s="1508"/>
      <c r="K40" s="1508"/>
    </row>
    <row r="41" spans="1:15" s="1499" customFormat="1" ht="12" customHeight="1" x14ac:dyDescent="0.25">
      <c r="A41" s="2438"/>
      <c r="B41" s="2439"/>
      <c r="C41" s="2439"/>
      <c r="D41" s="2439"/>
      <c r="E41" s="2439"/>
      <c r="F41" s="2440"/>
      <c r="H41" s="1508"/>
      <c r="I41" s="1508"/>
      <c r="J41" s="1508"/>
      <c r="K41" s="1508"/>
    </row>
    <row r="42" spans="1:15" s="1499" customFormat="1" ht="12" customHeight="1" x14ac:dyDescent="0.25">
      <c r="A42" s="2438"/>
      <c r="B42" s="2439"/>
      <c r="C42" s="2439"/>
      <c r="D42" s="2439"/>
      <c r="E42" s="2439"/>
      <c r="F42" s="2440"/>
      <c r="H42" s="1508"/>
      <c r="I42" s="1508"/>
      <c r="J42" s="1508"/>
      <c r="K42" s="1508"/>
    </row>
    <row r="43" spans="1:15" s="1499" customFormat="1" ht="15" x14ac:dyDescent="0.25">
      <c r="A43" s="2427"/>
      <c r="B43" s="2428"/>
      <c r="C43" s="2428"/>
      <c r="D43" s="2428"/>
      <c r="E43" s="2428"/>
      <c r="F43" s="2429"/>
      <c r="H43" s="1508"/>
      <c r="I43" s="1508"/>
      <c r="J43" s="1508"/>
      <c r="K43" s="1508"/>
    </row>
    <row r="44" spans="1:15" s="1499" customFormat="1" ht="12" hidden="1" customHeight="1" x14ac:dyDescent="0.25">
      <c r="A44" s="2427"/>
      <c r="B44" s="2428"/>
      <c r="C44" s="2428"/>
      <c r="D44" s="2428"/>
      <c r="E44" s="2428"/>
      <c r="F44" s="2429"/>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5" right="0.5" top="1" bottom="0.75" header="1" footer="0.25"/>
  <pageSetup scale="80" orientation="landscape" r:id="rId1"/>
  <headerFooter>
    <oddFooter>&amp;L&amp;8Page 31&amp;CReference should be made to auditor's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zoomScaleNormal="100" workbookViewId="0">
      <selection activeCell="B39" sqref="B39"/>
    </sheetView>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2002</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67" t="str">
        <f>COVER!A17</f>
        <v>New Holland-Middletown ED 88</v>
      </c>
      <c r="K6" s="2467"/>
      <c r="L6" s="2481"/>
      <c r="M6" s="838"/>
      <c r="N6" s="1997"/>
    </row>
    <row r="7" spans="1:14" x14ac:dyDescent="0.2">
      <c r="A7" s="2482" t="s">
        <v>864</v>
      </c>
      <c r="B7" s="2483"/>
      <c r="C7" s="2483"/>
      <c r="D7" s="2483"/>
      <c r="E7" s="2484"/>
      <c r="F7" s="839"/>
      <c r="G7" s="838"/>
      <c r="H7" s="838"/>
      <c r="I7" s="1923" t="s">
        <v>369</v>
      </c>
      <c r="J7" s="2469">
        <f>COVER!A13</f>
        <v>17054088002</v>
      </c>
      <c r="K7" s="2469"/>
      <c r="L7" s="2469"/>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2018</v>
      </c>
      <c r="F9" s="1857"/>
      <c r="G9" s="1857"/>
      <c r="H9" s="1857"/>
      <c r="I9" s="1928" t="s">
        <v>2019</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85" t="s">
        <v>478</v>
      </c>
      <c r="B11" s="2486"/>
      <c r="C11" s="2487"/>
      <c r="D11" s="1936" t="s">
        <v>866</v>
      </c>
      <c r="E11" s="1936" t="s">
        <v>64</v>
      </c>
      <c r="F11" s="1936" t="s">
        <v>6</v>
      </c>
      <c r="G11" s="1937" t="s">
        <v>2020</v>
      </c>
      <c r="H11" s="1938" t="s">
        <v>155</v>
      </c>
      <c r="I11" s="1936" t="s">
        <v>64</v>
      </c>
      <c r="J11" s="1936" t="s">
        <v>6</v>
      </c>
      <c r="K11" s="1937" t="s">
        <v>2001</v>
      </c>
      <c r="L11" s="1938" t="s">
        <v>155</v>
      </c>
      <c r="M11" s="838"/>
      <c r="N11" s="1997"/>
    </row>
    <row r="12" spans="1:14" x14ac:dyDescent="0.2">
      <c r="A12" s="2002">
        <v>1</v>
      </c>
      <c r="B12" s="1939" t="s">
        <v>813</v>
      </c>
      <c r="C12" s="842"/>
      <c r="D12" s="1940">
        <v>2320</v>
      </c>
      <c r="E12" s="1943">
        <f>'Expenditures 15-22'!K50</f>
        <v>96517</v>
      </c>
      <c r="F12" s="1941"/>
      <c r="G12" s="1967">
        <f>G68</f>
        <v>2258</v>
      </c>
      <c r="H12" s="1943">
        <f t="shared" ref="H12:H18" si="0">SUM(E12:G12)</f>
        <v>98775</v>
      </c>
      <c r="I12" s="1942">
        <v>111000</v>
      </c>
      <c r="J12" s="1941"/>
      <c r="K12" s="1942">
        <v>2000</v>
      </c>
      <c r="L12" s="1943">
        <f t="shared" ref="L12:L18" si="1">SUM(I12:K12)</f>
        <v>113000</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1409</v>
      </c>
      <c r="F16" s="1941"/>
      <c r="G16" s="1967">
        <f>K68</f>
        <v>0</v>
      </c>
      <c r="H16" s="1943">
        <f t="shared" si="0"/>
        <v>1409</v>
      </c>
      <c r="I16" s="1942">
        <v>1500</v>
      </c>
      <c r="J16" s="1941"/>
      <c r="K16" s="1942"/>
      <c r="L16" s="1943">
        <f t="shared" si="1"/>
        <v>1500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88" t="s">
        <v>7</v>
      </c>
      <c r="C18" s="2489"/>
      <c r="D18" s="2490"/>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97926</v>
      </c>
      <c r="F19" s="1949">
        <f t="shared" si="2"/>
        <v>0</v>
      </c>
      <c r="G19" s="1949">
        <f t="shared" ref="G19" si="3">SUM(G12:G17)-G18</f>
        <v>2258</v>
      </c>
      <c r="H19" s="1949">
        <f t="shared" si="2"/>
        <v>100184</v>
      </c>
      <c r="I19" s="1949">
        <f t="shared" si="2"/>
        <v>112500</v>
      </c>
      <c r="J19" s="1949">
        <f t="shared" si="2"/>
        <v>0</v>
      </c>
      <c r="K19" s="1949">
        <f t="shared" si="2"/>
        <v>2000</v>
      </c>
      <c r="L19" s="1949">
        <f t="shared" si="2"/>
        <v>114500</v>
      </c>
      <c r="M19" s="838"/>
      <c r="N19" s="1997"/>
    </row>
    <row r="20" spans="1:14" ht="13.5" thickTop="1" x14ac:dyDescent="0.2">
      <c r="A20" s="2002">
        <v>9</v>
      </c>
      <c r="B20" s="2491" t="s">
        <v>2021</v>
      </c>
      <c r="C20" s="2491"/>
      <c r="D20" s="2492"/>
      <c r="E20" s="1950"/>
      <c r="F20" s="1950"/>
      <c r="G20" s="1950"/>
      <c r="H20" s="1950"/>
      <c r="I20" s="1950"/>
      <c r="J20" s="1950"/>
      <c r="K20" s="1950"/>
      <c r="L20" s="1951">
        <f>IF(AND(H19&gt;0,L19&gt;0),(((L19-H19)/H19)),"Enter Budget Data")</f>
        <v>0.14289706939231814</v>
      </c>
      <c r="M20" s="838"/>
      <c r="N20" s="1997"/>
    </row>
    <row r="21" spans="1:14" x14ac:dyDescent="0.2">
      <c r="A21" s="2004" t="s">
        <v>194</v>
      </c>
      <c r="B21" s="2005" t="s">
        <v>2046</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2022</v>
      </c>
      <c r="B24" s="2009"/>
      <c r="C24" s="2010"/>
      <c r="D24" s="2010"/>
      <c r="E24" s="2010"/>
      <c r="F24" s="2010"/>
      <c r="G24" s="2010"/>
      <c r="H24" s="2010"/>
      <c r="I24" s="2010"/>
      <c r="J24" s="2010"/>
      <c r="K24" s="2010"/>
      <c r="L24" s="838"/>
      <c r="M24" s="838"/>
      <c r="N24" s="1997"/>
    </row>
    <row r="25" spans="1:14" x14ac:dyDescent="0.2">
      <c r="A25" s="2008" t="s">
        <v>2023</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93"/>
      <c r="D27" s="2493"/>
      <c r="E27" s="843"/>
      <c r="F27" s="2494">
        <v>44125</v>
      </c>
      <c r="G27" s="2494"/>
      <c r="H27" s="2494"/>
      <c r="I27" s="838"/>
      <c r="J27" s="838"/>
      <c r="K27" s="838"/>
      <c r="L27" s="838"/>
      <c r="M27" s="838"/>
      <c r="N27" s="1997"/>
    </row>
    <row r="28" spans="1:14" x14ac:dyDescent="0.2">
      <c r="A28" s="1996"/>
      <c r="B28" s="2006"/>
      <c r="C28" s="1956" t="s">
        <v>1026</v>
      </c>
      <c r="D28" s="844"/>
      <c r="E28" s="1957"/>
      <c r="F28" s="2495" t="s">
        <v>1492</v>
      </c>
      <c r="G28" s="2495"/>
      <c r="H28" s="2495"/>
      <c r="I28" s="838"/>
      <c r="J28" s="838"/>
      <c r="K28" s="838"/>
      <c r="L28" s="838"/>
      <c r="M28" s="838"/>
      <c r="N28" s="1997"/>
    </row>
    <row r="29" spans="1:14" x14ac:dyDescent="0.2">
      <c r="A29" s="1996"/>
      <c r="B29" s="2006"/>
      <c r="C29" s="2496" t="s">
        <v>2068</v>
      </c>
      <c r="D29" s="2496"/>
      <c r="E29" s="845"/>
      <c r="F29" s="2496" t="s">
        <v>2069</v>
      </c>
      <c r="G29" s="2496"/>
      <c r="H29" s="2496"/>
      <c r="I29" s="838"/>
      <c r="J29" s="838"/>
      <c r="K29" s="838"/>
      <c r="L29" s="838"/>
      <c r="M29" s="838"/>
      <c r="N29" s="1997"/>
    </row>
    <row r="30" spans="1:14" x14ac:dyDescent="0.2">
      <c r="A30" s="1996"/>
      <c r="B30" s="2006"/>
      <c r="C30" s="1959" t="s">
        <v>1544</v>
      </c>
      <c r="D30" s="838"/>
      <c r="E30" s="1958"/>
      <c r="F30" s="2480" t="s">
        <v>1493</v>
      </c>
      <c r="G30" s="2480"/>
      <c r="H30" s="2480"/>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57" t="s">
        <v>2024</v>
      </c>
      <c r="D34" s="2458"/>
      <c r="E34" s="2458"/>
      <c r="F34" s="2458"/>
      <c r="G34" s="2458"/>
      <c r="H34" s="2458"/>
      <c r="I34" s="2458"/>
      <c r="J34" s="2458"/>
      <c r="K34" s="2015"/>
      <c r="L34" s="838"/>
      <c r="M34" s="838"/>
      <c r="N34" s="1997"/>
    </row>
    <row r="35" spans="1:14" x14ac:dyDescent="0.2">
      <c r="A35" s="1996"/>
      <c r="B35" s="838"/>
      <c r="C35" s="2458"/>
      <c r="D35" s="2458"/>
      <c r="E35" s="2458"/>
      <c r="F35" s="2458"/>
      <c r="G35" s="2458"/>
      <c r="H35" s="2458"/>
      <c r="I35" s="2458"/>
      <c r="J35" s="2458"/>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t="s">
        <v>2061</v>
      </c>
      <c r="C37" s="2457" t="s">
        <v>2025</v>
      </c>
      <c r="D37" s="2458"/>
      <c r="E37" s="2458"/>
      <c r="F37" s="2458"/>
      <c r="G37" s="2458"/>
      <c r="H37" s="2458"/>
      <c r="I37" s="2458"/>
      <c r="J37" s="2458"/>
      <c r="K37" s="2015"/>
      <c r="L37" s="2017"/>
      <c r="M37" s="838"/>
      <c r="N37" s="1997"/>
    </row>
    <row r="38" spans="1:14" x14ac:dyDescent="0.2">
      <c r="A38" s="1996"/>
      <c r="B38" s="838"/>
      <c r="C38" s="2458"/>
      <c r="D38" s="2458"/>
      <c r="E38" s="2458"/>
      <c r="F38" s="2458"/>
      <c r="G38" s="2458"/>
      <c r="H38" s="2458"/>
      <c r="I38" s="2458"/>
      <c r="J38" s="2458"/>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59" t="s">
        <v>2026</v>
      </c>
      <c r="D40" s="2460"/>
      <c r="E40" s="2460"/>
      <c r="F40" s="2460"/>
      <c r="G40" s="2460"/>
      <c r="H40" s="2460"/>
      <c r="I40" s="2460"/>
      <c r="J40" s="2460"/>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61" t="s">
        <v>2027</v>
      </c>
      <c r="B43" s="2462"/>
      <c r="C43" s="2462"/>
      <c r="D43" s="2462"/>
      <c r="E43" s="2462"/>
      <c r="F43" s="2462"/>
      <c r="G43" s="2462"/>
      <c r="H43" s="2462"/>
      <c r="I43" s="2462"/>
      <c r="J43" s="2462"/>
      <c r="K43" s="2462"/>
      <c r="L43" s="2462"/>
      <c r="M43" s="2462"/>
      <c r="N43" s="2463"/>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64" t="s">
        <v>2029</v>
      </c>
      <c r="B46" s="2465"/>
      <c r="C46" s="2465"/>
      <c r="D46" s="2465"/>
      <c r="E46" s="2465"/>
      <c r="F46" s="2465"/>
      <c r="G46" s="2465"/>
      <c r="H46" s="2465"/>
      <c r="I46" s="2465"/>
      <c r="J46" s="2465"/>
      <c r="K46" s="2465"/>
      <c r="L46" s="2465"/>
      <c r="M46" s="2465"/>
      <c r="N46" s="2466"/>
    </row>
    <row r="47" spans="1:14" x14ac:dyDescent="0.2">
      <c r="A47" s="2464"/>
      <c r="B47" s="2465"/>
      <c r="C47" s="2465"/>
      <c r="D47" s="2465"/>
      <c r="E47" s="2465"/>
      <c r="F47" s="2465"/>
      <c r="G47" s="2465"/>
      <c r="H47" s="2465"/>
      <c r="I47" s="2465"/>
      <c r="J47" s="2465"/>
      <c r="K47" s="2465"/>
      <c r="L47" s="2465"/>
      <c r="M47" s="2465"/>
      <c r="N47" s="2466"/>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67" t="str">
        <f>J6</f>
        <v>New Holland-Middletown ED 88</v>
      </c>
      <c r="M52" s="2467"/>
      <c r="N52" s="2468"/>
    </row>
    <row r="53" spans="1:14" x14ac:dyDescent="0.2">
      <c r="A53" s="1981"/>
      <c r="B53" s="1982"/>
      <c r="C53" s="1982"/>
      <c r="D53" s="1982"/>
      <c r="E53" s="1982"/>
      <c r="F53" s="1982"/>
      <c r="G53" s="1982"/>
      <c r="H53" s="1982"/>
      <c r="I53" s="1982"/>
      <c r="J53" s="1982"/>
      <c r="K53" s="1923" t="s">
        <v>369</v>
      </c>
      <c r="L53" s="2469">
        <f>J7</f>
        <v>17054088002</v>
      </c>
      <c r="M53" s="2469"/>
      <c r="N53" s="2470"/>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71"/>
      <c r="B55" s="2472"/>
      <c r="C55" s="2472"/>
      <c r="D55" s="1969"/>
      <c r="E55" s="1969"/>
      <c r="F55" s="1969"/>
      <c r="G55" s="2473" t="s">
        <v>2030</v>
      </c>
      <c r="H55" s="2473"/>
      <c r="I55" s="2473"/>
      <c r="J55" s="2473"/>
      <c r="K55" s="2473"/>
      <c r="L55" s="2473"/>
      <c r="M55" s="2473"/>
      <c r="N55" s="2474"/>
    </row>
    <row r="56" spans="1:14" ht="63.75" x14ac:dyDescent="0.2">
      <c r="A56" s="2475" t="s">
        <v>2031</v>
      </c>
      <c r="B56" s="2476"/>
      <c r="C56" s="2477"/>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78" t="s">
        <v>296</v>
      </c>
      <c r="B57" s="2479"/>
      <c r="C57" s="2479"/>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55" t="s">
        <v>2041</v>
      </c>
      <c r="B58" s="2456"/>
      <c r="C58" s="2456"/>
      <c r="D58" s="1966">
        <v>2362</v>
      </c>
      <c r="E58" s="1976">
        <f>'Expenditures 15-22'!K320</f>
        <v>12786</v>
      </c>
      <c r="F58" s="1971"/>
      <c r="G58" s="2030"/>
      <c r="H58" s="2031"/>
      <c r="I58" s="2031"/>
      <c r="J58" s="2031"/>
      <c r="K58" s="2031"/>
      <c r="L58" s="2031"/>
      <c r="M58" s="2031">
        <v>12786</v>
      </c>
      <c r="N58" s="1974">
        <f>IF((SUM(G58:M58))=E58,SUM(G58:M58),"Column N does not agree with Column E")</f>
        <v>12786</v>
      </c>
    </row>
    <row r="59" spans="1:14" ht="24.75" customHeight="1" x14ac:dyDescent="0.2">
      <c r="A59" s="2449" t="s">
        <v>297</v>
      </c>
      <c r="B59" s="2450"/>
      <c r="C59" s="2450"/>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49" t="s">
        <v>236</v>
      </c>
      <c r="B60" s="2450"/>
      <c r="C60" s="2450"/>
      <c r="D60" s="1966">
        <v>2364</v>
      </c>
      <c r="E60" s="1976">
        <f>'Expenditures 15-22'!K322</f>
        <v>419</v>
      </c>
      <c r="F60" s="1971"/>
      <c r="G60" s="2030"/>
      <c r="H60" s="2031"/>
      <c r="I60" s="2031"/>
      <c r="J60" s="2031"/>
      <c r="K60" s="2031"/>
      <c r="L60" s="2031"/>
      <c r="M60" s="2031">
        <v>419</v>
      </c>
      <c r="N60" s="1974">
        <f t="shared" ref="N60:N67" si="4">IF((SUM(G60:M60))=E60,SUM(G60:M60),"Column N does not agree with Column E")</f>
        <v>419</v>
      </c>
    </row>
    <row r="61" spans="1:14" ht="24.75" customHeight="1" x14ac:dyDescent="0.2">
      <c r="A61" s="2449" t="s">
        <v>697</v>
      </c>
      <c r="B61" s="2450"/>
      <c r="C61" s="2450"/>
      <c r="D61" s="1966">
        <v>2365</v>
      </c>
      <c r="E61" s="1976">
        <f>'Expenditures 15-22'!K323</f>
        <v>0</v>
      </c>
      <c r="F61" s="1971"/>
      <c r="G61" s="2030"/>
      <c r="H61" s="2031"/>
      <c r="I61" s="2031"/>
      <c r="J61" s="2031"/>
      <c r="K61" s="2031"/>
      <c r="L61" s="2031"/>
      <c r="M61" s="2031"/>
      <c r="N61" s="1974">
        <f t="shared" si="4"/>
        <v>0</v>
      </c>
    </row>
    <row r="62" spans="1:14" ht="24" customHeight="1" x14ac:dyDescent="0.2">
      <c r="A62" s="2449" t="s">
        <v>237</v>
      </c>
      <c r="B62" s="2450"/>
      <c r="C62" s="2450"/>
      <c r="D62" s="1966">
        <v>2366</v>
      </c>
      <c r="E62" s="1976">
        <f>'Expenditures 15-22'!K324</f>
        <v>0</v>
      </c>
      <c r="F62" s="1971"/>
      <c r="G62" s="2030"/>
      <c r="H62" s="2031"/>
      <c r="I62" s="2031"/>
      <c r="J62" s="2031"/>
      <c r="K62" s="2031"/>
      <c r="L62" s="2031"/>
      <c r="M62" s="2031"/>
      <c r="N62" s="1974">
        <f t="shared" si="4"/>
        <v>0</v>
      </c>
    </row>
    <row r="63" spans="1:14" ht="24" customHeight="1" x14ac:dyDescent="0.2">
      <c r="A63" s="2455" t="s">
        <v>1022</v>
      </c>
      <c r="B63" s="2456"/>
      <c r="C63" s="2456"/>
      <c r="D63" s="1966">
        <v>2367</v>
      </c>
      <c r="E63" s="1976">
        <f>'Expenditures 15-22'!K325</f>
        <v>3363</v>
      </c>
      <c r="F63" s="1971"/>
      <c r="G63" s="2030">
        <f>2000+60+198</f>
        <v>2258</v>
      </c>
      <c r="H63" s="2031"/>
      <c r="I63" s="2031"/>
      <c r="J63" s="2031"/>
      <c r="K63" s="2031"/>
      <c r="L63" s="2031"/>
      <c r="M63" s="2031">
        <v>1105</v>
      </c>
      <c r="N63" s="1974">
        <f t="shared" si="4"/>
        <v>3363</v>
      </c>
    </row>
    <row r="64" spans="1:14" ht="24" customHeight="1" x14ac:dyDescent="0.2">
      <c r="A64" s="2449" t="s">
        <v>1023</v>
      </c>
      <c r="B64" s="2450"/>
      <c r="C64" s="2450"/>
      <c r="D64" s="1966">
        <v>2368</v>
      </c>
      <c r="E64" s="1976">
        <f>'Expenditures 15-22'!K326</f>
        <v>0</v>
      </c>
      <c r="F64" s="1971"/>
      <c r="G64" s="2030"/>
      <c r="H64" s="2031"/>
      <c r="I64" s="2031"/>
      <c r="J64" s="2031"/>
      <c r="K64" s="2031"/>
      <c r="L64" s="2031"/>
      <c r="M64" s="2031"/>
      <c r="N64" s="1974">
        <f t="shared" si="4"/>
        <v>0</v>
      </c>
    </row>
    <row r="65" spans="1:14" ht="24" customHeight="1" x14ac:dyDescent="0.2">
      <c r="A65" s="2449" t="s">
        <v>965</v>
      </c>
      <c r="B65" s="2450"/>
      <c r="C65" s="2450"/>
      <c r="D65" s="1966">
        <v>2369</v>
      </c>
      <c r="E65" s="1976">
        <f>'Expenditures 15-22'!K327</f>
        <v>2238</v>
      </c>
      <c r="F65" s="1971"/>
      <c r="G65" s="2030"/>
      <c r="H65" s="2031"/>
      <c r="I65" s="2031"/>
      <c r="J65" s="2031"/>
      <c r="K65" s="2031"/>
      <c r="L65" s="2031"/>
      <c r="M65" s="2031">
        <v>2238</v>
      </c>
      <c r="N65" s="1974">
        <f t="shared" si="4"/>
        <v>2238</v>
      </c>
    </row>
    <row r="66" spans="1:14" ht="24" customHeight="1" x14ac:dyDescent="0.2">
      <c r="A66" s="2449" t="s">
        <v>469</v>
      </c>
      <c r="B66" s="2450"/>
      <c r="C66" s="2450"/>
      <c r="D66" s="1966">
        <v>2371</v>
      </c>
      <c r="E66" s="1976">
        <f>'Expenditures 15-22'!K328</f>
        <v>14128</v>
      </c>
      <c r="F66" s="1971"/>
      <c r="G66" s="2030"/>
      <c r="H66" s="2031"/>
      <c r="I66" s="2031"/>
      <c r="J66" s="2031"/>
      <c r="K66" s="2031"/>
      <c r="L66" s="2031"/>
      <c r="M66" s="2031">
        <v>14128</v>
      </c>
      <c r="N66" s="1974">
        <f t="shared" si="4"/>
        <v>14128</v>
      </c>
    </row>
    <row r="67" spans="1:14" ht="24.75" customHeight="1" x14ac:dyDescent="0.2">
      <c r="A67" s="2451" t="s">
        <v>2042</v>
      </c>
      <c r="B67" s="2452"/>
      <c r="C67" s="2452"/>
      <c r="D67" s="1968">
        <v>2372</v>
      </c>
      <c r="E67" s="1977">
        <f>'Expenditures 15-22'!K329</f>
        <v>0</v>
      </c>
      <c r="F67" s="1971"/>
      <c r="G67" s="2032"/>
      <c r="H67" s="2033"/>
      <c r="I67" s="2033"/>
      <c r="J67" s="2033"/>
      <c r="K67" s="2033"/>
      <c r="L67" s="2033"/>
      <c r="M67" s="2033"/>
      <c r="N67" s="1974">
        <f t="shared" si="4"/>
        <v>0</v>
      </c>
    </row>
    <row r="68" spans="1:14" x14ac:dyDescent="0.2">
      <c r="A68" s="2453" t="s">
        <v>1151</v>
      </c>
      <c r="B68" s="2454"/>
      <c r="C68" s="2454"/>
      <c r="D68" s="1969"/>
      <c r="E68" s="1973">
        <f>SUM(E57:E67)</f>
        <v>32934</v>
      </c>
      <c r="F68" s="1972"/>
      <c r="G68" s="1973">
        <f t="shared" ref="G68:N68" si="5">SUM(G57:G67)</f>
        <v>2258</v>
      </c>
      <c r="H68" s="1973">
        <f t="shared" si="5"/>
        <v>0</v>
      </c>
      <c r="I68" s="1973">
        <f t="shared" si="5"/>
        <v>0</v>
      </c>
      <c r="J68" s="1973">
        <f t="shared" si="5"/>
        <v>0</v>
      </c>
      <c r="K68" s="1973">
        <f t="shared" si="5"/>
        <v>0</v>
      </c>
      <c r="L68" s="1973">
        <f t="shared" si="5"/>
        <v>0</v>
      </c>
      <c r="M68" s="1973">
        <f t="shared" si="5"/>
        <v>30676</v>
      </c>
      <c r="N68" s="1987">
        <f t="shared" si="5"/>
        <v>32934</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rintOptions horizontalCentered="1"/>
  <pageMargins left="0.5" right="0.5" top="1" bottom="0.75" header="0.9" footer="0.25"/>
  <pageSetup scale="68" firstPageNumber="32" fitToHeight="2" orientation="landscape" useFirstPageNumber="1" r:id="rId1"/>
  <headerFooter>
    <oddHeader>&amp;RPage &amp;P</oddHeader>
    <oddFooter>&amp;CReference should be made to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0" sqref="B10"/>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2164</v>
      </c>
    </row>
    <row r="6" spans="1:2" x14ac:dyDescent="0.2">
      <c r="A6" s="847"/>
    </row>
    <row r="7" spans="1:2" x14ac:dyDescent="0.2">
      <c r="A7" s="847">
        <v>2</v>
      </c>
      <c r="B7" s="307" t="s">
        <v>2165</v>
      </c>
    </row>
    <row r="8" spans="1:2" x14ac:dyDescent="0.2">
      <c r="A8" s="847"/>
    </row>
    <row r="9" spans="1:2" x14ac:dyDescent="0.2">
      <c r="A9" s="848">
        <v>3</v>
      </c>
      <c r="B9" s="307" t="s">
        <v>2167</v>
      </c>
    </row>
    <row r="10" spans="1:2" x14ac:dyDescent="0.2">
      <c r="A10" s="848"/>
    </row>
    <row r="11" spans="1:2" x14ac:dyDescent="0.2">
      <c r="A11" s="848">
        <v>9</v>
      </c>
      <c r="B11" s="307" t="s">
        <v>2153</v>
      </c>
    </row>
    <row r="12" spans="1:2" x14ac:dyDescent="0.2">
      <c r="A12" s="848"/>
    </row>
    <row r="13" spans="1:2" x14ac:dyDescent="0.2">
      <c r="A13" s="848" t="s">
        <v>2063</v>
      </c>
    </row>
    <row r="14" spans="1:2" x14ac:dyDescent="0.2">
      <c r="A14" s="848" t="s">
        <v>2062</v>
      </c>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New Holland-Middletown ED 88</v>
      </c>
    </row>
    <row r="65" spans="2:2" x14ac:dyDescent="0.2">
      <c r="B65" s="849">
        <f>COVER!A13</f>
        <v>17054088002</v>
      </c>
    </row>
  </sheetData>
  <phoneticPr fontId="15" type="noConversion"/>
  <printOptions horizontalCentered="1"/>
  <pageMargins left="1" right="0.75" top="0.75" bottom="0.75" header="0.65" footer="0.25"/>
  <pageSetup scale="75" firstPageNumber="34" orientation="portrait" useFirstPageNumber="1" r:id="rId1"/>
  <headerFooter alignWithMargins="0">
    <oddHeader>&amp;C &amp;R&amp;8Page &amp;P</oddHeader>
    <oddFooter>&amp;CReference should be made to auditor's report regarding this information.
48</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83" t="s">
        <v>1056</v>
      </c>
      <c r="B35" s="2183"/>
      <c r="C35" s="2183"/>
      <c r="D35" s="2183"/>
      <c r="E35" s="218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80" t="s">
        <v>686</v>
      </c>
      <c r="B40" s="2180"/>
      <c r="C40" s="2180"/>
      <c r="D40" s="2180"/>
      <c r="E40" s="2180"/>
    </row>
    <row r="41" spans="1:5" x14ac:dyDescent="0.2">
      <c r="A41" s="2181" t="s">
        <v>1591</v>
      </c>
      <c r="B41" s="2181"/>
      <c r="C41" s="2181"/>
      <c r="D41" s="2181"/>
      <c r="E41" s="2181"/>
    </row>
    <row r="42" spans="1:5" ht="12.75" customHeight="1" x14ac:dyDescent="0.2">
      <c r="A42" s="2182" t="s">
        <v>1015</v>
      </c>
      <c r="B42" s="2182"/>
      <c r="C42" s="2182"/>
      <c r="D42" s="2182"/>
      <c r="E42" s="218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rintOptions horizontalCentered="1"/>
  <pageMargins left="1" right="0.75" top="0.75" bottom="0.75" header="0.5" footer="0.25"/>
  <pageSetup scale="70" firstPageNumber="35" orientation="portrait" useFirstPageNumber="1" r:id="rId1"/>
  <headerFooter alignWithMargins="0">
    <oddHeader>&amp;R&amp;8Page &amp;P</oddHeader>
    <oddFooter>&amp;CReference should be made to auditor's report regarding this information.
49</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024D0-B77E-41C1-95D4-300308602D00}">
  <sheetPr>
    <pageSetUpPr fitToPage="1"/>
  </sheetPr>
  <dimension ref="A1:C86"/>
  <sheetViews>
    <sheetView topLeftCell="A63" zoomScaleNormal="100" workbookViewId="0">
      <selection activeCell="A68" sqref="A68"/>
    </sheetView>
  </sheetViews>
  <sheetFormatPr defaultColWidth="9.140625" defaultRowHeight="12.75" x14ac:dyDescent="0.2"/>
  <cols>
    <col min="1" max="1" width="78.42578125" style="2047" customWidth="1"/>
    <col min="2" max="2" width="7.42578125" style="2047" customWidth="1"/>
    <col min="3" max="3" width="15.28515625" style="2064" customWidth="1"/>
    <col min="4" max="244" width="9.140625" style="2047"/>
    <col min="245" max="245" width="78.42578125" style="2047" customWidth="1"/>
    <col min="246" max="246" width="7.42578125" style="2047" customWidth="1"/>
    <col min="247" max="247" width="15.28515625" style="2047" customWidth="1"/>
    <col min="248" max="500" width="9.140625" style="2047"/>
    <col min="501" max="501" width="78.42578125" style="2047" customWidth="1"/>
    <col min="502" max="502" width="7.42578125" style="2047" customWidth="1"/>
    <col min="503" max="503" width="15.28515625" style="2047" customWidth="1"/>
    <col min="504" max="756" width="9.140625" style="2047"/>
    <col min="757" max="757" width="78.42578125" style="2047" customWidth="1"/>
    <col min="758" max="758" width="7.42578125" style="2047" customWidth="1"/>
    <col min="759" max="759" width="15.28515625" style="2047" customWidth="1"/>
    <col min="760" max="1012" width="9.140625" style="2047"/>
    <col min="1013" max="1013" width="78.42578125" style="2047" customWidth="1"/>
    <col min="1014" max="1014" width="7.42578125" style="2047" customWidth="1"/>
    <col min="1015" max="1015" width="15.28515625" style="2047" customWidth="1"/>
    <col min="1016" max="1268" width="9.140625" style="2047"/>
    <col min="1269" max="1269" width="78.42578125" style="2047" customWidth="1"/>
    <col min="1270" max="1270" width="7.42578125" style="2047" customWidth="1"/>
    <col min="1271" max="1271" width="15.28515625" style="2047" customWidth="1"/>
    <col min="1272" max="1524" width="9.140625" style="2047"/>
    <col min="1525" max="1525" width="78.42578125" style="2047" customWidth="1"/>
    <col min="1526" max="1526" width="7.42578125" style="2047" customWidth="1"/>
    <col min="1527" max="1527" width="15.28515625" style="2047" customWidth="1"/>
    <col min="1528" max="1780" width="9.140625" style="2047"/>
    <col min="1781" max="1781" width="78.42578125" style="2047" customWidth="1"/>
    <col min="1782" max="1782" width="7.42578125" style="2047" customWidth="1"/>
    <col min="1783" max="1783" width="15.28515625" style="2047" customWidth="1"/>
    <col min="1784" max="2036" width="9.140625" style="2047"/>
    <col min="2037" max="2037" width="78.42578125" style="2047" customWidth="1"/>
    <col min="2038" max="2038" width="7.42578125" style="2047" customWidth="1"/>
    <col min="2039" max="2039" width="15.28515625" style="2047" customWidth="1"/>
    <col min="2040" max="2292" width="9.140625" style="2047"/>
    <col min="2293" max="2293" width="78.42578125" style="2047" customWidth="1"/>
    <col min="2294" max="2294" width="7.42578125" style="2047" customWidth="1"/>
    <col min="2295" max="2295" width="15.28515625" style="2047" customWidth="1"/>
    <col min="2296" max="2548" width="9.140625" style="2047"/>
    <col min="2549" max="2549" width="78.42578125" style="2047" customWidth="1"/>
    <col min="2550" max="2550" width="7.42578125" style="2047" customWidth="1"/>
    <col min="2551" max="2551" width="15.28515625" style="2047" customWidth="1"/>
    <col min="2552" max="2804" width="9.140625" style="2047"/>
    <col min="2805" max="2805" width="78.42578125" style="2047" customWidth="1"/>
    <col min="2806" max="2806" width="7.42578125" style="2047" customWidth="1"/>
    <col min="2807" max="2807" width="15.28515625" style="2047" customWidth="1"/>
    <col min="2808" max="3060" width="9.140625" style="2047"/>
    <col min="3061" max="3061" width="78.42578125" style="2047" customWidth="1"/>
    <col min="3062" max="3062" width="7.42578125" style="2047" customWidth="1"/>
    <col min="3063" max="3063" width="15.28515625" style="2047" customWidth="1"/>
    <col min="3064" max="3316" width="9.140625" style="2047"/>
    <col min="3317" max="3317" width="78.42578125" style="2047" customWidth="1"/>
    <col min="3318" max="3318" width="7.42578125" style="2047" customWidth="1"/>
    <col min="3319" max="3319" width="15.28515625" style="2047" customWidth="1"/>
    <col min="3320" max="3572" width="9.140625" style="2047"/>
    <col min="3573" max="3573" width="78.42578125" style="2047" customWidth="1"/>
    <col min="3574" max="3574" width="7.42578125" style="2047" customWidth="1"/>
    <col min="3575" max="3575" width="15.28515625" style="2047" customWidth="1"/>
    <col min="3576" max="3828" width="9.140625" style="2047"/>
    <col min="3829" max="3829" width="78.42578125" style="2047" customWidth="1"/>
    <col min="3830" max="3830" width="7.42578125" style="2047" customWidth="1"/>
    <col min="3831" max="3831" width="15.28515625" style="2047" customWidth="1"/>
    <col min="3832" max="4084" width="9.140625" style="2047"/>
    <col min="4085" max="4085" width="78.42578125" style="2047" customWidth="1"/>
    <col min="4086" max="4086" width="7.42578125" style="2047" customWidth="1"/>
    <col min="4087" max="4087" width="15.28515625" style="2047" customWidth="1"/>
    <col min="4088" max="4340" width="9.140625" style="2047"/>
    <col min="4341" max="4341" width="78.42578125" style="2047" customWidth="1"/>
    <col min="4342" max="4342" width="7.42578125" style="2047" customWidth="1"/>
    <col min="4343" max="4343" width="15.28515625" style="2047" customWidth="1"/>
    <col min="4344" max="4596" width="9.140625" style="2047"/>
    <col min="4597" max="4597" width="78.42578125" style="2047" customWidth="1"/>
    <col min="4598" max="4598" width="7.42578125" style="2047" customWidth="1"/>
    <col min="4599" max="4599" width="15.28515625" style="2047" customWidth="1"/>
    <col min="4600" max="4852" width="9.140625" style="2047"/>
    <col min="4853" max="4853" width="78.42578125" style="2047" customWidth="1"/>
    <col min="4854" max="4854" width="7.42578125" style="2047" customWidth="1"/>
    <col min="4855" max="4855" width="15.28515625" style="2047" customWidth="1"/>
    <col min="4856" max="5108" width="9.140625" style="2047"/>
    <col min="5109" max="5109" width="78.42578125" style="2047" customWidth="1"/>
    <col min="5110" max="5110" width="7.42578125" style="2047" customWidth="1"/>
    <col min="5111" max="5111" width="15.28515625" style="2047" customWidth="1"/>
    <col min="5112" max="5364" width="9.140625" style="2047"/>
    <col min="5365" max="5365" width="78.42578125" style="2047" customWidth="1"/>
    <col min="5366" max="5366" width="7.42578125" style="2047" customWidth="1"/>
    <col min="5367" max="5367" width="15.28515625" style="2047" customWidth="1"/>
    <col min="5368" max="5620" width="9.140625" style="2047"/>
    <col min="5621" max="5621" width="78.42578125" style="2047" customWidth="1"/>
    <col min="5622" max="5622" width="7.42578125" style="2047" customWidth="1"/>
    <col min="5623" max="5623" width="15.28515625" style="2047" customWidth="1"/>
    <col min="5624" max="5876" width="9.140625" style="2047"/>
    <col min="5877" max="5877" width="78.42578125" style="2047" customWidth="1"/>
    <col min="5878" max="5878" width="7.42578125" style="2047" customWidth="1"/>
    <col min="5879" max="5879" width="15.28515625" style="2047" customWidth="1"/>
    <col min="5880" max="6132" width="9.140625" style="2047"/>
    <col min="6133" max="6133" width="78.42578125" style="2047" customWidth="1"/>
    <col min="6134" max="6134" width="7.42578125" style="2047" customWidth="1"/>
    <col min="6135" max="6135" width="15.28515625" style="2047" customWidth="1"/>
    <col min="6136" max="6388" width="9.140625" style="2047"/>
    <col min="6389" max="6389" width="78.42578125" style="2047" customWidth="1"/>
    <col min="6390" max="6390" width="7.42578125" style="2047" customWidth="1"/>
    <col min="6391" max="6391" width="15.28515625" style="2047" customWidth="1"/>
    <col min="6392" max="6644" width="9.140625" style="2047"/>
    <col min="6645" max="6645" width="78.42578125" style="2047" customWidth="1"/>
    <col min="6646" max="6646" width="7.42578125" style="2047" customWidth="1"/>
    <col min="6647" max="6647" width="15.28515625" style="2047" customWidth="1"/>
    <col min="6648" max="6900" width="9.140625" style="2047"/>
    <col min="6901" max="6901" width="78.42578125" style="2047" customWidth="1"/>
    <col min="6902" max="6902" width="7.42578125" style="2047" customWidth="1"/>
    <col min="6903" max="6903" width="15.28515625" style="2047" customWidth="1"/>
    <col min="6904" max="7156" width="9.140625" style="2047"/>
    <col min="7157" max="7157" width="78.42578125" style="2047" customWidth="1"/>
    <col min="7158" max="7158" width="7.42578125" style="2047" customWidth="1"/>
    <col min="7159" max="7159" width="15.28515625" style="2047" customWidth="1"/>
    <col min="7160" max="7412" width="9.140625" style="2047"/>
    <col min="7413" max="7413" width="78.42578125" style="2047" customWidth="1"/>
    <col min="7414" max="7414" width="7.42578125" style="2047" customWidth="1"/>
    <col min="7415" max="7415" width="15.28515625" style="2047" customWidth="1"/>
    <col min="7416" max="7668" width="9.140625" style="2047"/>
    <col min="7669" max="7669" width="78.42578125" style="2047" customWidth="1"/>
    <col min="7670" max="7670" width="7.42578125" style="2047" customWidth="1"/>
    <col min="7671" max="7671" width="15.28515625" style="2047" customWidth="1"/>
    <col min="7672" max="7924" width="9.140625" style="2047"/>
    <col min="7925" max="7925" width="78.42578125" style="2047" customWidth="1"/>
    <col min="7926" max="7926" width="7.42578125" style="2047" customWidth="1"/>
    <col min="7927" max="7927" width="15.28515625" style="2047" customWidth="1"/>
    <col min="7928" max="8180" width="9.140625" style="2047"/>
    <col min="8181" max="8181" width="78.42578125" style="2047" customWidth="1"/>
    <col min="8182" max="8182" width="7.42578125" style="2047" customWidth="1"/>
    <col min="8183" max="8183" width="15.28515625" style="2047" customWidth="1"/>
    <col min="8184" max="8436" width="9.140625" style="2047"/>
    <col min="8437" max="8437" width="78.42578125" style="2047" customWidth="1"/>
    <col min="8438" max="8438" width="7.42578125" style="2047" customWidth="1"/>
    <col min="8439" max="8439" width="15.28515625" style="2047" customWidth="1"/>
    <col min="8440" max="8692" width="9.140625" style="2047"/>
    <col min="8693" max="8693" width="78.42578125" style="2047" customWidth="1"/>
    <col min="8694" max="8694" width="7.42578125" style="2047" customWidth="1"/>
    <col min="8695" max="8695" width="15.28515625" style="2047" customWidth="1"/>
    <col min="8696" max="8948" width="9.140625" style="2047"/>
    <col min="8949" max="8949" width="78.42578125" style="2047" customWidth="1"/>
    <col min="8950" max="8950" width="7.42578125" style="2047" customWidth="1"/>
    <col min="8951" max="8951" width="15.28515625" style="2047" customWidth="1"/>
    <col min="8952" max="9204" width="9.140625" style="2047"/>
    <col min="9205" max="9205" width="78.42578125" style="2047" customWidth="1"/>
    <col min="9206" max="9206" width="7.42578125" style="2047" customWidth="1"/>
    <col min="9207" max="9207" width="15.28515625" style="2047" customWidth="1"/>
    <col min="9208" max="9460" width="9.140625" style="2047"/>
    <col min="9461" max="9461" width="78.42578125" style="2047" customWidth="1"/>
    <col min="9462" max="9462" width="7.42578125" style="2047" customWidth="1"/>
    <col min="9463" max="9463" width="15.28515625" style="2047" customWidth="1"/>
    <col min="9464" max="9716" width="9.140625" style="2047"/>
    <col min="9717" max="9717" width="78.42578125" style="2047" customWidth="1"/>
    <col min="9718" max="9718" width="7.42578125" style="2047" customWidth="1"/>
    <col min="9719" max="9719" width="15.28515625" style="2047" customWidth="1"/>
    <col min="9720" max="9972" width="9.140625" style="2047"/>
    <col min="9973" max="9973" width="78.42578125" style="2047" customWidth="1"/>
    <col min="9974" max="9974" width="7.42578125" style="2047" customWidth="1"/>
    <col min="9975" max="9975" width="15.28515625" style="2047" customWidth="1"/>
    <col min="9976" max="10228" width="9.140625" style="2047"/>
    <col min="10229" max="10229" width="78.42578125" style="2047" customWidth="1"/>
    <col min="10230" max="10230" width="7.42578125" style="2047" customWidth="1"/>
    <col min="10231" max="10231" width="15.28515625" style="2047" customWidth="1"/>
    <col min="10232" max="10484" width="9.140625" style="2047"/>
    <col min="10485" max="10485" width="78.42578125" style="2047" customWidth="1"/>
    <col min="10486" max="10486" width="7.42578125" style="2047" customWidth="1"/>
    <col min="10487" max="10487" width="15.28515625" style="2047" customWidth="1"/>
    <col min="10488" max="10740" width="9.140625" style="2047"/>
    <col min="10741" max="10741" width="78.42578125" style="2047" customWidth="1"/>
    <col min="10742" max="10742" width="7.42578125" style="2047" customWidth="1"/>
    <col min="10743" max="10743" width="15.28515625" style="2047" customWidth="1"/>
    <col min="10744" max="10996" width="9.140625" style="2047"/>
    <col min="10997" max="10997" width="78.42578125" style="2047" customWidth="1"/>
    <col min="10998" max="10998" width="7.42578125" style="2047" customWidth="1"/>
    <col min="10999" max="10999" width="15.28515625" style="2047" customWidth="1"/>
    <col min="11000" max="11252" width="9.140625" style="2047"/>
    <col min="11253" max="11253" width="78.42578125" style="2047" customWidth="1"/>
    <col min="11254" max="11254" width="7.42578125" style="2047" customWidth="1"/>
    <col min="11255" max="11255" width="15.28515625" style="2047" customWidth="1"/>
    <col min="11256" max="11508" width="9.140625" style="2047"/>
    <col min="11509" max="11509" width="78.42578125" style="2047" customWidth="1"/>
    <col min="11510" max="11510" width="7.42578125" style="2047" customWidth="1"/>
    <col min="11511" max="11511" width="15.28515625" style="2047" customWidth="1"/>
    <col min="11512" max="11764" width="9.140625" style="2047"/>
    <col min="11765" max="11765" width="78.42578125" style="2047" customWidth="1"/>
    <col min="11766" max="11766" width="7.42578125" style="2047" customWidth="1"/>
    <col min="11767" max="11767" width="15.28515625" style="2047" customWidth="1"/>
    <col min="11768" max="12020" width="9.140625" style="2047"/>
    <col min="12021" max="12021" width="78.42578125" style="2047" customWidth="1"/>
    <col min="12022" max="12022" width="7.42578125" style="2047" customWidth="1"/>
    <col min="12023" max="12023" width="15.28515625" style="2047" customWidth="1"/>
    <col min="12024" max="12276" width="9.140625" style="2047"/>
    <col min="12277" max="12277" width="78.42578125" style="2047" customWidth="1"/>
    <col min="12278" max="12278" width="7.42578125" style="2047" customWidth="1"/>
    <col min="12279" max="12279" width="15.28515625" style="2047" customWidth="1"/>
    <col min="12280" max="12532" width="9.140625" style="2047"/>
    <col min="12533" max="12533" width="78.42578125" style="2047" customWidth="1"/>
    <col min="12534" max="12534" width="7.42578125" style="2047" customWidth="1"/>
    <col min="12535" max="12535" width="15.28515625" style="2047" customWidth="1"/>
    <col min="12536" max="12788" width="9.140625" style="2047"/>
    <col min="12789" max="12789" width="78.42578125" style="2047" customWidth="1"/>
    <col min="12790" max="12790" width="7.42578125" style="2047" customWidth="1"/>
    <col min="12791" max="12791" width="15.28515625" style="2047" customWidth="1"/>
    <col min="12792" max="13044" width="9.140625" style="2047"/>
    <col min="13045" max="13045" width="78.42578125" style="2047" customWidth="1"/>
    <col min="13046" max="13046" width="7.42578125" style="2047" customWidth="1"/>
    <col min="13047" max="13047" width="15.28515625" style="2047" customWidth="1"/>
    <col min="13048" max="13300" width="9.140625" style="2047"/>
    <col min="13301" max="13301" width="78.42578125" style="2047" customWidth="1"/>
    <col min="13302" max="13302" width="7.42578125" style="2047" customWidth="1"/>
    <col min="13303" max="13303" width="15.28515625" style="2047" customWidth="1"/>
    <col min="13304" max="13556" width="9.140625" style="2047"/>
    <col min="13557" max="13557" width="78.42578125" style="2047" customWidth="1"/>
    <col min="13558" max="13558" width="7.42578125" style="2047" customWidth="1"/>
    <col min="13559" max="13559" width="15.28515625" style="2047" customWidth="1"/>
    <col min="13560" max="13812" width="9.140625" style="2047"/>
    <col min="13813" max="13813" width="78.42578125" style="2047" customWidth="1"/>
    <col min="13814" max="13814" width="7.42578125" style="2047" customWidth="1"/>
    <col min="13815" max="13815" width="15.28515625" style="2047" customWidth="1"/>
    <col min="13816" max="14068" width="9.140625" style="2047"/>
    <col min="14069" max="14069" width="78.42578125" style="2047" customWidth="1"/>
    <col min="14070" max="14070" width="7.42578125" style="2047" customWidth="1"/>
    <col min="14071" max="14071" width="15.28515625" style="2047" customWidth="1"/>
    <col min="14072" max="14324" width="9.140625" style="2047"/>
    <col min="14325" max="14325" width="78.42578125" style="2047" customWidth="1"/>
    <col min="14326" max="14326" width="7.42578125" style="2047" customWidth="1"/>
    <col min="14327" max="14327" width="15.28515625" style="2047" customWidth="1"/>
    <col min="14328" max="14580" width="9.140625" style="2047"/>
    <col min="14581" max="14581" width="78.42578125" style="2047" customWidth="1"/>
    <col min="14582" max="14582" width="7.42578125" style="2047" customWidth="1"/>
    <col min="14583" max="14583" width="15.28515625" style="2047" customWidth="1"/>
    <col min="14584" max="14836" width="9.140625" style="2047"/>
    <col min="14837" max="14837" width="78.42578125" style="2047" customWidth="1"/>
    <col min="14838" max="14838" width="7.42578125" style="2047" customWidth="1"/>
    <col min="14839" max="14839" width="15.28515625" style="2047" customWidth="1"/>
    <col min="14840" max="15092" width="9.140625" style="2047"/>
    <col min="15093" max="15093" width="78.42578125" style="2047" customWidth="1"/>
    <col min="15094" max="15094" width="7.42578125" style="2047" customWidth="1"/>
    <col min="15095" max="15095" width="15.28515625" style="2047" customWidth="1"/>
    <col min="15096" max="15348" width="9.140625" style="2047"/>
    <col min="15349" max="15349" width="78.42578125" style="2047" customWidth="1"/>
    <col min="15350" max="15350" width="7.42578125" style="2047" customWidth="1"/>
    <col min="15351" max="15351" width="15.28515625" style="2047" customWidth="1"/>
    <col min="15352" max="15604" width="9.140625" style="2047"/>
    <col min="15605" max="15605" width="78.42578125" style="2047" customWidth="1"/>
    <col min="15606" max="15606" width="7.42578125" style="2047" customWidth="1"/>
    <col min="15607" max="15607" width="15.28515625" style="2047" customWidth="1"/>
    <col min="15608" max="15860" width="9.140625" style="2047"/>
    <col min="15861" max="15861" width="78.42578125" style="2047" customWidth="1"/>
    <col min="15862" max="15862" width="7.42578125" style="2047" customWidth="1"/>
    <col min="15863" max="15863" width="15.28515625" style="2047" customWidth="1"/>
    <col min="15864" max="16116" width="9.140625" style="2047"/>
    <col min="16117" max="16117" width="78.42578125" style="2047" customWidth="1"/>
    <col min="16118" max="16118" width="7.42578125" style="2047" customWidth="1"/>
    <col min="16119" max="16119" width="15.28515625" style="2047" customWidth="1"/>
    <col min="16120" max="16384" width="9.140625" style="2047"/>
  </cols>
  <sheetData>
    <row r="1" spans="1:3" ht="15.75" x14ac:dyDescent="0.25">
      <c r="A1" s="2498" t="s">
        <v>2071</v>
      </c>
      <c r="B1" s="2498"/>
      <c r="C1" s="2498"/>
    </row>
    <row r="2" spans="1:3" ht="15.75" x14ac:dyDescent="0.25">
      <c r="A2" s="2498" t="s">
        <v>1057</v>
      </c>
      <c r="B2" s="2498"/>
      <c r="C2" s="2498"/>
    </row>
    <row r="3" spans="1:3" ht="15.75" x14ac:dyDescent="0.25">
      <c r="A3" s="2497" t="s">
        <v>2101</v>
      </c>
      <c r="B3" s="2497"/>
      <c r="C3" s="2497"/>
    </row>
    <row r="4" spans="1:3" ht="15.75" x14ac:dyDescent="0.25">
      <c r="A4" s="2048"/>
      <c r="B4" s="2048"/>
      <c r="C4" s="2048"/>
    </row>
    <row r="5" spans="1:3" ht="15.75" x14ac:dyDescent="0.25">
      <c r="A5" s="2049"/>
      <c r="B5" s="2049"/>
      <c r="C5" s="2049"/>
    </row>
    <row r="6" spans="1:3" ht="15.75" x14ac:dyDescent="0.25">
      <c r="A6" s="2049"/>
      <c r="B6" s="2049"/>
      <c r="C6" s="2049"/>
    </row>
    <row r="7" spans="1:3" ht="16.5" x14ac:dyDescent="0.25">
      <c r="A7" s="2050"/>
      <c r="B7" s="2050"/>
      <c r="C7" s="2051" t="s">
        <v>2102</v>
      </c>
    </row>
    <row r="8" spans="1:3" ht="16.5" x14ac:dyDescent="0.25">
      <c r="A8" s="2050"/>
      <c r="B8" s="2050"/>
      <c r="C8" s="2051"/>
    </row>
    <row r="9" spans="1:3" ht="16.5" x14ac:dyDescent="0.25">
      <c r="A9" s="2052" t="s">
        <v>2103</v>
      </c>
      <c r="B9" s="2050"/>
      <c r="C9" s="2053" t="s">
        <v>2104</v>
      </c>
    </row>
    <row r="10" spans="1:3" ht="16.5" x14ac:dyDescent="0.25">
      <c r="A10" s="2052"/>
      <c r="B10" s="2050"/>
      <c r="C10" s="2053"/>
    </row>
    <row r="11" spans="1:3" ht="16.5" x14ac:dyDescent="0.25">
      <c r="A11" s="2052" t="s">
        <v>2105</v>
      </c>
      <c r="B11" s="2054"/>
      <c r="C11" s="2053"/>
    </row>
    <row r="12" spans="1:3" ht="16.5" x14ac:dyDescent="0.25">
      <c r="A12" s="2052" t="s">
        <v>2106</v>
      </c>
      <c r="B12" s="2054"/>
      <c r="C12" s="2053"/>
    </row>
    <row r="13" spans="1:3" ht="16.5" x14ac:dyDescent="0.25">
      <c r="A13" s="2052" t="s">
        <v>2107</v>
      </c>
      <c r="B13" s="2054"/>
      <c r="C13" s="2053" t="s">
        <v>2108</v>
      </c>
    </row>
    <row r="14" spans="1:3" ht="16.5" x14ac:dyDescent="0.25">
      <c r="A14" s="2052"/>
      <c r="B14" s="2054"/>
      <c r="C14" s="2053"/>
    </row>
    <row r="15" spans="1:3" ht="16.5" x14ac:dyDescent="0.25">
      <c r="A15" s="2055" t="s">
        <v>2109</v>
      </c>
      <c r="B15" s="2054"/>
      <c r="C15" s="2053"/>
    </row>
    <row r="16" spans="1:3" ht="16.5" x14ac:dyDescent="0.25">
      <c r="A16" s="2052"/>
      <c r="B16" s="2054"/>
      <c r="C16" s="2053"/>
    </row>
    <row r="17" spans="1:3" ht="16.5" x14ac:dyDescent="0.25">
      <c r="A17" s="2052" t="s">
        <v>2110</v>
      </c>
      <c r="B17" s="2054"/>
      <c r="C17" s="2053"/>
    </row>
    <row r="18" spans="1:3" ht="16.5" x14ac:dyDescent="0.25">
      <c r="A18" s="2052" t="s">
        <v>2111</v>
      </c>
      <c r="B18" s="2054"/>
      <c r="C18" s="2053" t="s">
        <v>2112</v>
      </c>
    </row>
    <row r="19" spans="1:3" ht="16.5" x14ac:dyDescent="0.25">
      <c r="A19" s="2052"/>
      <c r="B19" s="2054"/>
      <c r="C19" s="2053"/>
    </row>
    <row r="20" spans="1:3" ht="16.5" x14ac:dyDescent="0.25">
      <c r="A20" s="2052" t="s">
        <v>2113</v>
      </c>
      <c r="B20" s="2054"/>
      <c r="C20" s="2053"/>
    </row>
    <row r="21" spans="1:3" ht="16.5" x14ac:dyDescent="0.25">
      <c r="A21" s="2052" t="s">
        <v>2114</v>
      </c>
      <c r="B21" s="2054"/>
      <c r="C21" s="2053" t="s">
        <v>2115</v>
      </c>
    </row>
    <row r="22" spans="1:3" ht="16.5" x14ac:dyDescent="0.25">
      <c r="A22" s="2052"/>
      <c r="B22" s="2054"/>
      <c r="C22" s="2053"/>
    </row>
    <row r="23" spans="1:3" ht="16.5" x14ac:dyDescent="0.25">
      <c r="A23" s="2052" t="s">
        <v>2116</v>
      </c>
      <c r="B23" s="2054"/>
      <c r="C23" s="2053" t="s">
        <v>2117</v>
      </c>
    </row>
    <row r="24" spans="1:3" ht="16.5" x14ac:dyDescent="0.25">
      <c r="A24" s="2052"/>
      <c r="B24" s="2054"/>
      <c r="C24" s="2053"/>
    </row>
    <row r="25" spans="1:3" ht="16.5" x14ac:dyDescent="0.25">
      <c r="A25" s="2052" t="s">
        <v>2118</v>
      </c>
      <c r="B25" s="2054"/>
      <c r="C25" s="2053" t="s">
        <v>2119</v>
      </c>
    </row>
    <row r="26" spans="1:3" ht="16.5" x14ac:dyDescent="0.25">
      <c r="A26" s="2052"/>
      <c r="B26" s="2054"/>
      <c r="C26" s="2053"/>
    </row>
    <row r="27" spans="1:3" ht="16.5" x14ac:dyDescent="0.25">
      <c r="A27" s="2052" t="s">
        <v>2120</v>
      </c>
      <c r="B27" s="2054"/>
      <c r="C27" s="2053" t="s">
        <v>2154</v>
      </c>
    </row>
    <row r="28" spans="1:3" ht="16.5" x14ac:dyDescent="0.25">
      <c r="A28" s="2052"/>
      <c r="B28" s="2054"/>
      <c r="C28" s="2053"/>
    </row>
    <row r="29" spans="1:3" ht="16.5" x14ac:dyDescent="0.25">
      <c r="A29" s="2055" t="s">
        <v>2121</v>
      </c>
      <c r="B29" s="2054"/>
      <c r="C29" s="2053"/>
    </row>
    <row r="30" spans="1:3" ht="16.5" x14ac:dyDescent="0.25">
      <c r="A30" s="2052"/>
      <c r="B30" s="2054"/>
      <c r="C30" s="2053"/>
    </row>
    <row r="31" spans="1:3" ht="16.5" x14ac:dyDescent="0.25">
      <c r="A31" s="2052" t="s">
        <v>2122</v>
      </c>
      <c r="B31" s="2054"/>
      <c r="C31" s="2053" t="s">
        <v>2155</v>
      </c>
    </row>
    <row r="32" spans="1:3" ht="16.5" x14ac:dyDescent="0.25">
      <c r="A32" s="2052"/>
      <c r="B32" s="2054"/>
      <c r="C32" s="2053"/>
    </row>
    <row r="33" spans="1:3" ht="16.5" x14ac:dyDescent="0.25">
      <c r="A33" s="2052" t="s">
        <v>2124</v>
      </c>
      <c r="B33" s="2054"/>
      <c r="C33" s="2053" t="s">
        <v>2123</v>
      </c>
    </row>
    <row r="34" spans="1:3" ht="16.5" x14ac:dyDescent="0.25">
      <c r="A34" s="2052"/>
      <c r="B34" s="2054"/>
      <c r="C34" s="2053"/>
    </row>
    <row r="35" spans="1:3" ht="16.5" x14ac:dyDescent="0.25">
      <c r="A35" s="2052" t="s">
        <v>2126</v>
      </c>
      <c r="B35" s="2054"/>
      <c r="C35" s="2053" t="s">
        <v>2125</v>
      </c>
    </row>
    <row r="36" spans="1:3" ht="16.5" x14ac:dyDescent="0.25">
      <c r="A36" s="2052"/>
      <c r="B36" s="2054"/>
      <c r="C36" s="2053"/>
    </row>
    <row r="37" spans="1:3" ht="16.5" x14ac:dyDescent="0.25">
      <c r="A37" s="2052" t="s">
        <v>2128</v>
      </c>
      <c r="B37" s="2056"/>
      <c r="C37" s="2053" t="s">
        <v>2127</v>
      </c>
    </row>
    <row r="38" spans="1:3" ht="16.5" x14ac:dyDescent="0.25">
      <c r="A38" s="2052"/>
      <c r="B38" s="2056"/>
      <c r="C38" s="2053"/>
    </row>
    <row r="39" spans="1:3" ht="16.5" x14ac:dyDescent="0.25">
      <c r="A39" s="2055" t="s">
        <v>2130</v>
      </c>
      <c r="B39" s="2054"/>
      <c r="C39" s="2057"/>
    </row>
    <row r="40" spans="1:3" ht="16.5" x14ac:dyDescent="0.25">
      <c r="A40" s="2052"/>
      <c r="B40" s="2054"/>
      <c r="C40" s="2057"/>
    </row>
    <row r="41" spans="1:3" ht="16.5" x14ac:dyDescent="0.25">
      <c r="A41" s="2052" t="s">
        <v>2131</v>
      </c>
      <c r="B41" s="2054"/>
      <c r="C41" s="2058" t="s">
        <v>2129</v>
      </c>
    </row>
    <row r="42" spans="1:3" ht="16.5" x14ac:dyDescent="0.25">
      <c r="A42" s="2052"/>
      <c r="B42" s="2054"/>
      <c r="C42" s="2057"/>
    </row>
    <row r="43" spans="1:3" ht="16.5" x14ac:dyDescent="0.25">
      <c r="A43" s="2052" t="s">
        <v>2132</v>
      </c>
      <c r="B43" s="2054"/>
      <c r="C43" s="2057"/>
    </row>
    <row r="44" spans="1:3" ht="16.5" x14ac:dyDescent="0.25">
      <c r="A44" s="2052" t="s">
        <v>2133</v>
      </c>
      <c r="B44" s="2054"/>
      <c r="C44" s="2058" t="s">
        <v>2156</v>
      </c>
    </row>
    <row r="45" spans="1:3" ht="16.5" x14ac:dyDescent="0.25">
      <c r="A45" s="2052"/>
      <c r="B45" s="2056"/>
      <c r="C45" s="2053"/>
    </row>
    <row r="46" spans="1:3" ht="16.5" x14ac:dyDescent="0.25">
      <c r="A46" s="2052"/>
      <c r="B46" s="2056"/>
      <c r="C46" s="2053"/>
    </row>
    <row r="47" spans="1:3" ht="16.5" x14ac:dyDescent="0.25">
      <c r="A47" s="2052"/>
      <c r="B47" s="2056"/>
      <c r="C47" s="2053"/>
    </row>
    <row r="48" spans="1:3" ht="16.5" x14ac:dyDescent="0.25">
      <c r="A48" s="2052"/>
      <c r="B48" s="2056"/>
      <c r="C48" s="2053"/>
    </row>
    <row r="49" spans="1:3" ht="16.5" x14ac:dyDescent="0.25">
      <c r="A49" s="2052"/>
      <c r="B49" s="2056"/>
      <c r="C49" s="2053"/>
    </row>
    <row r="50" spans="1:3" ht="16.5" x14ac:dyDescent="0.25">
      <c r="A50" s="2052"/>
      <c r="B50" s="2056"/>
      <c r="C50" s="2053"/>
    </row>
    <row r="51" spans="1:3" ht="16.5" x14ac:dyDescent="0.25">
      <c r="A51" s="2052"/>
      <c r="B51" s="2056"/>
      <c r="C51" s="2053"/>
    </row>
    <row r="52" spans="1:3" ht="16.5" x14ac:dyDescent="0.25">
      <c r="A52" s="2052"/>
      <c r="B52" s="2056"/>
      <c r="C52" s="2053"/>
    </row>
    <row r="53" spans="1:3" ht="15.75" x14ac:dyDescent="0.25">
      <c r="A53" s="2498" t="s">
        <v>2071</v>
      </c>
      <c r="B53" s="2498"/>
      <c r="C53" s="2498"/>
    </row>
    <row r="54" spans="1:3" ht="15.75" x14ac:dyDescent="0.25">
      <c r="A54" s="2498" t="s">
        <v>2134</v>
      </c>
      <c r="B54" s="2498"/>
      <c r="C54" s="2498"/>
    </row>
    <row r="55" spans="1:3" ht="15.75" x14ac:dyDescent="0.25">
      <c r="A55" s="2497" t="s">
        <v>2101</v>
      </c>
      <c r="B55" s="2497"/>
      <c r="C55" s="2497"/>
    </row>
    <row r="56" spans="1:3" ht="15.75" x14ac:dyDescent="0.25">
      <c r="A56" s="2048"/>
      <c r="B56" s="2048"/>
      <c r="C56" s="2048"/>
    </row>
    <row r="57" spans="1:3" ht="15.75" x14ac:dyDescent="0.25">
      <c r="A57" s="2049"/>
      <c r="B57" s="2049"/>
      <c r="C57" s="2049"/>
    </row>
    <row r="58" spans="1:3" ht="15.75" x14ac:dyDescent="0.25">
      <c r="A58" s="2049"/>
      <c r="B58" s="2049"/>
      <c r="C58" s="2049"/>
    </row>
    <row r="59" spans="1:3" ht="16.5" x14ac:dyDescent="0.25">
      <c r="A59" s="2050"/>
      <c r="B59" s="2050"/>
      <c r="C59" s="2051" t="s">
        <v>2102</v>
      </c>
    </row>
    <row r="60" spans="1:3" ht="16.5" x14ac:dyDescent="0.25">
      <c r="A60" s="2052"/>
      <c r="B60" s="2054"/>
      <c r="C60" s="2057"/>
    </row>
    <row r="61" spans="1:3" ht="16.5" x14ac:dyDescent="0.25">
      <c r="A61" s="2052"/>
      <c r="B61" s="2054"/>
      <c r="C61" s="2057"/>
    </row>
    <row r="62" spans="1:3" ht="16.5" x14ac:dyDescent="0.25">
      <c r="A62" s="2055" t="s">
        <v>2135</v>
      </c>
      <c r="B62" s="2054"/>
      <c r="C62" s="2057"/>
    </row>
    <row r="63" spans="1:3" ht="16.5" x14ac:dyDescent="0.25">
      <c r="A63" s="2052"/>
      <c r="B63" s="2054"/>
      <c r="C63" s="2057"/>
    </row>
    <row r="64" spans="1:3" ht="16.5" x14ac:dyDescent="0.25">
      <c r="A64" s="2052" t="s">
        <v>2136</v>
      </c>
      <c r="B64" s="2054"/>
      <c r="C64" s="2058" t="s">
        <v>2157</v>
      </c>
    </row>
    <row r="65" spans="1:3" ht="16.5" x14ac:dyDescent="0.25">
      <c r="A65" s="2052"/>
      <c r="B65" s="2054"/>
      <c r="C65" s="2058"/>
    </row>
    <row r="66" spans="1:3" ht="16.5" x14ac:dyDescent="0.25">
      <c r="A66" s="2052" t="s">
        <v>2138</v>
      </c>
      <c r="B66" s="2054"/>
      <c r="C66" s="2058" t="s">
        <v>2137</v>
      </c>
    </row>
    <row r="67" spans="1:3" ht="16.5" x14ac:dyDescent="0.25">
      <c r="A67" s="2052"/>
      <c r="B67" s="2054"/>
      <c r="C67" s="2058"/>
    </row>
    <row r="68" spans="1:3" ht="16.5" x14ac:dyDescent="0.25">
      <c r="A68" s="2052" t="s">
        <v>2139</v>
      </c>
      <c r="B68" s="2054"/>
      <c r="C68" s="2058" t="s">
        <v>2158</v>
      </c>
    </row>
    <row r="69" spans="1:3" ht="16.5" x14ac:dyDescent="0.25">
      <c r="A69" s="2052"/>
      <c r="B69" s="2054"/>
      <c r="C69" s="2057"/>
    </row>
    <row r="70" spans="1:3" ht="16.5" x14ac:dyDescent="0.25">
      <c r="A70" s="2052" t="s">
        <v>2140</v>
      </c>
      <c r="B70" s="2054"/>
      <c r="C70" s="2058" t="s">
        <v>2159</v>
      </c>
    </row>
    <row r="71" spans="1:3" ht="16.5" x14ac:dyDescent="0.25">
      <c r="A71" s="2052"/>
      <c r="B71" s="2054"/>
      <c r="C71" s="2057"/>
    </row>
    <row r="72" spans="1:3" ht="16.5" x14ac:dyDescent="0.25">
      <c r="A72" s="2052" t="s">
        <v>2141</v>
      </c>
      <c r="B72" s="2054"/>
      <c r="C72" s="2058" t="s">
        <v>2160</v>
      </c>
    </row>
    <row r="73" spans="1:3" ht="16.5" x14ac:dyDescent="0.25">
      <c r="A73" s="2052"/>
      <c r="B73" s="2054"/>
      <c r="C73" s="2057"/>
    </row>
    <row r="74" spans="1:3" ht="16.5" x14ac:dyDescent="0.25">
      <c r="A74" s="2052" t="s">
        <v>2142</v>
      </c>
      <c r="B74" s="2054"/>
      <c r="C74" s="2058" t="s">
        <v>2161</v>
      </c>
    </row>
    <row r="75" spans="1:3" ht="16.5" x14ac:dyDescent="0.25">
      <c r="A75" s="2052"/>
      <c r="B75" s="2054"/>
      <c r="C75" s="2058"/>
    </row>
    <row r="76" spans="1:3" ht="16.5" x14ac:dyDescent="0.25">
      <c r="A76" s="2052" t="s">
        <v>2143</v>
      </c>
      <c r="B76" s="2054"/>
      <c r="C76" s="2058" t="s">
        <v>2162</v>
      </c>
    </row>
    <row r="77" spans="1:3" ht="16.5" x14ac:dyDescent="0.25">
      <c r="A77" s="2052"/>
      <c r="B77" s="2054"/>
      <c r="C77" s="2058"/>
    </row>
    <row r="78" spans="1:3" ht="16.5" x14ac:dyDescent="0.25">
      <c r="A78" s="2052" t="s">
        <v>2144</v>
      </c>
      <c r="B78" s="2054"/>
      <c r="C78" s="2058" t="s">
        <v>2163</v>
      </c>
    </row>
    <row r="79" spans="1:3" ht="16.5" x14ac:dyDescent="0.25">
      <c r="A79" s="2052"/>
      <c r="B79" s="2054"/>
      <c r="C79" s="2057"/>
    </row>
    <row r="80" spans="1:3" ht="15.75" x14ac:dyDescent="0.25">
      <c r="A80" s="2059"/>
      <c r="B80" s="2059"/>
      <c r="C80" s="2060"/>
    </row>
    <row r="81" spans="1:3" ht="15" x14ac:dyDescent="0.25">
      <c r="A81" s="2061"/>
      <c r="B81" s="2061"/>
      <c r="C81" s="2062"/>
    </row>
    <row r="82" spans="1:3" ht="15" x14ac:dyDescent="0.25">
      <c r="A82" s="2063" t="s">
        <v>2145</v>
      </c>
    </row>
    <row r="83" spans="1:3" ht="15" x14ac:dyDescent="0.25">
      <c r="A83" s="2061" t="s">
        <v>2146</v>
      </c>
    </row>
    <row r="84" spans="1:3" ht="15" x14ac:dyDescent="0.25">
      <c r="A84" s="2061" t="s">
        <v>2147</v>
      </c>
    </row>
    <row r="85" spans="1:3" ht="15" x14ac:dyDescent="0.25">
      <c r="A85" s="2061" t="s">
        <v>2148</v>
      </c>
    </row>
    <row r="86" spans="1:3" ht="15" x14ac:dyDescent="0.25">
      <c r="A86" s="2061" t="s">
        <v>2149</v>
      </c>
    </row>
  </sheetData>
  <mergeCells count="6">
    <mergeCell ref="A55:C55"/>
    <mergeCell ref="A1:C1"/>
    <mergeCell ref="A2:C2"/>
    <mergeCell ref="A3:C3"/>
    <mergeCell ref="A53:C53"/>
    <mergeCell ref="A54:C54"/>
  </mergeCells>
  <printOptions horizontalCentered="1"/>
  <pageMargins left="1" right="0.75" top="0.75" bottom="0.5" header="0.5" footer="0.5"/>
  <pageSetup scale="86" fitToHeight="2" orientation="portrait" r:id="rId1"/>
  <rowBreaks count="1" manualBreakCount="1">
    <brk id="52"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6:F23"/>
  <sheetViews>
    <sheetView showGridLines="0" zoomScale="110" zoomScaleNormal="110" workbookViewId="0">
      <selection activeCell="B13" sqref="B13"/>
    </sheetView>
  </sheetViews>
  <sheetFormatPr defaultColWidth="9.140625" defaultRowHeight="12.75" x14ac:dyDescent="0.2"/>
  <cols>
    <col min="1" max="1" width="1.85546875" style="307" customWidth="1"/>
    <col min="2" max="2" width="24" style="307" customWidth="1"/>
    <col min="3" max="16384" width="9.140625" style="307"/>
  </cols>
  <sheetData>
    <row r="16" spans="2:6" x14ac:dyDescent="0.2">
      <c r="B16" s="850"/>
      <c r="C16" s="850"/>
      <c r="D16" s="850"/>
      <c r="E16" s="850"/>
      <c r="F16" s="850"/>
    </row>
    <row r="18" spans="1:2" x14ac:dyDescent="0.2">
      <c r="A18" s="851" t="s">
        <v>1476</v>
      </c>
    </row>
    <row r="20" spans="1:2" x14ac:dyDescent="0.2">
      <c r="A20" s="366" t="s">
        <v>852</v>
      </c>
    </row>
    <row r="21" spans="1:2" s="850" customFormat="1" ht="45" customHeight="1" x14ac:dyDescent="0.2">
      <c r="A21" s="852"/>
      <c r="B21" s="852" t="s">
        <v>1973</v>
      </c>
    </row>
    <row r="22" spans="1:2" ht="6" customHeight="1" x14ac:dyDescent="0.2"/>
    <row r="23" spans="1:2" ht="24.75" customHeight="1" x14ac:dyDescent="0.2">
      <c r="A23" s="2499" t="s">
        <v>1665</v>
      </c>
      <c r="B23" s="2499"/>
    </row>
  </sheetData>
  <sheetProtection selectLockedCells="1"/>
  <mergeCells count="1">
    <mergeCell ref="A23:B23"/>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2</xdr:col>
                <xdr:colOff>0</xdr:colOff>
                <xdr:row>7</xdr:row>
                <xdr:rowOff>0</xdr:rowOff>
              </from>
              <to>
                <xdr:col>3</xdr:col>
                <xdr:colOff>304800</xdr:colOff>
                <xdr:row>11</xdr:row>
                <xdr:rowOff>38100</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4C3A0-B3B4-46DB-BF65-1FFB4FF9F633}">
  <dimension ref="A1:I35"/>
  <sheetViews>
    <sheetView topLeftCell="A17" zoomScale="130" zoomScaleNormal="130" workbookViewId="0">
      <selection activeCell="A36" sqref="A36"/>
    </sheetView>
  </sheetViews>
  <sheetFormatPr defaultColWidth="8.85546875" defaultRowHeight="12.75" x14ac:dyDescent="0.2"/>
  <cols>
    <col min="1" max="1" width="32.140625" style="2034" customWidth="1"/>
    <col min="2" max="2" width="1.85546875" style="2034" customWidth="1"/>
    <col min="3" max="3" width="12.5703125" style="2038" customWidth="1"/>
    <col min="4" max="4" width="1.85546875" style="2038" customWidth="1"/>
    <col min="5" max="5" width="12.5703125" style="2038" customWidth="1"/>
    <col min="6" max="6" width="1.85546875" style="2038" customWidth="1"/>
    <col min="7" max="7" width="12.5703125" style="2038" customWidth="1"/>
    <col min="8" max="8" width="1.85546875" style="2038" customWidth="1"/>
    <col min="9" max="9" width="12.5703125" style="2038" customWidth="1"/>
    <col min="10" max="16384" width="8.85546875" style="2034"/>
  </cols>
  <sheetData>
    <row r="1" spans="1:9" x14ac:dyDescent="0.2">
      <c r="A1" s="2500" t="s">
        <v>2071</v>
      </c>
      <c r="B1" s="2500"/>
      <c r="C1" s="2500"/>
      <c r="D1" s="2500"/>
      <c r="E1" s="2500"/>
      <c r="F1" s="2500"/>
      <c r="G1" s="2500"/>
      <c r="H1" s="2500"/>
      <c r="I1" s="2500"/>
    </row>
    <row r="2" spans="1:9" x14ac:dyDescent="0.2">
      <c r="A2" s="2500" t="s">
        <v>2072</v>
      </c>
      <c r="B2" s="2500"/>
      <c r="C2" s="2500"/>
      <c r="D2" s="2500"/>
      <c r="E2" s="2500"/>
      <c r="F2" s="2500"/>
      <c r="G2" s="2500"/>
      <c r="H2" s="2500"/>
      <c r="I2" s="2500"/>
    </row>
    <row r="3" spans="1:9" x14ac:dyDescent="0.2">
      <c r="A3" s="2500" t="s">
        <v>2073</v>
      </c>
      <c r="B3" s="2500"/>
      <c r="C3" s="2500"/>
      <c r="D3" s="2500"/>
      <c r="E3" s="2500"/>
      <c r="F3" s="2500"/>
      <c r="G3" s="2500"/>
      <c r="H3" s="2500"/>
      <c r="I3" s="2500"/>
    </row>
    <row r="4" spans="1:9" x14ac:dyDescent="0.2">
      <c r="A4" s="2500" t="s">
        <v>2074</v>
      </c>
      <c r="B4" s="2500"/>
      <c r="C4" s="2500"/>
      <c r="D4" s="2500"/>
      <c r="E4" s="2500"/>
      <c r="F4" s="2500"/>
      <c r="G4" s="2500"/>
      <c r="H4" s="2500"/>
      <c r="I4" s="2500"/>
    </row>
    <row r="7" spans="1:9" x14ac:dyDescent="0.2">
      <c r="C7" s="2035" t="s">
        <v>2075</v>
      </c>
      <c r="D7" s="2035"/>
      <c r="E7" s="2035"/>
      <c r="F7" s="2035"/>
      <c r="G7" s="2035"/>
      <c r="H7" s="2035"/>
      <c r="I7" s="2035" t="s">
        <v>2075</v>
      </c>
    </row>
    <row r="8" spans="1:9" x14ac:dyDescent="0.2">
      <c r="C8" s="2036" t="s">
        <v>2076</v>
      </c>
      <c r="D8" s="2035"/>
      <c r="E8" s="2037" t="s">
        <v>2077</v>
      </c>
      <c r="F8" s="2035"/>
      <c r="G8" s="2037" t="s">
        <v>2078</v>
      </c>
      <c r="H8" s="2035"/>
      <c r="I8" s="2036" t="s">
        <v>2079</v>
      </c>
    </row>
    <row r="10" spans="1:9" x14ac:dyDescent="0.2">
      <c r="A10" s="2034" t="s">
        <v>2080</v>
      </c>
    </row>
    <row r="12" spans="1:9" ht="13.5" thickBot="1" x14ac:dyDescent="0.25">
      <c r="A12" s="2034" t="s">
        <v>2081</v>
      </c>
      <c r="C12" s="2039">
        <f>+C34</f>
        <v>15583</v>
      </c>
      <c r="D12" s="2040"/>
      <c r="E12" s="2039">
        <f>+E34</f>
        <v>16619.89</v>
      </c>
      <c r="F12" s="2040"/>
      <c r="G12" s="2039">
        <f>+G34</f>
        <v>12363.289999999997</v>
      </c>
      <c r="H12" s="2040"/>
      <c r="I12" s="2039">
        <f>+I34</f>
        <v>19839.599999999999</v>
      </c>
    </row>
    <row r="13" spans="1:9" ht="13.5" thickTop="1" x14ac:dyDescent="0.2">
      <c r="C13" s="2041"/>
      <c r="D13" s="2041"/>
      <c r="E13" s="2041"/>
      <c r="F13" s="2041"/>
      <c r="G13" s="2041"/>
      <c r="H13" s="2041"/>
      <c r="I13" s="2041"/>
    </row>
    <row r="14" spans="1:9" x14ac:dyDescent="0.2">
      <c r="A14" s="2034" t="s">
        <v>2082</v>
      </c>
      <c r="C14" s="2041"/>
      <c r="D14" s="2041"/>
      <c r="E14" s="2041"/>
      <c r="F14" s="2041"/>
      <c r="G14" s="2041"/>
      <c r="H14" s="2041"/>
      <c r="I14" s="2041"/>
    </row>
    <row r="15" spans="1:9" x14ac:dyDescent="0.2">
      <c r="C15" s="2041"/>
      <c r="D15" s="2041"/>
      <c r="E15" s="2041"/>
      <c r="F15" s="2041"/>
      <c r="G15" s="2041"/>
      <c r="H15" s="2041"/>
      <c r="I15" s="2041"/>
    </row>
    <row r="16" spans="1:9" x14ac:dyDescent="0.2">
      <c r="A16" s="2034" t="s">
        <v>2083</v>
      </c>
      <c r="C16" s="2041"/>
      <c r="D16" s="2041"/>
      <c r="E16" s="2041"/>
      <c r="F16" s="2041"/>
      <c r="G16" s="2041"/>
      <c r="H16" s="2041"/>
      <c r="I16" s="2041"/>
    </row>
    <row r="17" spans="1:9" x14ac:dyDescent="0.2">
      <c r="A17" s="2042" t="s">
        <v>2084</v>
      </c>
      <c r="C17" s="2043">
        <f>-32.75+3855.29</f>
        <v>3822.54</v>
      </c>
      <c r="D17" s="2043"/>
      <c r="E17" s="2043">
        <f>3734.39+6097.2-3855.29</f>
        <v>5976.3</v>
      </c>
      <c r="F17" s="2043"/>
      <c r="G17" s="2043">
        <f>4344.57+100.2+286.7</f>
        <v>4731.4699999999993</v>
      </c>
      <c r="H17" s="2043"/>
      <c r="I17" s="2043">
        <f>C17+E17-G17</f>
        <v>5067.3700000000008</v>
      </c>
    </row>
    <row r="18" spans="1:9" x14ac:dyDescent="0.2">
      <c r="A18" s="2042" t="s">
        <v>2085</v>
      </c>
      <c r="C18" s="2041">
        <v>48.23</v>
      </c>
      <c r="D18" s="2041"/>
      <c r="E18" s="2041">
        <v>0</v>
      </c>
      <c r="F18" s="2041"/>
      <c r="G18" s="2041">
        <v>48.23</v>
      </c>
      <c r="H18" s="2041"/>
      <c r="I18" s="2041">
        <f>+C18+E18-G18</f>
        <v>0</v>
      </c>
    </row>
    <row r="19" spans="1:9" x14ac:dyDescent="0.2">
      <c r="A19" s="2042" t="s">
        <v>2086</v>
      </c>
      <c r="C19" s="2041">
        <v>139.35</v>
      </c>
      <c r="D19" s="2041"/>
      <c r="E19" s="2041">
        <v>3500</v>
      </c>
      <c r="F19" s="2041"/>
      <c r="G19" s="2041">
        <v>350</v>
      </c>
      <c r="H19" s="2041"/>
      <c r="I19" s="2041">
        <f>C19+E19-G19</f>
        <v>3289.35</v>
      </c>
    </row>
    <row r="20" spans="1:9" x14ac:dyDescent="0.2">
      <c r="A20" s="2042" t="s">
        <v>2087</v>
      </c>
      <c r="C20" s="2041">
        <v>3910.11</v>
      </c>
      <c r="D20" s="2041"/>
      <c r="E20" s="2041">
        <v>61.1</v>
      </c>
      <c r="F20" s="2041"/>
      <c r="G20" s="2041">
        <v>1598</v>
      </c>
      <c r="H20" s="2041"/>
      <c r="I20" s="2044">
        <f>+C20+E20-G20</f>
        <v>2373.21</v>
      </c>
    </row>
    <row r="21" spans="1:9" x14ac:dyDescent="0.2">
      <c r="A21" s="2042" t="s">
        <v>2088</v>
      </c>
      <c r="C21" s="2041">
        <v>-631.70000000000005</v>
      </c>
      <c r="D21" s="2041"/>
      <c r="E21" s="2041">
        <v>2000</v>
      </c>
      <c r="F21" s="2041"/>
      <c r="G21" s="2041">
        <f>366.32+1001.98</f>
        <v>1368.3</v>
      </c>
      <c r="H21" s="2041"/>
      <c r="I21" s="2044">
        <f>+C21+E21-G21</f>
        <v>0</v>
      </c>
    </row>
    <row r="22" spans="1:9" x14ac:dyDescent="0.2">
      <c r="A22" s="2042" t="s">
        <v>2089</v>
      </c>
      <c r="C22" s="2041">
        <v>895.59</v>
      </c>
      <c r="D22" s="2041"/>
      <c r="E22" s="2041">
        <v>1434.5</v>
      </c>
      <c r="F22" s="2041"/>
      <c r="G22" s="2041">
        <v>582.6</v>
      </c>
      <c r="H22" s="2041"/>
      <c r="I22" s="2044">
        <f t="shared" ref="I22:I31" si="0">+C22+E22-G22</f>
        <v>1747.4900000000002</v>
      </c>
    </row>
    <row r="23" spans="1:9" x14ac:dyDescent="0.2">
      <c r="A23" s="2042" t="s">
        <v>2090</v>
      </c>
      <c r="C23" s="2041">
        <v>2225.33</v>
      </c>
      <c r="D23" s="2041"/>
      <c r="E23" s="2041">
        <f>566.8+666.7+170</f>
        <v>1403.5</v>
      </c>
      <c r="F23" s="2041"/>
      <c r="G23" s="2041">
        <f>435.01+59.94+119.93</f>
        <v>614.88</v>
      </c>
      <c r="H23" s="2041"/>
      <c r="I23" s="2044">
        <f t="shared" si="0"/>
        <v>3013.95</v>
      </c>
    </row>
    <row r="24" spans="1:9" x14ac:dyDescent="0.2">
      <c r="A24" s="2042" t="s">
        <v>2091</v>
      </c>
      <c r="C24" s="2041">
        <v>262.07</v>
      </c>
      <c r="D24" s="2041"/>
      <c r="E24" s="2041">
        <v>0</v>
      </c>
      <c r="F24" s="2041"/>
      <c r="G24" s="2041">
        <v>262.07</v>
      </c>
      <c r="H24" s="2041"/>
      <c r="I24" s="2044">
        <f t="shared" si="0"/>
        <v>0</v>
      </c>
    </row>
    <row r="25" spans="1:9" x14ac:dyDescent="0.2">
      <c r="A25" s="2042" t="s">
        <v>2092</v>
      </c>
      <c r="C25" s="2041">
        <v>2542.23</v>
      </c>
      <c r="D25" s="2041"/>
      <c r="E25" s="2041">
        <v>252.5</v>
      </c>
      <c r="F25" s="2041"/>
      <c r="G25" s="2041">
        <v>21</v>
      </c>
      <c r="H25" s="2041"/>
      <c r="I25" s="2044">
        <f t="shared" si="0"/>
        <v>2773.73</v>
      </c>
    </row>
    <row r="26" spans="1:9" x14ac:dyDescent="0.2">
      <c r="A26" s="2042" t="s">
        <v>2093</v>
      </c>
      <c r="C26" s="2041">
        <v>1766.64</v>
      </c>
      <c r="D26" s="2041"/>
      <c r="E26" s="2041">
        <v>0</v>
      </c>
      <c r="F26" s="2041"/>
      <c r="G26" s="2041">
        <v>1766.64</v>
      </c>
      <c r="H26" s="2041"/>
      <c r="I26" s="2044">
        <f t="shared" si="0"/>
        <v>0</v>
      </c>
    </row>
    <row r="27" spans="1:9" x14ac:dyDescent="0.2">
      <c r="A27" s="2042" t="s">
        <v>2094</v>
      </c>
      <c r="C27" s="2041">
        <v>124.65</v>
      </c>
      <c r="D27" s="2041"/>
      <c r="E27" s="2041">
        <v>0</v>
      </c>
      <c r="F27" s="2041"/>
      <c r="G27" s="2041">
        <v>124.65</v>
      </c>
      <c r="H27" s="2041"/>
      <c r="I27" s="2044">
        <f t="shared" si="0"/>
        <v>0</v>
      </c>
    </row>
    <row r="28" spans="1:9" x14ac:dyDescent="0.2">
      <c r="A28" s="2042" t="s">
        <v>2095</v>
      </c>
      <c r="C28" s="2041">
        <v>-227.3</v>
      </c>
      <c r="D28" s="2041"/>
      <c r="E28" s="2041">
        <v>227.3</v>
      </c>
      <c r="F28" s="2041"/>
      <c r="G28" s="2041">
        <v>0</v>
      </c>
      <c r="H28" s="2041"/>
      <c r="I28" s="2044">
        <f t="shared" si="0"/>
        <v>0</v>
      </c>
    </row>
    <row r="29" spans="1:9" x14ac:dyDescent="0.2">
      <c r="A29" s="2042" t="s">
        <v>2096</v>
      </c>
      <c r="C29" s="2041">
        <v>74.5</v>
      </c>
      <c r="D29" s="2041"/>
      <c r="E29" s="2041">
        <v>0</v>
      </c>
      <c r="F29" s="2041"/>
      <c r="G29" s="2041">
        <v>0</v>
      </c>
      <c r="H29" s="2041"/>
      <c r="I29" s="2044">
        <f t="shared" si="0"/>
        <v>74.5</v>
      </c>
    </row>
    <row r="30" spans="1:9" x14ac:dyDescent="0.2">
      <c r="A30" s="2042" t="s">
        <v>2097</v>
      </c>
      <c r="C30" s="2041">
        <v>133.49</v>
      </c>
      <c r="D30" s="2041"/>
      <c r="E30" s="2041">
        <f>800+56+35.51</f>
        <v>891.51</v>
      </c>
      <c r="F30" s="2041"/>
      <c r="G30" s="2041">
        <f>455+70</f>
        <v>525</v>
      </c>
      <c r="H30" s="2041"/>
      <c r="I30" s="2044">
        <f t="shared" si="0"/>
        <v>500</v>
      </c>
    </row>
    <row r="31" spans="1:9" x14ac:dyDescent="0.2">
      <c r="A31" s="2042" t="s">
        <v>2098</v>
      </c>
      <c r="C31" s="2041">
        <v>-123.49</v>
      </c>
      <c r="D31" s="2041"/>
      <c r="E31" s="2041">
        <v>783.99</v>
      </c>
      <c r="F31" s="2041"/>
      <c r="G31" s="2041">
        <f>18+100+42.5</f>
        <v>160.5</v>
      </c>
      <c r="H31" s="2041"/>
      <c r="I31" s="2044">
        <f t="shared" si="0"/>
        <v>500</v>
      </c>
    </row>
    <row r="32" spans="1:9" x14ac:dyDescent="0.2">
      <c r="A32" s="2042" t="s">
        <v>2099</v>
      </c>
      <c r="C32" s="2045">
        <v>620.76</v>
      </c>
      <c r="D32" s="2041"/>
      <c r="E32" s="2045">
        <v>89.19</v>
      </c>
      <c r="F32" s="2041"/>
      <c r="G32" s="2045">
        <f>190+19.95</f>
        <v>209.95</v>
      </c>
      <c r="H32" s="2041"/>
      <c r="I32" s="2045">
        <f>C32+E32-G32</f>
        <v>500.00000000000006</v>
      </c>
    </row>
    <row r="33" spans="1:9" ht="7.5" customHeight="1" x14ac:dyDescent="0.2">
      <c r="C33" s="2041"/>
      <c r="D33" s="2041"/>
      <c r="E33" s="2041"/>
      <c r="F33" s="2041"/>
      <c r="G33" s="2041"/>
      <c r="H33" s="2041"/>
      <c r="I33" s="2041"/>
    </row>
    <row r="34" spans="1:9" ht="13.5" thickBot="1" x14ac:dyDescent="0.25">
      <c r="A34" s="2034" t="s">
        <v>2100</v>
      </c>
      <c r="C34" s="2046">
        <f>SUM(C17:C32)</f>
        <v>15583</v>
      </c>
      <c r="D34" s="2043"/>
      <c r="E34" s="2046">
        <f>SUM(E17:E32)</f>
        <v>16619.89</v>
      </c>
      <c r="F34" s="2043"/>
      <c r="G34" s="2046">
        <f>SUM(G17:G32)</f>
        <v>12363.289999999997</v>
      </c>
      <c r="H34" s="2043"/>
      <c r="I34" s="2046">
        <f>SUM(I17:I32)</f>
        <v>19839.599999999999</v>
      </c>
    </row>
    <row r="35" spans="1:9" ht="13.5" thickTop="1" x14ac:dyDescent="0.2"/>
  </sheetData>
  <mergeCells count="4">
    <mergeCell ref="A1:I1"/>
    <mergeCell ref="A2:I2"/>
    <mergeCell ref="A3:I3"/>
    <mergeCell ref="A4:I4"/>
  </mergeCells>
  <printOptions horizontalCentered="1"/>
  <pageMargins left="1" right="0.75" top="1" bottom="0.75" header="1" footer="0"/>
  <pageSetup scale="95" orientation="portrait" r:id="rId1"/>
  <headerFooter>
    <oddFooter xml:space="preserve">&amp;L
&amp;CReference should be made to accountant's report regarding this information.
54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1" t="s">
        <v>1669</v>
      </c>
      <c r="B1" s="2502"/>
      <c r="C1" s="2502"/>
      <c r="D1" s="2502"/>
      <c r="E1" s="2502"/>
      <c r="F1" s="2503"/>
    </row>
    <row r="2" spans="1:8" ht="45" customHeight="1" x14ac:dyDescent="0.2">
      <c r="A2" s="251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2"/>
      <c r="C2" s="2512"/>
      <c r="D2" s="2512"/>
      <c r="E2" s="2512"/>
      <c r="F2" s="2513"/>
      <c r="G2" s="853"/>
      <c r="H2" s="853"/>
    </row>
    <row r="3" spans="1:8" ht="57" customHeight="1" x14ac:dyDescent="0.2">
      <c r="A3" s="2514" t="s">
        <v>1972</v>
      </c>
      <c r="B3" s="2515"/>
      <c r="C3" s="2515"/>
      <c r="D3" s="2515"/>
      <c r="E3" s="2515"/>
      <c r="F3" s="2516"/>
      <c r="G3" s="853"/>
      <c r="H3" s="853"/>
    </row>
    <row r="4" spans="1:8" ht="14.25" customHeight="1" x14ac:dyDescent="0.2">
      <c r="A4" s="252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1"/>
      <c r="C4" s="2521"/>
      <c r="D4" s="2521"/>
      <c r="E4" s="2521"/>
      <c r="F4" s="2522"/>
      <c r="G4" s="853"/>
      <c r="H4" s="853"/>
    </row>
    <row r="5" spans="1:8" ht="14.25" customHeight="1" x14ac:dyDescent="0.2">
      <c r="A5" s="252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4"/>
      <c r="C5" s="2524"/>
      <c r="D5" s="2524"/>
      <c r="E5" s="2524"/>
      <c r="F5" s="2525"/>
      <c r="G5" s="853"/>
      <c r="H5" s="853"/>
    </row>
    <row r="6" spans="1:8" s="854" customFormat="1" ht="41.25" customHeight="1" x14ac:dyDescent="0.2">
      <c r="A6" s="2517" t="s">
        <v>1670</v>
      </c>
      <c r="B6" s="2518"/>
      <c r="C6" s="2518"/>
      <c r="D6" s="2518"/>
      <c r="E6" s="2518"/>
      <c r="F6" s="251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1195564</v>
      </c>
      <c r="C8" s="1813">
        <f>'Acct Summary 7-8'!D8</f>
        <v>210704</v>
      </c>
      <c r="D8" s="1813">
        <f>'Acct Summary 7-8'!F8</f>
        <v>84620</v>
      </c>
      <c r="E8" s="1813">
        <f>'Acct Summary 7-8'!I8</f>
        <v>14505</v>
      </c>
      <c r="F8" s="1813">
        <f>SUM(B8:E8)</f>
        <v>1505393</v>
      </c>
    </row>
    <row r="9" spans="1:8" s="858" customFormat="1" ht="14.25" customHeight="1" thickBot="1" x14ac:dyDescent="0.25">
      <c r="A9" s="857" t="s">
        <v>1353</v>
      </c>
      <c r="B9" s="1814">
        <f>'Acct Summary 7-8'!C17</f>
        <v>1059808</v>
      </c>
      <c r="C9" s="1814">
        <f>'Acct Summary 7-8'!D17</f>
        <v>127614</v>
      </c>
      <c r="D9" s="1814">
        <f>'Acct Summary 7-8'!F17</f>
        <v>118002</v>
      </c>
      <c r="E9" s="1813"/>
      <c r="F9" s="1813">
        <f>SUM(B9:E9)</f>
        <v>1305424</v>
      </c>
    </row>
    <row r="10" spans="1:8" s="858" customFormat="1" ht="14.25" thickTop="1" thickBot="1" x14ac:dyDescent="0.25">
      <c r="A10" s="859" t="s">
        <v>1354</v>
      </c>
      <c r="B10" s="1815">
        <f>(B8-B9)</f>
        <v>135756</v>
      </c>
      <c r="C10" s="1815">
        <f>(C8-C9)</f>
        <v>83090</v>
      </c>
      <c r="D10" s="1815">
        <f>(D8-D9)</f>
        <v>-33382</v>
      </c>
      <c r="E10" s="1814">
        <f>(E8-E9)</f>
        <v>14505</v>
      </c>
      <c r="F10" s="1816">
        <f>SUM(F8-F9)</f>
        <v>199969</v>
      </c>
    </row>
    <row r="11" spans="1:8" s="858" customFormat="1" ht="14.25" thickTop="1" thickBot="1" x14ac:dyDescent="0.25">
      <c r="A11" s="860" t="s">
        <v>1903</v>
      </c>
      <c r="B11" s="1817">
        <f>'Acct Summary 7-8'!C81</f>
        <v>1878376</v>
      </c>
      <c r="C11" s="1817">
        <f>'Acct Summary 7-8'!D81</f>
        <v>577810</v>
      </c>
      <c r="D11" s="1817">
        <f>'Acct Summary 7-8'!F81</f>
        <v>767</v>
      </c>
      <c r="E11" s="1817">
        <f>'Acct Summary 7-8'!I81</f>
        <v>14505</v>
      </c>
      <c r="F11" s="1818">
        <f>SUM(B11:E11)</f>
        <v>2471458</v>
      </c>
    </row>
    <row r="12" spans="1:8" ht="16.5" customHeight="1" thickTop="1" x14ac:dyDescent="0.2">
      <c r="A12" s="861"/>
      <c r="B12" s="862"/>
      <c r="C12" s="2505" t="str">
        <f>IF(AND(F10&lt;0,F11&gt;=0,ABS(F10*3)&gt;ABS(F11)),A16,IF(AND(F10&lt;0,F11&gt;0,ABS(F10*3)&lt;=ABS(F11)),A17,IF(AND(F10&lt;0,F11&lt;0),A16,IF(F11=0,A19,A18))))</f>
        <v>Balanced - no deficit reduction plan is required.</v>
      </c>
      <c r="D12" s="2506"/>
      <c r="E12" s="2506"/>
      <c r="F12" s="2507"/>
    </row>
    <row r="13" spans="1:8" ht="19.5" customHeight="1" x14ac:dyDescent="0.2">
      <c r="A13" s="863"/>
      <c r="B13" s="864"/>
      <c r="C13" s="2505"/>
      <c r="D13" s="2506"/>
      <c r="E13" s="2506"/>
      <c r="F13" s="2507"/>
      <c r="H13" s="853"/>
    </row>
    <row r="14" spans="1:8" ht="19.5" customHeight="1" x14ac:dyDescent="0.2">
      <c r="A14" s="863"/>
      <c r="B14" s="864"/>
      <c r="C14" s="2505"/>
      <c r="D14" s="2506"/>
      <c r="E14" s="2506"/>
      <c r="F14" s="2507"/>
      <c r="H14" s="853"/>
    </row>
    <row r="15" spans="1:8" ht="17.25" customHeight="1" x14ac:dyDescent="0.2">
      <c r="A15" s="863"/>
      <c r="B15" s="864"/>
      <c r="C15" s="2508"/>
      <c r="D15" s="2509"/>
      <c r="E15" s="2509"/>
      <c r="F15" s="2510"/>
      <c r="H15" s="853"/>
    </row>
    <row r="16" spans="1:8" s="288" customFormat="1" ht="51.75" hidden="1" customHeight="1" x14ac:dyDescent="0.2">
      <c r="A16" s="2504" t="s">
        <v>1666</v>
      </c>
      <c r="B16" s="2504"/>
      <c r="C16" s="2504"/>
      <c r="D16" s="2504"/>
      <c r="E16" s="250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D78" sqref="D7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26" t="s">
        <v>660</v>
      </c>
      <c r="B3" s="2527"/>
      <c r="C3" s="2527"/>
      <c r="D3" s="2528"/>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37" t="s">
        <v>1487</v>
      </c>
      <c r="D7" s="2538"/>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29" t="s">
        <v>1001</v>
      </c>
      <c r="B15" s="2530"/>
      <c r="C15" s="2530"/>
      <c r="D15" s="2531"/>
    </row>
    <row r="16" spans="1:4" s="542" customFormat="1" ht="24" customHeight="1" x14ac:dyDescent="0.2">
      <c r="A16" s="2532" t="s">
        <v>658</v>
      </c>
      <c r="B16" s="2533"/>
      <c r="C16" s="2533"/>
      <c r="D16" s="2534"/>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41" t="s">
        <v>311</v>
      </c>
      <c r="D21" s="2542"/>
    </row>
    <row r="22" spans="1:10" ht="12.75" x14ac:dyDescent="0.2">
      <c r="A22" s="918"/>
      <c r="B22" s="919">
        <v>2</v>
      </c>
      <c r="C22" s="2539" t="s">
        <v>1507</v>
      </c>
      <c r="D22" s="254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43" t="s">
        <v>533</v>
      </c>
      <c r="D43" s="254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35" t="s">
        <v>779</v>
      </c>
      <c r="D56" s="253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35" t="s">
        <v>1674</v>
      </c>
      <c r="D70" s="253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0" t="str">
        <f>IF('Contracts Paid in CY 29'!$D$34&gt;0,"OK","PLEASE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17054088002</v>
      </c>
      <c r="E2" s="1542">
        <v>2020</v>
      </c>
      <c r="F2" s="1542">
        <v>1</v>
      </c>
      <c r="G2" s="1898">
        <v>101000300</v>
      </c>
    </row>
    <row r="3" spans="1:7" ht="15" x14ac:dyDescent="0.25">
      <c r="A3" t="s">
        <v>950</v>
      </c>
      <c r="B3" s="135" t="str">
        <f>COVER!A15</f>
        <v>Logan</v>
      </c>
      <c r="E3" s="1830" t="s">
        <v>1971</v>
      </c>
      <c r="F3" s="1830" t="s">
        <v>1970</v>
      </c>
      <c r="G3" s="1898">
        <v>101000400</v>
      </c>
    </row>
    <row r="4" spans="1:7" ht="15" x14ac:dyDescent="0.25">
      <c r="A4" t="s">
        <v>1000</v>
      </c>
      <c r="B4" s="135" t="str">
        <f>COVER!A17</f>
        <v>New Holland-Middletown ED 88</v>
      </c>
      <c r="E4" s="1828">
        <v>44119</v>
      </c>
      <c r="F4" s="1829">
        <v>44151</v>
      </c>
      <c r="G4" s="1898">
        <v>101000600</v>
      </c>
    </row>
    <row r="5" spans="1:7" ht="15" x14ac:dyDescent="0.25">
      <c r="A5" t="s">
        <v>699</v>
      </c>
      <c r="B5" s="135" t="str">
        <f>COVER!A38</f>
        <v>Brandi Bruley</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f>IF(COVER!J30="x","Yes",IF(COVER!L30="x","No",0))</f>
        <v>0</v>
      </c>
      <c r="G13" s="1898">
        <v>202100800</v>
      </c>
    </row>
    <row r="14" spans="1:7" ht="15" x14ac:dyDescent="0.25">
      <c r="A14" t="s">
        <v>473</v>
      </c>
      <c r="B14" s="135" t="str">
        <f>IF(COVER!J31="x","Yes",IF(COVER!L31="x","No",0))</f>
        <v>Yes</v>
      </c>
      <c r="G14" s="1898">
        <v>402100300</v>
      </c>
    </row>
    <row r="15" spans="1:7" ht="15" x14ac:dyDescent="0.25">
      <c r="A15" t="s">
        <v>573</v>
      </c>
      <c r="B15" s="135" t="str">
        <f>COVER!T23</f>
        <v>066-003847</v>
      </c>
      <c r="G15" s="1898">
        <v>402100400</v>
      </c>
    </row>
    <row r="16" spans="1:7" ht="15" x14ac:dyDescent="0.25">
      <c r="A16" t="s">
        <v>419</v>
      </c>
      <c r="B16" s="135" t="str">
        <f>COVER!T13</f>
        <v>LMHN, Ltd.</v>
      </c>
      <c r="G16" s="1898">
        <v>402100600</v>
      </c>
    </row>
    <row r="17" spans="1:7" ht="15" x14ac:dyDescent="0.25">
      <c r="A17" t="s">
        <v>878</v>
      </c>
      <c r="B17" s="135" t="str">
        <f>COVER!T15</f>
        <v>M. Adam Mathias</v>
      </c>
      <c r="G17" s="1898">
        <v>402100800</v>
      </c>
    </row>
    <row r="18" spans="1:7" ht="15" x14ac:dyDescent="0.25">
      <c r="A18" t="s">
        <v>1140</v>
      </c>
      <c r="B18" s="135" t="str">
        <f>COVER!T17</f>
        <v>900 N Webster St - PO Box 87</v>
      </c>
      <c r="G18" s="1898">
        <v>102200300</v>
      </c>
    </row>
    <row r="19" spans="1:7" ht="15" x14ac:dyDescent="0.25">
      <c r="A19" t="s">
        <v>880</v>
      </c>
      <c r="B19" s="135" t="str">
        <f>COVER!T25</f>
        <v>lmhncpas@outlook.com</v>
      </c>
      <c r="G19" s="1898">
        <v>102200400</v>
      </c>
    </row>
    <row r="20" spans="1:7" ht="15" x14ac:dyDescent="0.25">
      <c r="A20" t="s">
        <v>881</v>
      </c>
      <c r="B20" s="135" t="str">
        <f>COVER!T19</f>
        <v>Taylorville</v>
      </c>
      <c r="G20" s="1898">
        <v>102200600</v>
      </c>
    </row>
    <row r="21" spans="1:7" ht="15" x14ac:dyDescent="0.25">
      <c r="A21" t="s">
        <v>476</v>
      </c>
      <c r="B21" s="135" t="str">
        <f>COVER!X19</f>
        <v>IL</v>
      </c>
      <c r="G21" s="1898">
        <v>102200800</v>
      </c>
    </row>
    <row r="22" spans="1:7" ht="15" x14ac:dyDescent="0.25">
      <c r="A22" t="s">
        <v>882</v>
      </c>
      <c r="B22" s="135">
        <f>COVER!Z19</f>
        <v>62568</v>
      </c>
      <c r="G22" s="1898">
        <v>102300300</v>
      </c>
    </row>
    <row r="23" spans="1:7" ht="15" x14ac:dyDescent="0.25">
      <c r="A23" t="s">
        <v>1142</v>
      </c>
      <c r="B23" s="135" t="str">
        <f>COVER!T21</f>
        <v>217-824-9661</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Yes</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0</v>
      </c>
      <c r="G49" s="1898">
        <v>102540800</v>
      </c>
    </row>
    <row r="50" spans="1:7" ht="15" x14ac:dyDescent="0.25">
      <c r="A50" s="1" t="s">
        <v>1463</v>
      </c>
      <c r="B50" s="146">
        <f>'Aud Quest 2'!H53</f>
        <v>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515093</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1878376</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1878376</v>
      </c>
      <c r="D92" s="2" t="str">
        <f t="shared" si="0"/>
        <v>Error?</v>
      </c>
      <c r="G92" s="1898">
        <v>102640600</v>
      </c>
    </row>
    <row r="93" spans="1:7" ht="15" x14ac:dyDescent="0.25">
      <c r="A93" s="5">
        <v>32</v>
      </c>
      <c r="B93" s="1832">
        <f>'Assets-Liab 5-6'!C41</f>
        <v>1878376</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77759</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577810</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577810</v>
      </c>
      <c r="D123" s="2" t="str">
        <f t="shared" si="0"/>
        <v>Error?</v>
      </c>
      <c r="G123" s="1898">
        <v>203000400</v>
      </c>
    </row>
    <row r="124" spans="1:7" ht="15" x14ac:dyDescent="0.25">
      <c r="A124" s="5">
        <v>63</v>
      </c>
      <c r="B124" s="1832">
        <f>'Assets-Liab 5-6'!D41</f>
        <v>577810</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561</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767</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767</v>
      </c>
      <c r="D170" s="2" t="str">
        <f t="shared" si="1"/>
        <v>Error?</v>
      </c>
    </row>
    <row r="171" spans="1:4" x14ac:dyDescent="0.2">
      <c r="A171" s="5">
        <v>110</v>
      </c>
      <c r="B171" s="1832">
        <f>'Assets-Liab 5-6'!F41</f>
        <v>767</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11824</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38854</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38424</v>
      </c>
      <c r="D189" s="2" t="str">
        <f t="shared" si="1"/>
        <v>Error?</v>
      </c>
    </row>
    <row r="190" spans="1:4" x14ac:dyDescent="0.2">
      <c r="A190" s="5">
        <v>129</v>
      </c>
      <c r="B190" s="1832">
        <f>'Assets-Liab 5-6'!G41</f>
        <v>38854</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95562</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95562</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5000</v>
      </c>
      <c r="D273" s="2" t="str">
        <f t="shared" si="3"/>
        <v>Error?</v>
      </c>
    </row>
    <row r="274" spans="1:4" x14ac:dyDescent="0.2">
      <c r="A274" s="5">
        <v>213</v>
      </c>
      <c r="B274" s="1832">
        <f>'Assets-Liab 5-6'!M17</f>
        <v>2932941</v>
      </c>
      <c r="D274" s="2" t="str">
        <f t="shared" si="3"/>
        <v>Error?</v>
      </c>
    </row>
    <row r="275" spans="1:4" x14ac:dyDescent="0.2">
      <c r="A275" s="5">
        <v>214</v>
      </c>
      <c r="B275" s="1832">
        <f>'Assets-Liab 5-6'!M18</f>
        <v>303454</v>
      </c>
      <c r="D275" s="2" t="str">
        <f t="shared" si="3"/>
        <v>Error?</v>
      </c>
    </row>
    <row r="276" spans="1:4" x14ac:dyDescent="0.2">
      <c r="A276" s="5">
        <v>215</v>
      </c>
      <c r="B276" s="1832">
        <f>'Assets-Liab 5-6'!M19</f>
        <v>122387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3363782</v>
      </c>
      <c r="C279" s="2" t="s">
        <v>569</v>
      </c>
      <c r="D279" s="2" t="str">
        <f t="shared" si="3"/>
        <v>Error?</v>
      </c>
    </row>
    <row r="280" spans="1:4" x14ac:dyDescent="0.2">
      <c r="A280" s="5">
        <v>219</v>
      </c>
      <c r="B280" s="1832">
        <f>'Assets-Liab 5-6'!M40</f>
        <v>3363782</v>
      </c>
      <c r="D280" s="2" t="str">
        <f t="shared" si="3"/>
        <v>Error?</v>
      </c>
    </row>
    <row r="281" spans="1:4" x14ac:dyDescent="0.2">
      <c r="A281" s="5">
        <v>220</v>
      </c>
      <c r="B281" s="1832">
        <f>'Assets-Liab 5-6'!M41</f>
        <v>3363782</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255000</v>
      </c>
      <c r="D283" s="2" t="str">
        <f t="shared" si="3"/>
        <v>Error?</v>
      </c>
    </row>
    <row r="284" spans="1:4" x14ac:dyDescent="0.2">
      <c r="A284" s="5">
        <v>223</v>
      </c>
      <c r="B284" s="1832">
        <f>'Assets-Liab 5-6'!N23</f>
        <v>255000</v>
      </c>
      <c r="C284" s="2" t="s">
        <v>569</v>
      </c>
      <c r="D284" s="2" t="str">
        <f t="shared" si="3"/>
        <v>Error?</v>
      </c>
    </row>
    <row r="285" spans="1:4" x14ac:dyDescent="0.2">
      <c r="A285" s="5">
        <v>224</v>
      </c>
      <c r="B285" s="1832">
        <f>'Assets-Liab 5-6'!N36</f>
        <v>255000</v>
      </c>
      <c r="D285" s="2" t="str">
        <f t="shared" si="3"/>
        <v>Error?</v>
      </c>
    </row>
    <row r="286" spans="1:4" x14ac:dyDescent="0.2">
      <c r="A286" s="10">
        <v>225</v>
      </c>
      <c r="B286" s="1832"/>
      <c r="D286" s="2" t="str">
        <f t="shared" si="3"/>
        <v>OK</v>
      </c>
    </row>
    <row r="287" spans="1:4" x14ac:dyDescent="0.2">
      <c r="A287" s="5">
        <v>226</v>
      </c>
      <c r="B287" s="1832">
        <f>'Assets-Liab 5-6'!N37</f>
        <v>255000</v>
      </c>
      <c r="C287" s="2" t="s">
        <v>569</v>
      </c>
      <c r="D287" s="2" t="str">
        <f t="shared" si="3"/>
        <v>Error?</v>
      </c>
    </row>
    <row r="288" spans="1:4" x14ac:dyDescent="0.2">
      <c r="A288" s="5">
        <v>227</v>
      </c>
      <c r="B288" s="1832">
        <f>'Assets-Liab 5-6'!N41</f>
        <v>255000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485695</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539440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1800</v>
      </c>
      <c r="D732" s="2" t="str">
        <f t="shared" si="10"/>
        <v>Error?</v>
      </c>
    </row>
    <row r="733" spans="1:4" x14ac:dyDescent="0.2">
      <c r="A733" s="5">
        <v>672</v>
      </c>
      <c r="B733" s="1832">
        <f>'Expenditures 15-22'!C50</f>
        <v>82900</v>
      </c>
      <c r="D733" s="2" t="str">
        <f t="shared" si="10"/>
        <v>Error?</v>
      </c>
    </row>
    <row r="734" spans="1:4" x14ac:dyDescent="0.2">
      <c r="A734" s="5">
        <v>673</v>
      </c>
      <c r="B734" s="1832">
        <f>'Expenditures 15-22'!C53</f>
        <v>84700</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48346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20594</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68940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153640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693080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80615</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84059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800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800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10502</v>
      </c>
      <c r="D791" s="2" t="str">
        <f t="shared" si="11"/>
        <v>Error?</v>
      </c>
    </row>
    <row r="792" spans="1:4" x14ac:dyDescent="0.2">
      <c r="A792" s="5">
        <v>731</v>
      </c>
      <c r="B792" s="1832">
        <f>'Expenditures 15-22'!D53</f>
        <v>10502</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11302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95361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40201</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732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52177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8477</v>
      </c>
      <c r="D841" s="2" t="str">
        <f t="shared" si="12"/>
        <v>Error?</v>
      </c>
    </row>
    <row r="842" spans="1:4" x14ac:dyDescent="0.2">
      <c r="A842" s="5">
        <v>781</v>
      </c>
      <c r="B842" s="1832">
        <f>'Expenditures 15-22'!E41</f>
        <v>12055</v>
      </c>
      <c r="D842" s="2" t="str">
        <f t="shared" si="12"/>
        <v>Error?</v>
      </c>
    </row>
    <row r="843" spans="1:4" x14ac:dyDescent="0.2">
      <c r="A843" s="5">
        <v>782</v>
      </c>
      <c r="B843" s="1832">
        <f>'Expenditures 15-22'!E42</f>
        <v>20532</v>
      </c>
      <c r="C843" s="2" t="s">
        <v>569</v>
      </c>
      <c r="D843" s="2" t="str">
        <f t="shared" si="12"/>
        <v>Error?</v>
      </c>
    </row>
    <row r="844" spans="1:4" x14ac:dyDescent="0.2">
      <c r="A844" s="5">
        <v>783</v>
      </c>
      <c r="B844" s="1832">
        <f>'Expenditures 15-22'!E44</f>
        <v>3634</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2400</v>
      </c>
      <c r="D846" s="2" t="str">
        <f t="shared" si="12"/>
        <v>Error?</v>
      </c>
    </row>
    <row r="847" spans="1:4" x14ac:dyDescent="0.2">
      <c r="A847" s="5">
        <v>786</v>
      </c>
      <c r="B847" s="1832">
        <f>'Expenditures 15-22'!E47</f>
        <v>6034</v>
      </c>
      <c r="C847" s="2" t="s">
        <v>569</v>
      </c>
      <c r="D847" s="2" t="str">
        <f t="shared" si="12"/>
        <v>Error?</v>
      </c>
    </row>
    <row r="848" spans="1:4" x14ac:dyDescent="0.2">
      <c r="A848" s="5">
        <v>787</v>
      </c>
      <c r="B848" s="1832">
        <f>'Expenditures 15-22'!E49</f>
        <v>14858</v>
      </c>
      <c r="D848" s="2" t="str">
        <f t="shared" si="12"/>
        <v>Error?</v>
      </c>
    </row>
    <row r="849" spans="1:4" x14ac:dyDescent="0.2">
      <c r="A849" s="5">
        <v>788</v>
      </c>
      <c r="B849" s="1832">
        <f>'Expenditures 15-22'!E50</f>
        <v>2876</v>
      </c>
      <c r="D849" s="2" t="str">
        <f t="shared" si="12"/>
        <v>Error?</v>
      </c>
    </row>
    <row r="850" spans="1:4" x14ac:dyDescent="0.2">
      <c r="A850" s="5">
        <v>789</v>
      </c>
      <c r="B850" s="1832">
        <f>'Expenditures 15-22'!E53</f>
        <v>17734</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2169</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33066</v>
      </c>
      <c r="D858" s="2" t="str">
        <f t="shared" si="12"/>
        <v>Error?</v>
      </c>
    </row>
    <row r="859" spans="1:4" x14ac:dyDescent="0.2">
      <c r="A859" s="5">
        <v>798</v>
      </c>
      <c r="B859" s="1832">
        <f>'Expenditures 15-22'!E64</f>
        <v>1409</v>
      </c>
      <c r="D859" s="2" t="str">
        <f t="shared" si="12"/>
        <v>Error?</v>
      </c>
    </row>
    <row r="860" spans="1:4" x14ac:dyDescent="0.2">
      <c r="A860" s="10">
        <v>799</v>
      </c>
      <c r="B860" s="1832"/>
      <c r="D860" s="2" t="str">
        <f t="shared" si="12"/>
        <v>OK</v>
      </c>
    </row>
    <row r="861" spans="1:4" x14ac:dyDescent="0.2">
      <c r="A861" s="5">
        <v>800</v>
      </c>
      <c r="B861" s="1832">
        <f>'Expenditures 15-22'!E65</f>
        <v>36644</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80944</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133121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23042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31302</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10141</v>
      </c>
      <c r="D902" s="2" t="str">
        <f t="shared" si="13"/>
        <v>Error?</v>
      </c>
    </row>
    <row r="903" spans="1:4" x14ac:dyDescent="0.2">
      <c r="A903" s="5">
        <v>842</v>
      </c>
      <c r="B903" s="1832">
        <f>'Expenditures 15-22'!F45</f>
        <v>723</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10864</v>
      </c>
      <c r="C905" s="2" t="s">
        <v>569</v>
      </c>
      <c r="D905" s="2" t="str">
        <f t="shared" si="13"/>
        <v>Error?</v>
      </c>
    </row>
    <row r="906" spans="1:4" x14ac:dyDescent="0.2">
      <c r="A906" s="5">
        <v>845</v>
      </c>
      <c r="B906" s="1832">
        <f>'Expenditures 15-22'!F49</f>
        <v>79</v>
      </c>
      <c r="D906" s="2" t="str">
        <f t="shared" si="13"/>
        <v>Error?</v>
      </c>
    </row>
    <row r="907" spans="1:4" x14ac:dyDescent="0.2">
      <c r="A907" s="5">
        <v>846</v>
      </c>
      <c r="B907" s="1832">
        <f>'Expenditures 15-22'!F50</f>
        <v>239</v>
      </c>
      <c r="D907" s="2" t="str">
        <f t="shared" si="13"/>
        <v>Error?</v>
      </c>
    </row>
    <row r="908" spans="1:4" x14ac:dyDescent="0.2">
      <c r="A908" s="5">
        <v>847</v>
      </c>
      <c r="B908" s="1832">
        <f>'Expenditures 15-22'!F53</f>
        <v>318</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791</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9585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10376</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21558</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52860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4233</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1707</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1707</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1707</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5940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79446</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79446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629553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732</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711211</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8477</v>
      </c>
      <c r="C1113" s="2" t="s">
        <v>569</v>
      </c>
      <c r="D1113" s="2" t="str">
        <f t="shared" si="16"/>
        <v>Error?</v>
      </c>
    </row>
    <row r="1114" spans="1:4" x14ac:dyDescent="0.2">
      <c r="A1114" s="5">
        <v>1053</v>
      </c>
      <c r="B1114" s="1832">
        <f>'Expenditures 15-22'!K41</f>
        <v>12055</v>
      </c>
      <c r="C1114" s="2" t="s">
        <v>569</v>
      </c>
      <c r="D1114" s="2" t="str">
        <f t="shared" si="16"/>
        <v>Error?</v>
      </c>
    </row>
    <row r="1115" spans="1:4" x14ac:dyDescent="0.2">
      <c r="A1115" s="5">
        <v>1054</v>
      </c>
      <c r="B1115" s="1832">
        <f>'Expenditures 15-22'!K42</f>
        <v>20532</v>
      </c>
      <c r="C1115" s="2" t="s">
        <v>569</v>
      </c>
      <c r="D1115" s="2" t="str">
        <f t="shared" si="16"/>
        <v>Error?</v>
      </c>
    </row>
    <row r="1116" spans="1:4" x14ac:dyDescent="0.2">
      <c r="A1116" s="5">
        <v>1055</v>
      </c>
      <c r="B1116" s="1832">
        <f>'Expenditures 15-22'!K44</f>
        <v>14575</v>
      </c>
      <c r="C1116" s="2" t="s">
        <v>569</v>
      </c>
      <c r="D1116" s="2" t="str">
        <f t="shared" si="16"/>
        <v>Error?</v>
      </c>
    </row>
    <row r="1117" spans="1:4" x14ac:dyDescent="0.2">
      <c r="A1117" s="5">
        <v>1056</v>
      </c>
      <c r="B1117" s="1832">
        <f>'Expenditures 15-22'!K45</f>
        <v>723</v>
      </c>
      <c r="C1117" s="2" t="s">
        <v>569</v>
      </c>
      <c r="D1117" s="2" t="str">
        <f t="shared" si="16"/>
        <v>Error?</v>
      </c>
    </row>
    <row r="1118" spans="1:4" x14ac:dyDescent="0.2">
      <c r="A1118" s="5">
        <v>1057</v>
      </c>
      <c r="B1118" s="1832">
        <f>'Expenditures 15-22'!K46</f>
        <v>2400</v>
      </c>
      <c r="C1118" s="2" t="s">
        <v>569</v>
      </c>
      <c r="D1118" s="2" t="str">
        <f t="shared" si="16"/>
        <v>Error?</v>
      </c>
    </row>
    <row r="1119" spans="1:4" x14ac:dyDescent="0.2">
      <c r="A1119" s="5">
        <v>1058</v>
      </c>
      <c r="B1119" s="1832">
        <f>'Expenditures 15-22'!K47</f>
        <v>17698</v>
      </c>
      <c r="C1119" s="2" t="s">
        <v>569</v>
      </c>
      <c r="D1119" s="2" t="str">
        <f t="shared" si="16"/>
        <v>Error?</v>
      </c>
    </row>
    <row r="1120" spans="1:4" x14ac:dyDescent="0.2">
      <c r="A1120" s="5">
        <v>1059</v>
      </c>
      <c r="B1120" s="1832">
        <f>'Expenditures 15-22'!K49</f>
        <v>16737</v>
      </c>
      <c r="C1120" s="2" t="s">
        <v>569</v>
      </c>
      <c r="D1120" s="2" t="str">
        <f t="shared" si="16"/>
        <v>Error?</v>
      </c>
    </row>
    <row r="1121" spans="1:4" x14ac:dyDescent="0.2">
      <c r="A1121" s="5">
        <v>1060</v>
      </c>
      <c r="B1121" s="1832">
        <f>'Expenditures 15-22'!K50</f>
        <v>96517</v>
      </c>
      <c r="C1121" s="2" t="s">
        <v>569</v>
      </c>
      <c r="D1121" s="2" t="str">
        <f t="shared" si="16"/>
        <v>Error?</v>
      </c>
    </row>
    <row r="1122" spans="1:4" x14ac:dyDescent="0.2">
      <c r="A1122" s="5">
        <v>1061</v>
      </c>
      <c r="B1122" s="1832">
        <f>'Expenditures 15-22'!K53</f>
        <v>113254</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51306</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64952</v>
      </c>
      <c r="C1130" s="2" t="s">
        <v>569</v>
      </c>
      <c r="D1130" s="2" t="str">
        <f t="shared" si="16"/>
        <v>Error?</v>
      </c>
    </row>
    <row r="1131" spans="1:4" x14ac:dyDescent="0.2">
      <c r="A1131" s="5">
        <v>1070</v>
      </c>
      <c r="B1131" s="1832">
        <f>'Expenditures 15-22'!K64</f>
        <v>1409</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117667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269151</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79446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1059808</v>
      </c>
      <c r="C1152" s="2" t="s">
        <v>569</v>
      </c>
      <c r="D1152" s="2" t="str">
        <f t="shared" si="17"/>
        <v>Error?</v>
      </c>
    </row>
    <row r="1153" spans="1:4" x14ac:dyDescent="0.2">
      <c r="A1153" s="5">
        <v>1092</v>
      </c>
      <c r="B1153" s="1832">
        <f>'Expenditures 15-22'!K115</f>
        <v>135756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55191</v>
      </c>
      <c r="D1221" s="2" t="str">
        <f t="shared" si="18"/>
        <v>Error?</v>
      </c>
    </row>
    <row r="1222" spans="1:4" x14ac:dyDescent="0.2">
      <c r="A1222" s="10">
        <v>1161</v>
      </c>
      <c r="B1222" s="1832"/>
      <c r="D1222" s="2" t="str">
        <f t="shared" si="18"/>
        <v>OK</v>
      </c>
    </row>
    <row r="1223" spans="1:4" x14ac:dyDescent="0.2">
      <c r="A1223" s="5">
        <v>1162</v>
      </c>
      <c r="B1223" s="1832">
        <f>'Expenditures 15-22'!C127</f>
        <v>55191</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55191</v>
      </c>
      <c r="C1225" s="2" t="s">
        <v>569</v>
      </c>
      <c r="D1225" s="2" t="str">
        <f t="shared" si="18"/>
        <v>Error?</v>
      </c>
    </row>
    <row r="1226" spans="1:4" x14ac:dyDescent="0.2">
      <c r="A1226" s="5">
        <v>1165</v>
      </c>
      <c r="B1226" s="1832">
        <f>'Expenditures 15-22'!C151</f>
        <v>55191</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4500</v>
      </c>
      <c r="D1229" s="2" t="str">
        <f t="shared" si="18"/>
        <v>Error?</v>
      </c>
    </row>
    <row r="1230" spans="1:4" x14ac:dyDescent="0.2">
      <c r="A1230" s="10">
        <v>1169</v>
      </c>
      <c r="B1230" s="1832"/>
      <c r="D1230" s="2" t="str">
        <f t="shared" si="18"/>
        <v>OK</v>
      </c>
    </row>
    <row r="1231" spans="1:4" x14ac:dyDescent="0.2">
      <c r="A1231" s="5">
        <v>1170</v>
      </c>
      <c r="B1231" s="1832">
        <f>'Expenditures 15-22'!D127</f>
        <v>4500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4500</v>
      </c>
      <c r="C1233" s="2" t="s">
        <v>569</v>
      </c>
      <c r="D1233" s="2" t="str">
        <f t="shared" si="18"/>
        <v>Error?</v>
      </c>
    </row>
    <row r="1234" spans="1:4" x14ac:dyDescent="0.2">
      <c r="A1234" s="5">
        <v>1173</v>
      </c>
      <c r="B1234" s="1832">
        <f>'Expenditures 15-22'!D151</f>
        <v>4500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21024</v>
      </c>
      <c r="D1237" s="2" t="str">
        <f t="shared" si="18"/>
        <v>Error?</v>
      </c>
    </row>
    <row r="1238" spans="1:4" x14ac:dyDescent="0.2">
      <c r="A1238" s="10">
        <v>1177</v>
      </c>
      <c r="B1238" s="1832"/>
      <c r="D1238" s="2" t="str">
        <f t="shared" si="18"/>
        <v>OK</v>
      </c>
    </row>
    <row r="1239" spans="1:4" x14ac:dyDescent="0.2">
      <c r="A1239" s="5">
        <v>1178</v>
      </c>
      <c r="B1239" s="1832">
        <f>'Expenditures 15-22'!E127</f>
        <v>21024</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21024</v>
      </c>
      <c r="C1241" s="2" t="s">
        <v>569</v>
      </c>
      <c r="D1241" s="2" t="str">
        <f t="shared" si="18"/>
        <v>Error?</v>
      </c>
    </row>
    <row r="1242" spans="1:4" x14ac:dyDescent="0.2">
      <c r="A1242" s="5">
        <v>1181</v>
      </c>
      <c r="B1242" s="1832">
        <f>'Expenditures 15-22'!E151</f>
        <v>21024</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29398</v>
      </c>
      <c r="D1245" s="2" t="str">
        <f t="shared" si="18"/>
        <v>Error?</v>
      </c>
    </row>
    <row r="1246" spans="1:4" x14ac:dyDescent="0.2">
      <c r="A1246" s="10">
        <v>1185</v>
      </c>
      <c r="B1246" s="1832"/>
      <c r="D1246" s="2" t="str">
        <f t="shared" si="18"/>
        <v>OK</v>
      </c>
    </row>
    <row r="1247" spans="1:4" x14ac:dyDescent="0.2">
      <c r="A1247" s="5">
        <v>1186</v>
      </c>
      <c r="B1247" s="1832">
        <f>'Expenditures 15-22'!F127</f>
        <v>29398</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29398</v>
      </c>
      <c r="C1249" s="2" t="s">
        <v>569</v>
      </c>
      <c r="D1249" s="2" t="str">
        <f t="shared" si="18"/>
        <v>Error?</v>
      </c>
    </row>
    <row r="1250" spans="1:4" x14ac:dyDescent="0.2">
      <c r="A1250" s="5">
        <v>1189</v>
      </c>
      <c r="B1250" s="1832">
        <f>'Expenditures 15-22'!F151</f>
        <v>29398</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17501</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17501</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17501</v>
      </c>
      <c r="C1258" s="2" t="s">
        <v>569</v>
      </c>
      <c r="D1258" s="2" t="str">
        <f t="shared" si="18"/>
        <v>Error?</v>
      </c>
    </row>
    <row r="1259" spans="1:4" x14ac:dyDescent="0.2">
      <c r="A1259" s="5">
        <v>1198</v>
      </c>
      <c r="B1259" s="1832">
        <f>'Expenditures 15-22'!G151</f>
        <v>17501</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127614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127614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127614</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127614</v>
      </c>
      <c r="C1288" s="2" t="s">
        <v>569</v>
      </c>
      <c r="D1288" s="2" t="str">
        <f t="shared" si="19"/>
        <v>Error?</v>
      </c>
    </row>
    <row r="1289" spans="1:4" x14ac:dyDescent="0.2">
      <c r="A1289" s="5">
        <v>1228</v>
      </c>
      <c r="B1289" s="1832">
        <f>'Expenditures 15-22'!K152</f>
        <v>83090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11988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19000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31488</v>
      </c>
      <c r="C1317" s="2" t="s">
        <v>569</v>
      </c>
      <c r="D1317" s="2" t="str">
        <f t="shared" si="19"/>
        <v>Error?</v>
      </c>
    </row>
    <row r="1318" spans="1:4" x14ac:dyDescent="0.2">
      <c r="A1318" s="5">
        <v>1257</v>
      </c>
      <c r="B1318" s="1832">
        <f>'Expenditures 15-22'!H174</f>
        <v>31488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11988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19000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31488</v>
      </c>
      <c r="C1331" s="2" t="s">
        <v>569</v>
      </c>
      <c r="D1331" s="2" t="str">
        <f t="shared" si="19"/>
        <v>Error?</v>
      </c>
    </row>
    <row r="1332" spans="1:4" x14ac:dyDescent="0.2">
      <c r="A1332" s="5">
        <v>1271</v>
      </c>
      <c r="B1332" s="1832">
        <f>'Expenditures 15-22'!K174</f>
        <v>31488</v>
      </c>
      <c r="C1332" s="2" t="s">
        <v>569</v>
      </c>
      <c r="D1332" s="2" t="str">
        <f t="shared" si="19"/>
        <v>Error?</v>
      </c>
    </row>
    <row r="1333" spans="1:4" x14ac:dyDescent="0.2">
      <c r="A1333" s="5">
        <v>1272</v>
      </c>
      <c r="B1333" s="1832">
        <f>'Expenditures 15-22'!K175</f>
        <v>18034</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41185</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41185</v>
      </c>
      <c r="C1339" s="2" t="s">
        <v>569</v>
      </c>
      <c r="D1339" s="2" t="str">
        <f t="shared" si="19"/>
        <v>Error?</v>
      </c>
    </row>
    <row r="1340" spans="1:4" x14ac:dyDescent="0.2">
      <c r="A1340" s="5">
        <v>1279</v>
      </c>
      <c r="B1340" s="1832">
        <f>'Expenditures 15-22'!C210</f>
        <v>41185</v>
      </c>
      <c r="C1340" s="2" t="s">
        <v>569</v>
      </c>
      <c r="D1340" s="2" t="str">
        <f t="shared" si="19"/>
        <v>Error?</v>
      </c>
    </row>
    <row r="1341" spans="1:4" x14ac:dyDescent="0.2">
      <c r="A1341" s="5">
        <v>1280</v>
      </c>
      <c r="B1341" s="1832">
        <f>'Expenditures 15-22'!D182</f>
        <v>1238</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1238</v>
      </c>
      <c r="C1345" s="2" t="s">
        <v>569</v>
      </c>
      <c r="D1345" s="2" t="str">
        <f t="shared" si="20"/>
        <v>Error?</v>
      </c>
    </row>
    <row r="1346" spans="1:4" x14ac:dyDescent="0.2">
      <c r="A1346" s="5">
        <v>1285</v>
      </c>
      <c r="B1346" s="1832">
        <f>'Expenditures 15-22'!D210</f>
        <v>1238</v>
      </c>
      <c r="C1346" s="2" t="s">
        <v>569</v>
      </c>
      <c r="D1346" s="2" t="str">
        <f t="shared" si="20"/>
        <v>Error?</v>
      </c>
    </row>
    <row r="1347" spans="1:4" x14ac:dyDescent="0.2">
      <c r="A1347" s="5">
        <v>1286</v>
      </c>
      <c r="B1347" s="1832">
        <f>'Expenditures 15-22'!E182</f>
        <v>28779</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28779</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28779</v>
      </c>
      <c r="C1353" s="2" t="s">
        <v>569</v>
      </c>
      <c r="D1353" s="2" t="str">
        <f t="shared" si="20"/>
        <v>Error?</v>
      </c>
    </row>
    <row r="1354" spans="1:4" x14ac:dyDescent="0.2">
      <c r="A1354" s="5">
        <v>1293</v>
      </c>
      <c r="B1354" s="1832">
        <f>'Expenditures 15-22'!F182</f>
        <v>8465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8465</v>
      </c>
      <c r="C1358" s="2" t="s">
        <v>569</v>
      </c>
      <c r="D1358" s="2" t="str">
        <f t="shared" si="20"/>
        <v>Error?</v>
      </c>
    </row>
    <row r="1359" spans="1:4" x14ac:dyDescent="0.2">
      <c r="A1359" s="5">
        <v>1298</v>
      </c>
      <c r="B1359" s="1832">
        <f>'Expenditures 15-22'!F210</f>
        <v>8465</v>
      </c>
      <c r="C1359" s="2" t="s">
        <v>569</v>
      </c>
      <c r="D1359" s="2" t="str">
        <f t="shared" si="20"/>
        <v>Error?</v>
      </c>
    </row>
    <row r="1360" spans="1:4" x14ac:dyDescent="0.2">
      <c r="A1360" s="5">
        <v>1299</v>
      </c>
      <c r="B1360" s="1832">
        <f>'Expenditures 15-22'!G182</f>
        <v>38335</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38335</v>
      </c>
      <c r="C1364" s="2" t="s">
        <v>569</v>
      </c>
      <c r="D1364" s="2" t="str">
        <f t="shared" si="20"/>
        <v>Error?</v>
      </c>
    </row>
    <row r="1365" spans="1:4" x14ac:dyDescent="0.2">
      <c r="A1365" s="5">
        <v>1304</v>
      </c>
      <c r="B1365" s="1832">
        <f>'Expenditures 15-22'!G210</f>
        <v>38335</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118002</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118002</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118002</v>
      </c>
      <c r="C1388" s="2" t="s">
        <v>569</v>
      </c>
      <c r="D1388" s="2" t="str">
        <f t="shared" si="20"/>
        <v>Error?</v>
      </c>
    </row>
    <row r="1389" spans="1:4" x14ac:dyDescent="0.2">
      <c r="A1389" s="5">
        <v>1328</v>
      </c>
      <c r="B1389" s="1832">
        <f>'Expenditures 15-22'!K211</f>
        <v>-33382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10619</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86</v>
      </c>
      <c r="D1422" s="2" t="str">
        <f t="shared" si="21"/>
        <v>Error?</v>
      </c>
    </row>
    <row r="1423" spans="1:4" x14ac:dyDescent="0.2">
      <c r="A1423" s="5">
        <v>1362</v>
      </c>
      <c r="B1423" s="1832">
        <f>'Expenditures 15-22'!D246</f>
        <v>1209</v>
      </c>
      <c r="D1423" s="2" t="str">
        <f t="shared" si="21"/>
        <v>Error?</v>
      </c>
    </row>
    <row r="1424" spans="1:4" x14ac:dyDescent="0.2">
      <c r="A1424" s="5">
        <v>1363</v>
      </c>
      <c r="B1424" s="1832">
        <f>'Expenditures 15-22'!D257</f>
        <v>1295</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5771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8875</v>
      </c>
      <c r="D1431" s="2" t="str">
        <f t="shared" si="21"/>
        <v>Error?</v>
      </c>
    </row>
    <row r="1432" spans="1:4" x14ac:dyDescent="0.2">
      <c r="A1432" s="5">
        <v>1371</v>
      </c>
      <c r="B1432" s="1832">
        <f>'Expenditures 15-22'!D267</f>
        <v>3953</v>
      </c>
      <c r="D1432" s="2" t="str">
        <f t="shared" si="21"/>
        <v>Error?</v>
      </c>
    </row>
    <row r="1433" spans="1:4" x14ac:dyDescent="0.2">
      <c r="A1433" s="5">
        <v>1372</v>
      </c>
      <c r="B1433" s="1832">
        <f>'Expenditures 15-22'!D268</f>
        <v>2943</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21542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22837</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33456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10619</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86</v>
      </c>
      <c r="C1486" s="2" t="s">
        <v>569</v>
      </c>
      <c r="D1486" s="2" t="str">
        <f t="shared" si="22"/>
        <v>Error?</v>
      </c>
    </row>
    <row r="1487" spans="1:4" x14ac:dyDescent="0.2">
      <c r="A1487" s="5">
        <v>1426</v>
      </c>
      <c r="B1487" s="1832">
        <f>'Expenditures 15-22'!K246</f>
        <v>1209</v>
      </c>
      <c r="C1487" s="2" t="s">
        <v>569</v>
      </c>
      <c r="D1487" s="2" t="str">
        <f t="shared" si="22"/>
        <v>Error?</v>
      </c>
    </row>
    <row r="1488" spans="1:4" x14ac:dyDescent="0.2">
      <c r="A1488" s="5">
        <v>1427</v>
      </c>
      <c r="B1488" s="1832">
        <f>'Expenditures 15-22'!K257</f>
        <v>1295</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5771</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8875</v>
      </c>
      <c r="C1495" s="2" t="s">
        <v>569</v>
      </c>
      <c r="D1495" s="2" t="str">
        <f t="shared" si="22"/>
        <v>Error?</v>
      </c>
    </row>
    <row r="1496" spans="1:4" x14ac:dyDescent="0.2">
      <c r="A1496" s="5">
        <v>1435</v>
      </c>
      <c r="B1496" s="1832">
        <f>'Expenditures 15-22'!K267</f>
        <v>3953</v>
      </c>
      <c r="C1496" s="2" t="s">
        <v>569</v>
      </c>
      <c r="D1496" s="2" t="str">
        <f t="shared" si="22"/>
        <v>Error?</v>
      </c>
    </row>
    <row r="1497" spans="1:4" x14ac:dyDescent="0.2">
      <c r="A1497" s="5">
        <v>1436</v>
      </c>
      <c r="B1497" s="1832">
        <f>'Expenditures 15-22'!K268</f>
        <v>2943</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21542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22837</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33456</v>
      </c>
      <c r="C1517" s="2" t="s">
        <v>569</v>
      </c>
      <c r="D1517" s="2" t="str">
        <f t="shared" si="22"/>
        <v>Error?</v>
      </c>
    </row>
    <row r="1518" spans="1:4" x14ac:dyDescent="0.2">
      <c r="A1518" s="5">
        <v>1457</v>
      </c>
      <c r="B1518" s="1832">
        <f>'Expenditures 15-22'!K296</f>
        <v>36766</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6228</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6228</v>
      </c>
      <c r="C1535" s="2" t="s">
        <v>569</v>
      </c>
      <c r="D1535" s="2" t="str">
        <f t="shared" ref="D1535:D1598" si="23">IF(ISBLANK(B1535),"OK",IF(A1535-B1535=0,"OK","Error?"))</f>
        <v>Error?</v>
      </c>
    </row>
    <row r="1536" spans="1:4" x14ac:dyDescent="0.2">
      <c r="A1536" s="5">
        <v>1475</v>
      </c>
      <c r="B1536" s="1832">
        <f>'Expenditures 15-22'!E312</f>
        <v>6228</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6228</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6228</v>
      </c>
      <c r="C1559" s="2" t="s">
        <v>569</v>
      </c>
      <c r="D1559" s="2" t="str">
        <f t="shared" si="23"/>
        <v>Error?</v>
      </c>
    </row>
    <row r="1560" spans="1:4" x14ac:dyDescent="0.2">
      <c r="A1560" s="5">
        <v>1499</v>
      </c>
      <c r="B1560" s="1832">
        <f>'Expenditures 15-22'!K312</f>
        <v>6228</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1742620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1878376</v>
      </c>
      <c r="C1630" s="2" t="s">
        <v>569</v>
      </c>
      <c r="D1630" s="2" t="str">
        <f t="shared" si="24"/>
        <v>Error?</v>
      </c>
    </row>
    <row r="1631" spans="1:4" x14ac:dyDescent="0.2">
      <c r="A1631" s="5">
        <v>1570</v>
      </c>
      <c r="B1631" s="1832">
        <f>'Acct Summary 7-8'!D79</f>
        <v>494720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577810</v>
      </c>
      <c r="C1644" s="2" t="s">
        <v>569</v>
      </c>
      <c r="D1644" s="2" t="str">
        <f t="shared" si="24"/>
        <v>Error?</v>
      </c>
    </row>
    <row r="1645" spans="1:4" x14ac:dyDescent="0.2">
      <c r="A1645" s="5">
        <v>1584</v>
      </c>
      <c r="B1645" s="1832">
        <f>'Acct Summary 7-8'!E79</f>
        <v>-31666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34149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767</v>
      </c>
      <c r="C1672" s="2" t="s">
        <v>569</v>
      </c>
      <c r="D1672" s="2" t="str">
        <f t="shared" si="25"/>
        <v>Error?</v>
      </c>
    </row>
    <row r="1673" spans="1:4" x14ac:dyDescent="0.2">
      <c r="A1673" s="5">
        <v>1612</v>
      </c>
      <c r="B1673" s="1832">
        <f>'Acct Summary 7-8'!G79</f>
        <v>2088</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38854</v>
      </c>
      <c r="C1686" s="2" t="s">
        <v>569</v>
      </c>
      <c r="D1686" s="2" t="str">
        <f t="shared" si="25"/>
        <v>Error?</v>
      </c>
    </row>
    <row r="1687" spans="1:4" x14ac:dyDescent="0.2">
      <c r="A1687" s="5">
        <v>1626</v>
      </c>
      <c r="B1687" s="1832">
        <f>'Acct Summary 7-8'!H79</f>
        <v>109194</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95562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866878</v>
      </c>
      <c r="C1744" s="2" t="s">
        <v>569</v>
      </c>
      <c r="D1744" s="2" t="str">
        <f t="shared" si="26"/>
        <v>Error?</v>
      </c>
    </row>
    <row r="1745" spans="1:5" x14ac:dyDescent="0.2">
      <c r="A1745" s="5">
        <v>1684</v>
      </c>
      <c r="B1745" s="1832">
        <f>'Tax Sched 23'!B5</f>
        <v>178009</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37005</v>
      </c>
      <c r="C1747" s="2" t="s">
        <v>569</v>
      </c>
      <c r="D1747" s="2" t="str">
        <f t="shared" si="26"/>
        <v>Error?</v>
      </c>
    </row>
    <row r="1748" spans="1:5" x14ac:dyDescent="0.2">
      <c r="A1748" s="5">
        <v>1687</v>
      </c>
      <c r="B1748" s="1832">
        <f>'Tax Sched 23'!B8</f>
        <v>23005</v>
      </c>
      <c r="C1748" s="2" t="s">
        <v>569</v>
      </c>
      <c r="D1748" s="2" t="str">
        <f t="shared" si="26"/>
        <v>Error?</v>
      </c>
    </row>
    <row r="1749" spans="1:5" x14ac:dyDescent="0.2">
      <c r="A1749" s="5">
        <v>1688</v>
      </c>
      <c r="B1749" s="1832">
        <f>'Tax Sched 23'!B10</f>
        <v>14505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27001</v>
      </c>
      <c r="C1752" s="2" t="s">
        <v>569</v>
      </c>
      <c r="D1752" s="2" t="str">
        <f t="shared" si="26"/>
        <v>Error?</v>
      </c>
    </row>
    <row r="1753" spans="1:5" x14ac:dyDescent="0.2">
      <c r="A1753" s="5">
        <v>1692</v>
      </c>
      <c r="B1753" s="1832">
        <f>'Tax Sched 23'!B12</f>
        <v>14004</v>
      </c>
      <c r="C1753" s="2" t="s">
        <v>569</v>
      </c>
      <c r="D1753" s="2" t="str">
        <f t="shared" si="26"/>
        <v>Error?</v>
      </c>
    </row>
    <row r="1754" spans="1:5" x14ac:dyDescent="0.2">
      <c r="A1754" s="5">
        <v>1693</v>
      </c>
      <c r="B1754" s="1832">
        <f>'Tax Sched 23'!B14</f>
        <v>5002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1176412</v>
      </c>
      <c r="C1759" s="2" t="s">
        <v>569</v>
      </c>
      <c r="D1759" s="2" t="str">
        <f t="shared" si="26"/>
        <v>Error?</v>
      </c>
    </row>
    <row r="1760" spans="1:5" x14ac:dyDescent="0.2">
      <c r="A1760" s="5">
        <v>1699</v>
      </c>
      <c r="B1760" s="1832">
        <f>'Tax Sched 23'!D4</f>
        <v>866878</v>
      </c>
      <c r="C1760" s="2" t="s">
        <v>569</v>
      </c>
      <c r="D1760" s="2" t="str">
        <f t="shared" si="26"/>
        <v>Error?</v>
      </c>
    </row>
    <row r="1761" spans="1:7" x14ac:dyDescent="0.2">
      <c r="A1761" s="5">
        <v>1700</v>
      </c>
      <c r="B1761" s="1832">
        <f>'Tax Sched 23'!D5</f>
        <v>178009</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37005</v>
      </c>
      <c r="C1763" s="2" t="s">
        <v>569</v>
      </c>
      <c r="D1763" s="2" t="str">
        <f t="shared" si="26"/>
        <v>Error?</v>
      </c>
    </row>
    <row r="1764" spans="1:7" x14ac:dyDescent="0.2">
      <c r="A1764" s="5">
        <v>1703</v>
      </c>
      <c r="B1764" s="1832">
        <f>'Tax Sched 23'!D8</f>
        <v>23005</v>
      </c>
      <c r="C1764" s="2" t="s">
        <v>569</v>
      </c>
      <c r="D1764" s="2" t="str">
        <f t="shared" si="26"/>
        <v>Error?</v>
      </c>
    </row>
    <row r="1765" spans="1:7" x14ac:dyDescent="0.2">
      <c r="A1765" s="5">
        <v>1704</v>
      </c>
      <c r="B1765" s="1832">
        <f>'Tax Sched 23'!D10</f>
        <v>14505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27001</v>
      </c>
      <c r="C1768" s="2" t="s">
        <v>569</v>
      </c>
      <c r="D1768" s="2" t="str">
        <f t="shared" si="26"/>
        <v>Error?</v>
      </c>
    </row>
    <row r="1769" spans="1:7" x14ac:dyDescent="0.2">
      <c r="A1769" s="5">
        <v>1708</v>
      </c>
      <c r="B1769" s="1832">
        <f>'Tax Sched 23'!D12</f>
        <v>14004</v>
      </c>
      <c r="C1769" s="2" t="s">
        <v>569</v>
      </c>
      <c r="D1769" s="2" t="str">
        <f t="shared" si="26"/>
        <v>Error?</v>
      </c>
    </row>
    <row r="1770" spans="1:7" x14ac:dyDescent="0.2">
      <c r="A1770" s="5">
        <v>1709</v>
      </c>
      <c r="B1770" s="1832">
        <f>'Tax Sched 23'!D14</f>
        <v>5002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1176412</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890002</v>
      </c>
      <c r="C1792" s="2" t="s">
        <v>569</v>
      </c>
      <c r="D1792" s="2" t="str">
        <f t="shared" si="27"/>
        <v>Error?</v>
      </c>
    </row>
    <row r="1793" spans="1:4" x14ac:dyDescent="0.2">
      <c r="A1793" s="5">
        <v>1732</v>
      </c>
      <c r="B1793" s="1832">
        <f>'Tax Sched 23'!F5</f>
        <v>185000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40002</v>
      </c>
      <c r="C1795" s="2" t="s">
        <v>569</v>
      </c>
      <c r="D1795" s="2" t="str">
        <f t="shared" si="27"/>
        <v>Error?</v>
      </c>
    </row>
    <row r="1796" spans="1:4" x14ac:dyDescent="0.2">
      <c r="A1796" s="5">
        <v>1735</v>
      </c>
      <c r="B1796" s="1832">
        <f>'Tax Sched 23'!F8</f>
        <v>23002</v>
      </c>
      <c r="C1796" s="2" t="s">
        <v>569</v>
      </c>
      <c r="D1796" s="2" t="str">
        <f t="shared" si="27"/>
        <v>Error?</v>
      </c>
    </row>
    <row r="1797" spans="1:4" x14ac:dyDescent="0.2">
      <c r="A1797" s="5">
        <v>1736</v>
      </c>
      <c r="B1797" s="1832">
        <f>'Tax Sched 23'!F10</f>
        <v>15002</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25003</v>
      </c>
      <c r="C1800" s="2" t="s">
        <v>569</v>
      </c>
      <c r="D1800" s="2" t="str">
        <f t="shared" si="27"/>
        <v>Error?</v>
      </c>
    </row>
    <row r="1801" spans="1:4" x14ac:dyDescent="0.2">
      <c r="A1801" s="5">
        <v>1740</v>
      </c>
      <c r="B1801" s="1832">
        <f>'Tax Sched 23'!F12</f>
        <v>14001</v>
      </c>
      <c r="C1801" s="2" t="s">
        <v>569</v>
      </c>
      <c r="D1801" s="2" t="str">
        <f t="shared" si="27"/>
        <v>Error?</v>
      </c>
    </row>
    <row r="1802" spans="1:4" x14ac:dyDescent="0.2">
      <c r="A1802" s="5">
        <v>1741</v>
      </c>
      <c r="B1802" s="1832">
        <f>'Tax Sched 23'!F14</f>
        <v>5001</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1201935</v>
      </c>
      <c r="C1807" s="2" t="s">
        <v>569</v>
      </c>
      <c r="D1807" s="2" t="str">
        <f t="shared" si="27"/>
        <v>Error?</v>
      </c>
    </row>
    <row r="1808" spans="1:4" x14ac:dyDescent="0.2">
      <c r="A1808" s="5">
        <v>1747</v>
      </c>
      <c r="B1808" s="1832">
        <f>'Tax Sched 23'!E4</f>
        <v>890002</v>
      </c>
      <c r="D1808" s="2" t="str">
        <f t="shared" si="27"/>
        <v>Error?</v>
      </c>
    </row>
    <row r="1809" spans="1:4" x14ac:dyDescent="0.2">
      <c r="A1809" s="5">
        <v>1748</v>
      </c>
      <c r="B1809" s="1832">
        <f>'Tax Sched 23'!E5</f>
        <v>185000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40002</v>
      </c>
      <c r="D1811" s="2" t="str">
        <f t="shared" si="27"/>
        <v>Error?</v>
      </c>
    </row>
    <row r="1812" spans="1:4" x14ac:dyDescent="0.2">
      <c r="A1812" s="5">
        <v>1751</v>
      </c>
      <c r="B1812" s="1832">
        <f>'Tax Sched 23'!E8</f>
        <v>23002</v>
      </c>
      <c r="D1812" s="2" t="str">
        <f t="shared" si="27"/>
        <v>Error?</v>
      </c>
    </row>
    <row r="1813" spans="1:4" x14ac:dyDescent="0.2">
      <c r="A1813" s="5">
        <v>1752</v>
      </c>
      <c r="B1813" s="1832">
        <f>'Tax Sched 23'!E10</f>
        <v>15002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25003</v>
      </c>
      <c r="D1816" s="2" t="str">
        <f t="shared" si="27"/>
        <v>Error?</v>
      </c>
    </row>
    <row r="1817" spans="1:4" x14ac:dyDescent="0.2">
      <c r="A1817" s="5">
        <v>1756</v>
      </c>
      <c r="B1817" s="1832">
        <f>'Tax Sched 23'!E12</f>
        <v>14001</v>
      </c>
      <c r="D1817" s="2" t="str">
        <f t="shared" si="27"/>
        <v>Error?</v>
      </c>
    </row>
    <row r="1818" spans="1:4" x14ac:dyDescent="0.2">
      <c r="A1818" s="5">
        <v>1757</v>
      </c>
      <c r="B1818" s="1832">
        <f>'Tax Sched 23'!E14</f>
        <v>5001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1201935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274000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5002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5002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5002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5000</v>
      </c>
      <c r="D2008" s="2" t="str">
        <f t="shared" si="30"/>
        <v>Error?</v>
      </c>
    </row>
    <row r="2009" spans="1:4" x14ac:dyDescent="0.2">
      <c r="A2009" s="5">
        <v>1948</v>
      </c>
      <c r="B2009" s="1832">
        <f>'Cap Outlay Deprec 26'!C8</f>
        <v>2923142</v>
      </c>
      <c r="D2009" s="2" t="str">
        <f t="shared" si="30"/>
        <v>Error?</v>
      </c>
    </row>
    <row r="2010" spans="1:4" x14ac:dyDescent="0.2">
      <c r="A2010" s="5">
        <v>1949</v>
      </c>
      <c r="B2010" s="1832">
        <f>'Cap Outlay Deprec 26'!C10</f>
        <v>303454</v>
      </c>
      <c r="D2010" s="2" t="str">
        <f t="shared" si="30"/>
        <v>Error?</v>
      </c>
    </row>
    <row r="2011" spans="1:4" x14ac:dyDescent="0.2">
      <c r="A2011" s="5">
        <v>1950</v>
      </c>
      <c r="B2011" s="1832">
        <f>'Cap Outlay Deprec 26'!C12</f>
        <v>799676</v>
      </c>
      <c r="D2011" s="2" t="str">
        <f t="shared" si="30"/>
        <v>Error?</v>
      </c>
    </row>
    <row r="2012" spans="1:4" x14ac:dyDescent="0.2">
      <c r="A2012" s="5">
        <v>1951</v>
      </c>
      <c r="B2012" s="1832">
        <f>'Cap Outlay Deprec 26'!C13</f>
        <v>109032</v>
      </c>
      <c r="D2012" s="2" t="str">
        <f t="shared" si="30"/>
        <v>Error?</v>
      </c>
    </row>
    <row r="2013" spans="1:4" x14ac:dyDescent="0.2">
      <c r="A2013" s="5">
        <v>1952</v>
      </c>
      <c r="B2013" s="1832">
        <f>'Cap Outlay Deprec 26'!C16</f>
        <v>4140304</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9799</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51977</v>
      </c>
      <c r="D2018" s="2" t="str">
        <f t="shared" si="30"/>
        <v>Error?</v>
      </c>
    </row>
    <row r="2019" spans="1:4" x14ac:dyDescent="0.2">
      <c r="A2019" s="5">
        <v>1958</v>
      </c>
      <c r="B2019" s="1832">
        <f>'Cap Outlay Deprec 26'!D16</f>
        <v>61776</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729266</v>
      </c>
      <c r="D2023" s="2" t="str">
        <f t="shared" si="30"/>
        <v>Error?</v>
      </c>
    </row>
    <row r="2024" spans="1:4" x14ac:dyDescent="0.2">
      <c r="A2024" s="5">
        <v>1963</v>
      </c>
      <c r="B2024" s="1832">
        <f>'Cap Outlay Deprec 26'!E13</f>
        <v>109032</v>
      </c>
      <c r="D2024" s="2" t="str">
        <f t="shared" si="30"/>
        <v>Error?</v>
      </c>
    </row>
    <row r="2025" spans="1:4" x14ac:dyDescent="0.2">
      <c r="A2025" s="5">
        <v>1964</v>
      </c>
      <c r="B2025" s="1832">
        <f>'Cap Outlay Deprec 26'!E16</f>
        <v>838298</v>
      </c>
      <c r="C2025" s="2" t="s">
        <v>569</v>
      </c>
      <c r="D2025" s="2" t="str">
        <f t="shared" si="30"/>
        <v>Error?</v>
      </c>
    </row>
    <row r="2026" spans="1:4" x14ac:dyDescent="0.2">
      <c r="A2026" s="5">
        <v>1965</v>
      </c>
      <c r="B2026" s="1832">
        <f>'Cap Outlay Deprec 26'!F5</f>
        <v>5000</v>
      </c>
      <c r="C2026" s="2" t="s">
        <v>569</v>
      </c>
      <c r="D2026" s="2" t="str">
        <f t="shared" si="30"/>
        <v>Error?</v>
      </c>
    </row>
    <row r="2027" spans="1:4" x14ac:dyDescent="0.2">
      <c r="A2027" s="5">
        <v>1966</v>
      </c>
      <c r="B2027" s="1832">
        <f>'Cap Outlay Deprec 26'!F8</f>
        <v>2932941</v>
      </c>
      <c r="C2027" s="2" t="s">
        <v>569</v>
      </c>
      <c r="D2027" s="2" t="str">
        <f t="shared" si="30"/>
        <v>Error?</v>
      </c>
    </row>
    <row r="2028" spans="1:4" x14ac:dyDescent="0.2">
      <c r="A2028" s="5">
        <v>1967</v>
      </c>
      <c r="B2028" s="1832">
        <f>'Cap Outlay Deprec 26'!F10</f>
        <v>303454</v>
      </c>
      <c r="C2028" s="2" t="s">
        <v>569</v>
      </c>
      <c r="D2028" s="2" t="str">
        <f t="shared" si="30"/>
        <v>Error?</v>
      </c>
    </row>
    <row r="2029" spans="1:4" x14ac:dyDescent="0.2">
      <c r="A2029" s="5">
        <v>1968</v>
      </c>
      <c r="B2029" s="1832">
        <f>'Cap Outlay Deprec 26'!F12</f>
        <v>70410</v>
      </c>
      <c r="C2029" s="2" t="s">
        <v>569</v>
      </c>
      <c r="D2029" s="2" t="str">
        <f t="shared" si="30"/>
        <v>Error?</v>
      </c>
    </row>
    <row r="2030" spans="1:4" x14ac:dyDescent="0.2">
      <c r="A2030" s="5">
        <v>1969</v>
      </c>
      <c r="B2030" s="1832">
        <f>'Cap Outlay Deprec 26'!F13</f>
        <v>51977</v>
      </c>
      <c r="C2030" s="2" t="s">
        <v>569</v>
      </c>
      <c r="D2030" s="2" t="str">
        <f t="shared" si="30"/>
        <v>Error?</v>
      </c>
    </row>
    <row r="2031" spans="1:4" x14ac:dyDescent="0.2">
      <c r="A2031" s="5">
        <v>1970</v>
      </c>
      <c r="B2031" s="1832">
        <f>'Cap Outlay Deprec 26'!F16</f>
        <v>3363782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1921715</v>
      </c>
      <c r="D2033" s="2" t="str">
        <f t="shared" si="30"/>
        <v>Error?</v>
      </c>
    </row>
    <row r="2034" spans="1:4" x14ac:dyDescent="0.2">
      <c r="A2034" s="5">
        <v>1973</v>
      </c>
      <c r="B2034" s="1832">
        <f>'Cap Outlay Deprec 26'!H10</f>
        <v>50176</v>
      </c>
      <c r="D2034" s="2" t="str">
        <f t="shared" si="30"/>
        <v>Error?</v>
      </c>
    </row>
    <row r="2035" spans="1:4" x14ac:dyDescent="0.2">
      <c r="A2035" s="5">
        <v>1974</v>
      </c>
      <c r="B2035" s="1832">
        <f>'Cap Outlay Deprec 26'!H12</f>
        <v>746445</v>
      </c>
      <c r="D2035" s="2" t="str">
        <f t="shared" si="30"/>
        <v>Error?</v>
      </c>
    </row>
    <row r="2036" spans="1:4" x14ac:dyDescent="0.2">
      <c r="A2036" s="5">
        <v>1975</v>
      </c>
      <c r="B2036" s="1832">
        <f>'Cap Outlay Deprec 26'!H13</f>
        <v>61514</v>
      </c>
      <c r="D2036" s="2" t="str">
        <f t="shared" si="30"/>
        <v>Error?</v>
      </c>
    </row>
    <row r="2037" spans="1:4" x14ac:dyDescent="0.2">
      <c r="A2037" s="5">
        <v>1976</v>
      </c>
      <c r="B2037" s="1832">
        <f>'Cap Outlay Deprec 26'!H16</f>
        <v>2779850</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58504</v>
      </c>
      <c r="D2039" s="2" t="str">
        <f t="shared" si="30"/>
        <v>Error?</v>
      </c>
    </row>
    <row r="2040" spans="1:4" x14ac:dyDescent="0.2">
      <c r="A2040" s="5">
        <v>1979</v>
      </c>
      <c r="B2040" s="1832">
        <f>'Cap Outlay Deprec 26'!I10</f>
        <v>14953</v>
      </c>
      <c r="D2040" s="2" t="str">
        <f t="shared" si="30"/>
        <v>Error?</v>
      </c>
    </row>
    <row r="2041" spans="1:4" x14ac:dyDescent="0.2">
      <c r="A2041" s="5">
        <v>1980</v>
      </c>
      <c r="B2041" s="1832">
        <f>'Cap Outlay Deprec 26'!I12</f>
        <v>7039</v>
      </c>
      <c r="D2041" s="2" t="str">
        <f t="shared" si="30"/>
        <v>Error?</v>
      </c>
    </row>
    <row r="2042" spans="1:4" x14ac:dyDescent="0.2">
      <c r="A2042" s="5">
        <v>1981</v>
      </c>
      <c r="B2042" s="1832">
        <f>'Cap Outlay Deprec 26'!I13</f>
        <v>6123</v>
      </c>
      <c r="D2042" s="2" t="str">
        <f t="shared" si="30"/>
        <v>Error?</v>
      </c>
    </row>
    <row r="2043" spans="1:4" x14ac:dyDescent="0.2">
      <c r="A2043" s="5">
        <v>1982</v>
      </c>
      <c r="B2043" s="1832">
        <f>'Cap Outlay Deprec 26'!I16</f>
        <v>86619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703050</v>
      </c>
      <c r="D2047" s="2" t="str">
        <f t="shared" ref="D2047:D2110" si="31">IF(ISBLANK(B2047),"OK",IF(A2047-B2047=0,"OK","Error?"))</f>
        <v>Error?</v>
      </c>
    </row>
    <row r="2048" spans="1:4" x14ac:dyDescent="0.2">
      <c r="A2048" s="5">
        <v>1987</v>
      </c>
      <c r="B2048" s="1832">
        <f>'Cap Outlay Deprec 26'!J13</f>
        <v>61514</v>
      </c>
      <c r="D2048" s="2" t="str">
        <f t="shared" si="31"/>
        <v>Error?</v>
      </c>
    </row>
    <row r="2049" spans="1:4" x14ac:dyDescent="0.2">
      <c r="A2049" s="5">
        <v>1988</v>
      </c>
      <c r="B2049" s="1832">
        <f>'Cap Outlay Deprec 26'!J16</f>
        <v>764564</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1980219</v>
      </c>
      <c r="C2051" s="2" t="s">
        <v>569</v>
      </c>
      <c r="D2051" s="2" t="str">
        <f t="shared" si="31"/>
        <v>Error?</v>
      </c>
    </row>
    <row r="2052" spans="1:4" x14ac:dyDescent="0.2">
      <c r="A2052" s="5">
        <v>1991</v>
      </c>
      <c r="B2052" s="1832">
        <f>'Cap Outlay Deprec 26'!K10</f>
        <v>65129</v>
      </c>
      <c r="C2052" s="2" t="s">
        <v>569</v>
      </c>
      <c r="D2052" s="2" t="str">
        <f t="shared" si="31"/>
        <v>Error?</v>
      </c>
    </row>
    <row r="2053" spans="1:4" x14ac:dyDescent="0.2">
      <c r="A2053" s="5">
        <v>1992</v>
      </c>
      <c r="B2053" s="1832">
        <f>'Cap Outlay Deprec 26'!K12</f>
        <v>50434</v>
      </c>
      <c r="C2053" s="2" t="s">
        <v>569</v>
      </c>
      <c r="D2053" s="2" t="str">
        <f t="shared" si="31"/>
        <v>Error?</v>
      </c>
    </row>
    <row r="2054" spans="1:4" x14ac:dyDescent="0.2">
      <c r="A2054" s="5">
        <v>1993</v>
      </c>
      <c r="B2054" s="1832">
        <f>'Cap Outlay Deprec 26'!K13</f>
        <v>6123</v>
      </c>
      <c r="C2054" s="2" t="s">
        <v>569</v>
      </c>
      <c r="D2054" s="2" t="str">
        <f t="shared" si="31"/>
        <v>Error?</v>
      </c>
    </row>
    <row r="2055" spans="1:4" x14ac:dyDescent="0.2">
      <c r="A2055" s="5">
        <v>1994</v>
      </c>
      <c r="B2055" s="1832">
        <f>'Cap Outlay Deprec 26'!K16</f>
        <v>2101905</v>
      </c>
      <c r="C2055" s="2" t="s">
        <v>569</v>
      </c>
      <c r="D2055" s="2" t="str">
        <f t="shared" si="31"/>
        <v>Error?</v>
      </c>
    </row>
    <row r="2056" spans="1:4" x14ac:dyDescent="0.2">
      <c r="A2056" s="5">
        <v>1995</v>
      </c>
      <c r="B2056" s="1832">
        <f>'Cap Outlay Deprec 26'!L5</f>
        <v>5000</v>
      </c>
      <c r="C2056" s="2" t="s">
        <v>569</v>
      </c>
      <c r="D2056" s="2" t="str">
        <f t="shared" si="31"/>
        <v>Error?</v>
      </c>
    </row>
    <row r="2057" spans="1:4" x14ac:dyDescent="0.2">
      <c r="A2057" s="5">
        <v>1996</v>
      </c>
      <c r="B2057" s="1832">
        <f>'Cap Outlay Deprec 26'!L8</f>
        <v>952722</v>
      </c>
      <c r="C2057" s="2" t="s">
        <v>569</v>
      </c>
      <c r="D2057" s="2" t="str">
        <f t="shared" si="31"/>
        <v>Error?</v>
      </c>
    </row>
    <row r="2058" spans="1:4" x14ac:dyDescent="0.2">
      <c r="A2058" s="5">
        <v>1997</v>
      </c>
      <c r="B2058" s="1832">
        <f>'Cap Outlay Deprec 26'!L10</f>
        <v>238325</v>
      </c>
      <c r="C2058" s="2" t="s">
        <v>569</v>
      </c>
      <c r="D2058" s="2" t="str">
        <f t="shared" si="31"/>
        <v>Error?</v>
      </c>
    </row>
    <row r="2059" spans="1:4" x14ac:dyDescent="0.2">
      <c r="A2059" s="5">
        <v>1998</v>
      </c>
      <c r="B2059" s="1832">
        <f>'Cap Outlay Deprec 26'!L12</f>
        <v>19976</v>
      </c>
      <c r="C2059" s="2" t="s">
        <v>569</v>
      </c>
      <c r="D2059" s="2" t="str">
        <f t="shared" si="31"/>
        <v>Error?</v>
      </c>
    </row>
    <row r="2060" spans="1:4" x14ac:dyDescent="0.2">
      <c r="A2060" s="5">
        <v>1999</v>
      </c>
      <c r="B2060" s="1832">
        <f>'Cap Outlay Deprec 26'!L13</f>
        <v>45854</v>
      </c>
      <c r="C2060" s="2" t="s">
        <v>569</v>
      </c>
      <c r="D2060" s="2" t="str">
        <f t="shared" si="31"/>
        <v>Error?</v>
      </c>
    </row>
    <row r="2061" spans="1:4" x14ac:dyDescent="0.2">
      <c r="A2061" s="5">
        <v>2000</v>
      </c>
      <c r="B2061" s="1832">
        <f>'Cap Outlay Deprec 26'!L16</f>
        <v>1261877</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79446</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79446</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430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95562</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960939</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131403</v>
      </c>
      <c r="C2553" s="2" t="s">
        <v>569</v>
      </c>
      <c r="D2553" s="2" t="str">
        <f t="shared" si="38"/>
        <v>Error?</v>
      </c>
    </row>
    <row r="2554" spans="1:4" x14ac:dyDescent="0.2">
      <c r="A2554" s="5">
        <v>2493</v>
      </c>
      <c r="B2554" s="1832">
        <f>'Acct Summary 7-8'!C7</f>
        <v>103222</v>
      </c>
      <c r="C2554" s="2" t="s">
        <v>569</v>
      </c>
      <c r="D2554" s="2" t="str">
        <f t="shared" si="38"/>
        <v>Error?</v>
      </c>
    </row>
    <row r="2555" spans="1:4" x14ac:dyDescent="0.2">
      <c r="A2555" s="5">
        <v>2494</v>
      </c>
      <c r="B2555" s="1832">
        <f>'Acct Summary 7-8'!C8</f>
        <v>1195564</v>
      </c>
      <c r="C2555" s="2" t="s">
        <v>569</v>
      </c>
      <c r="D2555" s="2" t="str">
        <f t="shared" si="38"/>
        <v>Error?</v>
      </c>
    </row>
    <row r="2556" spans="1:4" x14ac:dyDescent="0.2">
      <c r="A2556" s="5">
        <v>2495</v>
      </c>
      <c r="B2556" s="1832">
        <f>'Acct Summary 7-8'!C12</f>
        <v>711211</v>
      </c>
      <c r="C2556" s="2" t="s">
        <v>569</v>
      </c>
      <c r="D2556" s="2" t="str">
        <f t="shared" si="38"/>
        <v>Error?</v>
      </c>
    </row>
    <row r="2557" spans="1:4" x14ac:dyDescent="0.2">
      <c r="A2557" s="5">
        <v>2496</v>
      </c>
      <c r="B2557" s="1832">
        <f>'Acct Summary 7-8'!C13</f>
        <v>269151</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79446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1059808</v>
      </c>
      <c r="C2561" s="2" t="s">
        <v>569</v>
      </c>
      <c r="D2561" s="2" t="str">
        <f t="shared" si="39"/>
        <v>Error?</v>
      </c>
    </row>
    <row r="2562" spans="1:4" x14ac:dyDescent="0.2">
      <c r="A2562" s="5">
        <v>2501</v>
      </c>
      <c r="B2562" s="1832">
        <f>'Acct Summary 7-8'!C20</f>
        <v>135756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178204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32500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210704</v>
      </c>
      <c r="C2568" s="2" t="s">
        <v>569</v>
      </c>
      <c r="D2568" s="2" t="str">
        <f t="shared" si="39"/>
        <v>Error?</v>
      </c>
    </row>
    <row r="2569" spans="1:4" x14ac:dyDescent="0.2">
      <c r="A2569" s="5">
        <v>2508</v>
      </c>
      <c r="B2569" s="1832">
        <f>'Acct Summary 7-8'!D13</f>
        <v>127614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127614</v>
      </c>
      <c r="C2573" s="2" t="s">
        <v>569</v>
      </c>
      <c r="D2573" s="2" t="str">
        <f t="shared" si="39"/>
        <v>Error?</v>
      </c>
    </row>
    <row r="2574" spans="1:4" x14ac:dyDescent="0.2">
      <c r="A2574" s="5">
        <v>2513</v>
      </c>
      <c r="B2574" s="1832">
        <f>'Acct Summary 7-8'!D20</f>
        <v>83090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37006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47614</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84620</v>
      </c>
      <c r="C2595" s="2" t="s">
        <v>569</v>
      </c>
      <c r="D2595" s="2" t="str">
        <f t="shared" si="39"/>
        <v>Error?</v>
      </c>
    </row>
    <row r="2596" spans="1:4" x14ac:dyDescent="0.2">
      <c r="A2596" s="5">
        <v>2535</v>
      </c>
      <c r="B2596" s="1832">
        <f>'Acct Summary 7-8'!F13</f>
        <v>118002</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118002</v>
      </c>
      <c r="C2600" s="2" t="s">
        <v>569</v>
      </c>
      <c r="D2600" s="2" t="str">
        <f t="shared" si="39"/>
        <v>Error?</v>
      </c>
    </row>
    <row r="2601" spans="1:4" x14ac:dyDescent="0.2">
      <c r="A2601" s="5">
        <v>2540</v>
      </c>
      <c r="B2601" s="1832">
        <f>'Acct Summary 7-8'!F20</f>
        <v>-33382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26222</v>
      </c>
      <c r="C2603" s="2" t="s">
        <v>569</v>
      </c>
      <c r="D2603" s="2" t="str">
        <f t="shared" si="39"/>
        <v>Error?</v>
      </c>
    </row>
    <row r="2604" spans="1:4" x14ac:dyDescent="0.2">
      <c r="A2604" s="5">
        <v>2543</v>
      </c>
      <c r="B2604" s="1832">
        <f>'Acct Summary 7-8'!G6</f>
        <v>44000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70222</v>
      </c>
      <c r="C2606" s="2" t="s">
        <v>569</v>
      </c>
      <c r="D2606" s="2" t="str">
        <f t="shared" si="39"/>
        <v>Error?</v>
      </c>
    </row>
    <row r="2607" spans="1:4" x14ac:dyDescent="0.2">
      <c r="A2607" s="5">
        <v>2546</v>
      </c>
      <c r="B2607" s="1832">
        <f>'Acct Summary 7-8'!G12</f>
        <v>10619</v>
      </c>
      <c r="C2607" s="2" t="s">
        <v>569</v>
      </c>
      <c r="D2607" s="2" t="str">
        <f t="shared" si="39"/>
        <v>Error?</v>
      </c>
    </row>
    <row r="2608" spans="1:4" x14ac:dyDescent="0.2">
      <c r="A2608" s="5">
        <v>2547</v>
      </c>
      <c r="B2608" s="1832">
        <f>'Acct Summary 7-8'!G13</f>
        <v>22837</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33456</v>
      </c>
      <c r="C2612" s="2" t="s">
        <v>569</v>
      </c>
      <c r="D2612" s="2" t="str">
        <f t="shared" si="39"/>
        <v>Error?</v>
      </c>
    </row>
    <row r="2613" spans="1:4" x14ac:dyDescent="0.2">
      <c r="A2613" s="5">
        <v>2552</v>
      </c>
      <c r="B2613" s="1832">
        <f>'Acct Summary 7-8'!G20</f>
        <v>36766</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49522</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49522</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31488</v>
      </c>
      <c r="C2634" s="2" t="s">
        <v>569</v>
      </c>
      <c r="D2634" s="2" t="str">
        <f t="shared" si="40"/>
        <v>Error?</v>
      </c>
    </row>
    <row r="2635" spans="1:4" x14ac:dyDescent="0.2">
      <c r="A2635" s="5">
        <v>2574</v>
      </c>
      <c r="B2635" s="1832">
        <f>'Acct Summary 7-8'!E17</f>
        <v>31488</v>
      </c>
      <c r="C2635" s="2" t="s">
        <v>569</v>
      </c>
      <c r="D2635" s="2" t="str">
        <f t="shared" si="40"/>
        <v>Error?</v>
      </c>
    </row>
    <row r="2636" spans="1:4" x14ac:dyDescent="0.2">
      <c r="A2636" s="5">
        <v>2575</v>
      </c>
      <c r="B2636" s="1832">
        <f>'Acct Summary 7-8'!E20</f>
        <v>18034</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6228</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6228</v>
      </c>
      <c r="C2658" s="2" t="s">
        <v>569</v>
      </c>
      <c r="D2658" s="2" t="str">
        <f t="shared" si="40"/>
        <v>Error?</v>
      </c>
    </row>
    <row r="2659" spans="1:4" x14ac:dyDescent="0.2">
      <c r="A2659" s="5">
        <v>2598</v>
      </c>
      <c r="B2659" s="1832">
        <f>'Acct Summary 7-8'!H13</f>
        <v>6228</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6228</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14505</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19840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14505</v>
      </c>
      <c r="D2912" s="2" t="str">
        <f t="shared" si="44"/>
        <v>Error?</v>
      </c>
    </row>
    <row r="2913" spans="1:4" x14ac:dyDescent="0.2">
      <c r="A2913" s="5">
        <v>2852</v>
      </c>
      <c r="B2913" s="1832">
        <f>'Assets-Liab 5-6'!I41</f>
        <v>14505</v>
      </c>
      <c r="C2913" s="2" t="s">
        <v>569</v>
      </c>
      <c r="D2913" s="2" t="str">
        <f t="shared" si="44"/>
        <v>Error?</v>
      </c>
    </row>
    <row r="2914" spans="1:4" x14ac:dyDescent="0.2">
      <c r="A2914" s="5">
        <v>2853</v>
      </c>
      <c r="B2914" s="1832">
        <f>'Assets-Liab 5-6'!L33</f>
        <v>19840</v>
      </c>
      <c r="D2914" s="2" t="str">
        <f t="shared" si="44"/>
        <v>Error?</v>
      </c>
    </row>
    <row r="2915" spans="1:4" x14ac:dyDescent="0.2">
      <c r="A2915" s="10">
        <v>2854</v>
      </c>
      <c r="B2915" s="1832"/>
      <c r="D2915" s="2" t="str">
        <f t="shared" si="44"/>
        <v>OK</v>
      </c>
    </row>
    <row r="2916" spans="1:4" x14ac:dyDescent="0.2">
      <c r="A2916" s="5">
        <v>2855</v>
      </c>
      <c r="B2916" s="1832">
        <f>'Assets-Liab 5-6'!L34</f>
        <v>19840</v>
      </c>
      <c r="C2916" s="2" t="s">
        <v>569</v>
      </c>
      <c r="D2916" s="2" t="str">
        <f t="shared" si="44"/>
        <v>Error?</v>
      </c>
    </row>
    <row r="2917" spans="1:4" x14ac:dyDescent="0.2">
      <c r="A2917" s="5">
        <v>2856</v>
      </c>
      <c r="B2917" s="1832">
        <f>'Assets-Liab 5-6'!L41</f>
        <v>19840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79446</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79446</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5500</v>
      </c>
      <c r="D3055" s="2" t="str">
        <f t="shared" si="46"/>
        <v>Error?</v>
      </c>
    </row>
    <row r="3056" spans="1:4" x14ac:dyDescent="0.2">
      <c r="A3056" s="5">
        <v>2995</v>
      </c>
      <c r="B3056" s="1832">
        <f>'Expenditures 15-22'!D10</f>
        <v>2252</v>
      </c>
      <c r="D3056" s="2" t="str">
        <f t="shared" si="46"/>
        <v>Error?</v>
      </c>
    </row>
    <row r="3057" spans="1:4" x14ac:dyDescent="0.2">
      <c r="A3057" s="5">
        <v>2996</v>
      </c>
      <c r="B3057" s="1832">
        <f>'Expenditures 15-22'!E10</f>
        <v>11244</v>
      </c>
      <c r="D3057" s="2" t="str">
        <f t="shared" si="46"/>
        <v>Error?</v>
      </c>
    </row>
    <row r="3058" spans="1:4" x14ac:dyDescent="0.2">
      <c r="A3058" s="5">
        <v>2997</v>
      </c>
      <c r="B3058" s="1832">
        <f>'Expenditures 15-22'!F10</f>
        <v>1245</v>
      </c>
      <c r="D3058" s="2" t="str">
        <f t="shared" si="46"/>
        <v>Error?</v>
      </c>
    </row>
    <row r="3059" spans="1:4" x14ac:dyDescent="0.2">
      <c r="A3059" s="5">
        <v>2998</v>
      </c>
      <c r="B3059" s="1832">
        <f>'Expenditures 15-22'!G10</f>
        <v>4233</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24474</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76</v>
      </c>
      <c r="D3064" s="2" t="str">
        <f t="shared" si="46"/>
        <v>Error?</v>
      </c>
    </row>
    <row r="3065" spans="1:4" x14ac:dyDescent="0.2">
      <c r="A3065" s="5">
        <v>3004</v>
      </c>
      <c r="B3065" s="1832">
        <f>'Expenditures 15-22'!K219</f>
        <v>76</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14505</v>
      </c>
      <c r="C3225" s="2" t="s">
        <v>569</v>
      </c>
      <c r="D3225" s="2" t="str">
        <f t="shared" si="49"/>
        <v>Error?</v>
      </c>
    </row>
    <row r="3226" spans="1:4" x14ac:dyDescent="0.2">
      <c r="A3226" s="5">
        <v>3165</v>
      </c>
      <c r="B3226" s="1832">
        <f>'Acct Summary 7-8'!I8</f>
        <v>14505</v>
      </c>
      <c r="C3226" s="2" t="s">
        <v>569</v>
      </c>
      <c r="D3226" s="2" t="str">
        <f t="shared" si="49"/>
        <v>Error?</v>
      </c>
    </row>
    <row r="3227" spans="1:4" x14ac:dyDescent="0.2">
      <c r="A3227" s="5">
        <v>3166</v>
      </c>
      <c r="B3227" s="1832">
        <f>'Acct Summary 7-8'!I20</f>
        <v>14505</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135756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83090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-33382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36766</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13632</v>
      </c>
      <c r="D3273" s="2" t="str">
        <f t="shared" si="50"/>
        <v>Error?</v>
      </c>
    </row>
    <row r="3274" spans="1:4" x14ac:dyDescent="0.2">
      <c r="A3274" s="5">
        <v>3213</v>
      </c>
      <c r="B3274" s="1832">
        <f>'Acct Summary 7-8'!E44</f>
        <v>13632</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13632</v>
      </c>
      <c r="C3277" s="2" t="s">
        <v>569</v>
      </c>
      <c r="D3277" s="2" t="str">
        <f t="shared" si="50"/>
        <v>Error?</v>
      </c>
    </row>
    <row r="3278" spans="1:4" x14ac:dyDescent="0.2">
      <c r="A3278" s="5">
        <v>3217</v>
      </c>
      <c r="B3278" s="1832">
        <f>'Acct Summary 7-8'!E78</f>
        <v>31666</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13632</v>
      </c>
      <c r="D3297" s="2" t="str">
        <f t="shared" si="50"/>
        <v>Error?</v>
      </c>
    </row>
    <row r="3298" spans="1:4" x14ac:dyDescent="0.2">
      <c r="A3298" s="5">
        <v>3237</v>
      </c>
      <c r="B3298" s="1832">
        <f>'Acct Summary 7-8'!H76</f>
        <v>13632</v>
      </c>
      <c r="C3298" s="2" t="s">
        <v>569</v>
      </c>
      <c r="D3298" s="2" t="str">
        <f t="shared" si="50"/>
        <v>Error?</v>
      </c>
    </row>
    <row r="3299" spans="1:4" x14ac:dyDescent="0.2">
      <c r="A3299" s="5">
        <v>3238</v>
      </c>
      <c r="B3299" s="1832">
        <f>'Acct Summary 7-8'!H77</f>
        <v>-13632</v>
      </c>
      <c r="C3299" s="2" t="s">
        <v>569</v>
      </c>
      <c r="D3299" s="2" t="str">
        <f t="shared" si="50"/>
        <v>Error?</v>
      </c>
    </row>
    <row r="3300" spans="1:4" x14ac:dyDescent="0.2">
      <c r="A3300" s="5">
        <v>3239</v>
      </c>
      <c r="B3300" s="1832">
        <f>'Acct Summary 7-8'!H78</f>
        <v>-13632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14505</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14505</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48245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1192</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7015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56452</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7609</v>
      </c>
      <c r="D3387" s="2" t="str">
        <f t="shared" si="51"/>
        <v>Error?</v>
      </c>
    </row>
    <row r="3388" spans="1:4" x14ac:dyDescent="0.2">
      <c r="A3388" s="5">
        <v>3327</v>
      </c>
      <c r="B3388" s="1832">
        <f>'Expenditures 15-22'!D217</f>
        <v>2934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7609</v>
      </c>
      <c r="C3390" s="2" t="s">
        <v>569</v>
      </c>
      <c r="D3390" s="2" t="str">
        <f t="shared" si="51"/>
        <v>Error?</v>
      </c>
    </row>
    <row r="3391" spans="1:4" x14ac:dyDescent="0.2">
      <c r="A3391" s="5">
        <v>3330</v>
      </c>
      <c r="B3391" s="1832">
        <f>'Expenditures 15-22'!K217</f>
        <v>2934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1363283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500051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206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27030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95562</v>
      </c>
      <c r="D3425" s="2" t="str">
        <f t="shared" si="52"/>
        <v>Error?</v>
      </c>
    </row>
    <row r="3426" spans="1:4" x14ac:dyDescent="0.2">
      <c r="A3426" s="10">
        <v>3365</v>
      </c>
      <c r="B3426" s="1832"/>
      <c r="D3426" s="2" t="str">
        <f t="shared" si="52"/>
        <v>OK</v>
      </c>
    </row>
    <row r="3427" spans="1:4" x14ac:dyDescent="0.2">
      <c r="A3427" s="5">
        <v>3366</v>
      </c>
      <c r="B3427" s="1832">
        <f>'Assets-Liab 5-6'!I4</f>
        <v>14505</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19840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2002</v>
      </c>
      <c r="C3446" s="2" t="s">
        <v>569</v>
      </c>
      <c r="D3446" s="2" t="str">
        <f t="shared" si="52"/>
        <v>Error?</v>
      </c>
    </row>
    <row r="3447" spans="1:4" x14ac:dyDescent="0.2">
      <c r="A3447" s="5">
        <v>3386</v>
      </c>
      <c r="B3447" s="1832">
        <f>'Tax Sched 23'!D16</f>
        <v>2002</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2002</v>
      </c>
      <c r="C3449" s="2" t="s">
        <v>569</v>
      </c>
      <c r="D3449" s="2" t="str">
        <f t="shared" si="52"/>
        <v>Error?</v>
      </c>
    </row>
    <row r="3450" spans="1:4" x14ac:dyDescent="0.2">
      <c r="A3450" s="5">
        <v>3389</v>
      </c>
      <c r="B3450" s="1832">
        <f>'Tax Sched 23'!E16</f>
        <v>2002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24241</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4463</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28704</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28704</v>
      </c>
      <c r="D3567" s="2" t="str">
        <f t="shared" si="54"/>
        <v>Error?</v>
      </c>
    </row>
    <row r="3568" spans="1:4" x14ac:dyDescent="0.2">
      <c r="A3568" s="5">
        <v>3507</v>
      </c>
      <c r="B3568" s="1832">
        <f>'Assets-Liab 5-6'!K41</f>
        <v>28704</v>
      </c>
      <c r="C3568" s="2" t="s">
        <v>569</v>
      </c>
      <c r="D3568" s="2" t="str">
        <f t="shared" si="54"/>
        <v>Error?</v>
      </c>
    </row>
    <row r="3569" spans="1:4" x14ac:dyDescent="0.2">
      <c r="A3569" s="5">
        <v>3508</v>
      </c>
      <c r="B3569" s="1832">
        <f>'Acct Summary 7-8'!K4</f>
        <v>14015</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14015</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14015</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14015</v>
      </c>
      <c r="C3588" s="2" t="s">
        <v>569</v>
      </c>
      <c r="D3588" s="2" t="str">
        <f t="shared" si="55"/>
        <v>Error?</v>
      </c>
    </row>
    <row r="3589" spans="1:4" x14ac:dyDescent="0.2">
      <c r="A3589" s="5">
        <v>3528</v>
      </c>
      <c r="B3589" s="1832">
        <f>'Acct Summary 7-8'!K79</f>
        <v>14689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28704</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14015</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9001</v>
      </c>
      <c r="C3725" s="2" t="s">
        <v>569</v>
      </c>
      <c r="D3725" s="2" t="str">
        <f t="shared" si="57"/>
        <v>Error?</v>
      </c>
    </row>
    <row r="3726" spans="1:4" x14ac:dyDescent="0.2">
      <c r="A3726" s="5">
        <v>3665</v>
      </c>
      <c r="B3726" s="1832">
        <f>'Tax Sched 23'!D13</f>
        <v>9001</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9000</v>
      </c>
      <c r="C3728" s="2" t="s">
        <v>569</v>
      </c>
      <c r="D3728" s="2" t="str">
        <f t="shared" si="57"/>
        <v>Error?</v>
      </c>
    </row>
    <row r="3729" spans="1:4" x14ac:dyDescent="0.2">
      <c r="A3729" s="5">
        <v>3668</v>
      </c>
      <c r="B3729" s="1832">
        <f>'Tax Sched 23'!E13</f>
        <v>9000</v>
      </c>
      <c r="D3729" s="2" t="str">
        <f t="shared" si="57"/>
        <v>Error?</v>
      </c>
    </row>
    <row r="3730" spans="1:4" x14ac:dyDescent="0.2">
      <c r="A3730" s="5">
        <v>3669</v>
      </c>
      <c r="B3730" s="1832">
        <f>'ICR Computation 30'!E10</f>
        <v>64952</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-6080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-6080</v>
      </c>
      <c r="D4111" s="2" t="str">
        <f t="shared" si="63"/>
        <v>Error?</v>
      </c>
    </row>
    <row r="4112" spans="1:4" x14ac:dyDescent="0.2">
      <c r="A4112" s="10">
        <v>4051</v>
      </c>
      <c r="B4112" s="1832"/>
      <c r="D4112" s="2" t="str">
        <f t="shared" si="63"/>
        <v>OK</v>
      </c>
    </row>
    <row r="4113" spans="1:4" x14ac:dyDescent="0.2">
      <c r="A4113" s="5">
        <v>4052</v>
      </c>
      <c r="B4113" s="1832">
        <f>'Acct Summary 7-8'!C9</f>
        <v>529113</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1724677</v>
      </c>
      <c r="C4122" s="2" t="s">
        <v>569</v>
      </c>
      <c r="D4122" s="2" t="str">
        <f t="shared" si="63"/>
        <v>Error?</v>
      </c>
    </row>
    <row r="4123" spans="1:4" x14ac:dyDescent="0.2">
      <c r="A4123" s="5">
        <v>4062</v>
      </c>
      <c r="B4123" s="1832">
        <f>'Acct Summary 7-8'!D10</f>
        <v>210704</v>
      </c>
      <c r="C4123" s="2" t="s">
        <v>569</v>
      </c>
      <c r="D4123" s="2" t="str">
        <f t="shared" si="63"/>
        <v>Error?</v>
      </c>
    </row>
    <row r="4124" spans="1:4" x14ac:dyDescent="0.2">
      <c r="A4124" s="5">
        <v>4063</v>
      </c>
      <c r="B4124" s="1832">
        <f>'Acct Summary 7-8'!E10</f>
        <v>49522</v>
      </c>
      <c r="C4124" s="2" t="s">
        <v>569</v>
      </c>
      <c r="D4124" s="2" t="str">
        <f t="shared" si="63"/>
        <v>Error?</v>
      </c>
    </row>
    <row r="4125" spans="1:4" x14ac:dyDescent="0.2">
      <c r="A4125" s="5">
        <v>4064</v>
      </c>
      <c r="B4125" s="1832">
        <f>'Acct Summary 7-8'!F10</f>
        <v>84620</v>
      </c>
      <c r="C4125" s="2" t="s">
        <v>569</v>
      </c>
      <c r="D4125" s="2" t="str">
        <f t="shared" si="63"/>
        <v>Error?</v>
      </c>
    </row>
    <row r="4126" spans="1:4" x14ac:dyDescent="0.2">
      <c r="A4126" s="5">
        <v>4065</v>
      </c>
      <c r="B4126" s="1832">
        <f>'Acct Summary 7-8'!G10</f>
        <v>70222</v>
      </c>
      <c r="C4126" s="2" t="s">
        <v>569</v>
      </c>
      <c r="D4126" s="2" t="str">
        <f t="shared" si="63"/>
        <v>Error?</v>
      </c>
    </row>
    <row r="4127" spans="1:4" x14ac:dyDescent="0.2">
      <c r="A4127" s="5">
        <v>4066</v>
      </c>
      <c r="B4127" s="1832">
        <f>'Acct Summary 7-8'!H10</f>
        <v>6228</v>
      </c>
      <c r="C4127" s="2" t="s">
        <v>569</v>
      </c>
      <c r="D4127" s="2" t="str">
        <f t="shared" si="63"/>
        <v>Error?</v>
      </c>
    </row>
    <row r="4128" spans="1:4" x14ac:dyDescent="0.2">
      <c r="A4128" s="5">
        <v>4067</v>
      </c>
      <c r="B4128" s="1832">
        <f>'Acct Summary 7-8'!I10</f>
        <v>14505</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14015</v>
      </c>
      <c r="C4130" s="2" t="s">
        <v>569</v>
      </c>
      <c r="D4130" s="2" t="str">
        <f t="shared" si="63"/>
        <v>Error?</v>
      </c>
    </row>
    <row r="4131" spans="1:4" x14ac:dyDescent="0.2">
      <c r="A4131" s="5">
        <v>4070</v>
      </c>
      <c r="B4131" s="1832">
        <f>'Acct Summary 7-8'!C18</f>
        <v>529113</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1588921</v>
      </c>
      <c r="C4136" s="2" t="s">
        <v>569</v>
      </c>
      <c r="D4136" s="2" t="str">
        <f t="shared" si="63"/>
        <v>Error?</v>
      </c>
    </row>
    <row r="4137" spans="1:4" x14ac:dyDescent="0.2">
      <c r="A4137" s="5">
        <v>4076</v>
      </c>
      <c r="B4137" s="1832">
        <f>'Acct Summary 7-8'!D19</f>
        <v>127614</v>
      </c>
      <c r="C4137" s="2" t="s">
        <v>569</v>
      </c>
      <c r="D4137" s="2" t="str">
        <f t="shared" si="63"/>
        <v>Error?</v>
      </c>
    </row>
    <row r="4138" spans="1:4" x14ac:dyDescent="0.2">
      <c r="A4138" s="5">
        <v>4077</v>
      </c>
      <c r="B4138" s="1832">
        <f>'Acct Summary 7-8'!E19</f>
        <v>31488</v>
      </c>
      <c r="C4138" s="2" t="s">
        <v>569</v>
      </c>
      <c r="D4138" s="2" t="str">
        <f t="shared" si="63"/>
        <v>Error?</v>
      </c>
    </row>
    <row r="4139" spans="1:4" x14ac:dyDescent="0.2">
      <c r="A4139" s="5">
        <v>4078</v>
      </c>
      <c r="B4139" s="1832">
        <f>'Acct Summary 7-8'!F19</f>
        <v>118002</v>
      </c>
      <c r="C4139" s="2" t="s">
        <v>569</v>
      </c>
      <c r="D4139" s="2" t="str">
        <f t="shared" si="63"/>
        <v>Error?</v>
      </c>
    </row>
    <row r="4140" spans="1:4" x14ac:dyDescent="0.2">
      <c r="A4140" s="5">
        <v>4079</v>
      </c>
      <c r="B4140" s="1832">
        <f>'Acct Summary 7-8'!G19</f>
        <v>33456</v>
      </c>
      <c r="C4140" s="2" t="s">
        <v>569</v>
      </c>
      <c r="D4140" s="2" t="str">
        <f t="shared" si="63"/>
        <v>Error?</v>
      </c>
    </row>
    <row r="4141" spans="1:4" x14ac:dyDescent="0.2">
      <c r="A4141" s="5">
        <v>4080</v>
      </c>
      <c r="B4141" s="1832">
        <f>'Acct Summary 7-8'!H19</f>
        <v>6228</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255000</v>
      </c>
      <c r="C4171" s="2" t="s">
        <v>569</v>
      </c>
      <c r="D4171" s="2" t="str">
        <f t="shared" si="64"/>
        <v>Error?</v>
      </c>
    </row>
    <row r="4172" spans="1:4" x14ac:dyDescent="0.2">
      <c r="A4172" s="5">
        <v>4111</v>
      </c>
      <c r="B4172" s="1832">
        <f>'Short-Term Long-Term Debt 24'!J49</f>
        <v>255000</v>
      </c>
      <c r="C4172" s="2" t="s">
        <v>569</v>
      </c>
      <c r="D4172" s="2" t="str">
        <f t="shared" si="64"/>
        <v>Error?</v>
      </c>
    </row>
    <row r="4173" spans="1:4" x14ac:dyDescent="0.2">
      <c r="A4173" s="5">
        <v>4112</v>
      </c>
      <c r="B4173" s="1832">
        <f>'Short-Term Long-Term Debt 24'!H49</f>
        <v>19000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2522</v>
      </c>
      <c r="C4265" s="2" t="s">
        <v>569</v>
      </c>
      <c r="D4265" s="2" t="str">
        <f t="shared" si="65"/>
        <v>Error?</v>
      </c>
      <c r="E4265" s="125"/>
    </row>
    <row r="4266" spans="1:5" x14ac:dyDescent="0.2">
      <c r="A4266" s="12">
        <v>4205</v>
      </c>
      <c r="B4266" s="1832">
        <f>('FP Info 3'!F10)*100000</f>
        <v>530.5</v>
      </c>
      <c r="C4266" s="2" t="s">
        <v>569</v>
      </c>
      <c r="D4266" s="2" t="str">
        <f t="shared" si="65"/>
        <v>Error?</v>
      </c>
      <c r="E4266" s="125"/>
    </row>
    <row r="4267" spans="1:5" x14ac:dyDescent="0.2">
      <c r="A4267" s="12">
        <v>4206</v>
      </c>
      <c r="B4267" s="1832">
        <f>('FP Info 3'!H10)*100000</f>
        <v>114.7</v>
      </c>
      <c r="C4267" s="2" t="s">
        <v>569</v>
      </c>
      <c r="D4267" s="2" t="str">
        <f t="shared" si="65"/>
        <v>Error?</v>
      </c>
      <c r="E4267" s="125"/>
    </row>
    <row r="4268" spans="1:5" x14ac:dyDescent="0.2">
      <c r="A4268" s="12">
        <v>4207</v>
      </c>
      <c r="B4268" s="1832">
        <f>('FP Info 3'!J10)*100000</f>
        <v>3166.9999999999995</v>
      </c>
      <c r="C4268" s="2" t="s">
        <v>569</v>
      </c>
      <c r="D4268" s="2" t="str">
        <f t="shared" si="65"/>
        <v>Error?</v>
      </c>
    </row>
    <row r="4269" spans="1:5" x14ac:dyDescent="0.2">
      <c r="A4269" s="12">
        <v>4208</v>
      </c>
      <c r="B4269" s="1832">
        <f>'FP Info 3'!J16</f>
        <v>2471458</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32500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11756</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11756</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10000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2574</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43</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34872095</v>
      </c>
      <c r="D4995" s="2" t="str">
        <f t="shared" si="77"/>
        <v>Error?</v>
      </c>
    </row>
    <row r="4996" spans="1:4" x14ac:dyDescent="0.2">
      <c r="A4996" s="12">
        <v>4935</v>
      </c>
      <c r="B4996" s="1832">
        <f>'FP Info 3'!H31</f>
        <v>2406174.5550000002</v>
      </c>
      <c r="D4996" s="2" t="str">
        <f t="shared" si="77"/>
        <v>Error?</v>
      </c>
    </row>
    <row r="4997" spans="1:4" x14ac:dyDescent="0.2">
      <c r="A4997" s="12">
        <v>4936</v>
      </c>
      <c r="B4997" s="1832">
        <f>'FP Info 3'!H37</f>
        <v>255000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9001</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866878</v>
      </c>
      <c r="D5061" s="2" t="str">
        <f t="shared" si="78"/>
        <v>Error?</v>
      </c>
    </row>
    <row r="5062" spans="1:4" x14ac:dyDescent="0.2">
      <c r="A5062" s="10">
        <v>5001</v>
      </c>
      <c r="B5062" s="1832"/>
      <c r="D5062" s="2" t="str">
        <f t="shared" si="78"/>
        <v>OK</v>
      </c>
    </row>
    <row r="5063" spans="1:4" x14ac:dyDescent="0.2">
      <c r="A5063" s="5">
        <v>5002</v>
      </c>
      <c r="B5063" s="1832">
        <f>'Revenues 9-14'!C7</f>
        <v>5002</v>
      </c>
      <c r="D5063" s="2" t="str">
        <f t="shared" si="78"/>
        <v>OK</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880881</v>
      </c>
      <c r="C5066" s="2" t="s">
        <v>569</v>
      </c>
      <c r="D5066" s="2" t="str">
        <f t="shared" si="78"/>
        <v>Error?</v>
      </c>
    </row>
    <row r="5067" spans="1:4" x14ac:dyDescent="0.2">
      <c r="A5067" s="5">
        <v>5006</v>
      </c>
      <c r="B5067" s="1832">
        <f>'Revenues 9-14'!C14</f>
        <v>158</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66391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66549</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6247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6247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14</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294</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308</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1080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1080</v>
      </c>
      <c r="C5102" s="2" t="s">
        <v>569</v>
      </c>
      <c r="D5102" s="2" t="str">
        <f t="shared" si="78"/>
        <v>Error?</v>
      </c>
    </row>
    <row r="5103" spans="1:4" x14ac:dyDescent="0.2">
      <c r="A5103" s="5">
        <v>5042</v>
      </c>
      <c r="B5103" s="1832">
        <f>'Revenues 9-14'!C84</f>
        <v>2010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2010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27</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3837</v>
      </c>
      <c r="D5119" s="2" t="str">
        <f t="shared" ref="D5119:D5182" si="79">IF(ISBLANK(B5119),"OK",IF(A5119-B5119=0,"OK","Error?"))</f>
        <v>Error?</v>
      </c>
    </row>
    <row r="5120" spans="1:4" x14ac:dyDescent="0.2">
      <c r="A5120" s="5">
        <v>5059</v>
      </c>
      <c r="B5120" s="1832">
        <f>'Revenues 9-14'!C108</f>
        <v>3864</v>
      </c>
      <c r="C5120" s="2" t="s">
        <v>569</v>
      </c>
      <c r="D5120" s="2" t="str">
        <f t="shared" si="79"/>
        <v>Error?</v>
      </c>
    </row>
    <row r="5121" spans="1:4" x14ac:dyDescent="0.2">
      <c r="A5121" s="5">
        <v>5060</v>
      </c>
      <c r="B5121" s="1832">
        <f>'Revenues 9-14'!C109</f>
        <v>960939</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101858</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101858</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29034</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29034</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511</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29545</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131403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19396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7898</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27294</v>
      </c>
      <c r="C5246" s="2" t="s">
        <v>569</v>
      </c>
      <c r="D5246" s="2" t="str">
        <f t="shared" si="80"/>
        <v>Error?</v>
      </c>
    </row>
    <row r="5247" spans="1:4" x14ac:dyDescent="0.2">
      <c r="A5247" s="5">
        <v>5186</v>
      </c>
      <c r="B5247" s="1832">
        <f>'Revenues 9-14'!C200</f>
        <v>19056</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10000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19056</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1963</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30579</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32542</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103222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103222</v>
      </c>
      <c r="C5326" s="2" t="s">
        <v>569</v>
      </c>
      <c r="D5326" s="2" t="str">
        <f t="shared" si="82"/>
        <v>Error?</v>
      </c>
    </row>
    <row r="5327" spans="1:5" x14ac:dyDescent="0.2">
      <c r="A5327" s="5">
        <v>5266</v>
      </c>
      <c r="B5327" s="1832">
        <f>'Revenues 9-14'!C268</f>
        <v>1195564</v>
      </c>
      <c r="C5327" s="2" t="s">
        <v>569</v>
      </c>
      <c r="D5327" s="2" t="str">
        <f t="shared" si="82"/>
        <v>Error?</v>
      </c>
    </row>
    <row r="5328" spans="1:5" x14ac:dyDescent="0.2">
      <c r="A5328" s="5">
        <v>5267</v>
      </c>
      <c r="B5328" s="1832">
        <f>'Revenues 9-14'!D5</f>
        <v>178009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178009</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195</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195</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178204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32500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32500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210704</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49522</v>
      </c>
      <c r="C5526" s="2" t="s">
        <v>569</v>
      </c>
      <c r="D5526" s="2" t="str">
        <f t="shared" si="85"/>
        <v>Error?</v>
      </c>
    </row>
    <row r="5527" spans="1:4" x14ac:dyDescent="0.2">
      <c r="A5527" s="5">
        <v>5466</v>
      </c>
      <c r="B5527" s="1832">
        <f>'Revenues 9-14'!E109</f>
        <v>49522</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49522</v>
      </c>
      <c r="C5552" s="2" t="s">
        <v>569</v>
      </c>
      <c r="D5552" s="2" t="str">
        <f t="shared" si="85"/>
        <v>Error?</v>
      </c>
    </row>
    <row r="5553" spans="1:4" x14ac:dyDescent="0.2">
      <c r="A5553" s="5">
        <v>5492</v>
      </c>
      <c r="B5553" s="1832">
        <f>'Revenues 9-14'!F5</f>
        <v>37005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37005</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37006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10000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10000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29189</v>
      </c>
      <c r="D5615" s="2" t="str">
        <f t="shared" si="86"/>
        <v>Error?</v>
      </c>
    </row>
    <row r="5616" spans="1:4" x14ac:dyDescent="0.2">
      <c r="A5616" s="10">
        <v>5555</v>
      </c>
      <c r="B5616" s="1832"/>
      <c r="D5616" s="2" t="str">
        <f t="shared" si="86"/>
        <v>OK</v>
      </c>
    </row>
    <row r="5617" spans="1:5" x14ac:dyDescent="0.2">
      <c r="A5617" s="5">
        <v>5556</v>
      </c>
      <c r="B5617" s="1832">
        <f>'Revenues 9-14'!F153</f>
        <v>8425</v>
      </c>
      <c r="D5617" s="2" t="str">
        <f t="shared" si="86"/>
        <v>Error?</v>
      </c>
    </row>
    <row r="5618" spans="1:5" x14ac:dyDescent="0.2">
      <c r="A5618" s="5">
        <v>5557</v>
      </c>
      <c r="B5618" s="1832">
        <f>'Revenues 9-14'!F155</f>
        <v>37614</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37614</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47614</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84620</v>
      </c>
      <c r="C5720" s="2" t="s">
        <v>569</v>
      </c>
      <c r="D5720" s="2" t="str">
        <f t="shared" si="88"/>
        <v>Error?</v>
      </c>
    </row>
    <row r="5721" spans="1:4" x14ac:dyDescent="0.2">
      <c r="A5721" s="5">
        <v>5660</v>
      </c>
      <c r="B5721" s="1832">
        <f>'Revenues 9-14'!G5</f>
        <v>23005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2002</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25007</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1185</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1185</v>
      </c>
      <c r="C5730" s="2" t="s">
        <v>569</v>
      </c>
      <c r="D5730" s="2" t="str">
        <f t="shared" si="88"/>
        <v>Error?</v>
      </c>
    </row>
    <row r="5731" spans="1:4" x14ac:dyDescent="0.2">
      <c r="A5731" s="5">
        <v>5670</v>
      </c>
      <c r="B5731" s="1832">
        <f>'Revenues 9-14'!G65</f>
        <v>30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44000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44000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44000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70222</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6228</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6228</v>
      </c>
      <c r="C5915" s="2" t="s">
        <v>569</v>
      </c>
      <c r="D5915" s="2" t="str">
        <f t="shared" si="91"/>
        <v>Error?</v>
      </c>
    </row>
    <row r="5916" spans="1:4" x14ac:dyDescent="0.2">
      <c r="A5916" s="5">
        <v>5855</v>
      </c>
      <c r="B5916" s="1832">
        <f>'Revenues 9-14'!I5</f>
        <v>14505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14505</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14505</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14004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14004</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14015</v>
      </c>
      <c r="C6023" s="2" t="s">
        <v>569</v>
      </c>
      <c r="D6023" s="2" t="str">
        <f t="shared" si="93"/>
        <v>Error?</v>
      </c>
    </row>
    <row r="6024" spans="1:5" x14ac:dyDescent="0.2">
      <c r="A6024" s="5">
        <v>5963</v>
      </c>
      <c r="B6024" s="1832">
        <f>'Revenues 9-14'!G109</f>
        <v>26222</v>
      </c>
      <c r="C6024" s="2" t="s">
        <v>569</v>
      </c>
      <c r="D6024" s="2" t="str">
        <f t="shared" si="93"/>
        <v>Error?</v>
      </c>
    </row>
    <row r="6025" spans="1:5" x14ac:dyDescent="0.2">
      <c r="A6025" s="5">
        <v>5964</v>
      </c>
      <c r="B6025" s="1832">
        <f>'Revenues 9-14'!H109</f>
        <v>6228</v>
      </c>
      <c r="C6025" s="2" t="s">
        <v>569</v>
      </c>
      <c r="D6025" s="2" t="str">
        <f t="shared" si="93"/>
        <v>Error?</v>
      </c>
    </row>
    <row r="6026" spans="1:5" x14ac:dyDescent="0.2">
      <c r="A6026" s="5">
        <v>5965</v>
      </c>
      <c r="B6026" s="1832">
        <f>'Revenues 9-14'!I109</f>
        <v>14505</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14015</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5277</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75.599999999999994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78610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78610</v>
      </c>
      <c r="D6215" s="2" t="str">
        <f t="shared" si="96"/>
        <v>Error?</v>
      </c>
      <c r="E6215" s="2" t="s">
        <v>189</v>
      </c>
    </row>
    <row r="6216" spans="1:5" x14ac:dyDescent="0.2">
      <c r="A6216">
        <v>6155</v>
      </c>
      <c r="B6216" s="1832">
        <f>'Assets-Liab 5-6'!J41</f>
        <v>78610</v>
      </c>
      <c r="D6216" s="2" t="str">
        <f t="shared" si="96"/>
        <v>Error?</v>
      </c>
      <c r="E6216" s="2" t="s">
        <v>189</v>
      </c>
    </row>
    <row r="6217" spans="1:5" x14ac:dyDescent="0.2">
      <c r="A6217">
        <v>6156</v>
      </c>
      <c r="B6217" s="1832">
        <f>'Assets-Liab 5-6'!J4</f>
        <v>78610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28821</v>
      </c>
      <c r="D6220" s="2" t="str">
        <f t="shared" si="96"/>
        <v>Error?</v>
      </c>
      <c r="E6220" s="2" t="s">
        <v>189</v>
      </c>
    </row>
    <row r="6221" spans="1:5" x14ac:dyDescent="0.2">
      <c r="A6221">
        <v>6160</v>
      </c>
      <c r="B6221" s="1832">
        <f>'Acct Summary 7-8'!J6</f>
        <v>4000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32821</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32821</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32934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32934</v>
      </c>
      <c r="D6229" s="2" t="str">
        <f t="shared" si="96"/>
        <v>Error?</v>
      </c>
      <c r="E6229" s="2" t="s">
        <v>189</v>
      </c>
    </row>
    <row r="6230" spans="1:5" x14ac:dyDescent="0.2">
      <c r="A6230">
        <v>6169</v>
      </c>
      <c r="B6230" s="1832">
        <f>'Acct Summary 7-8'!J20</f>
        <v>-113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-113</v>
      </c>
      <c r="D6263" s="2" t="str">
        <f t="shared" si="96"/>
        <v>Error?</v>
      </c>
      <c r="E6263" s="2" t="s">
        <v>189</v>
      </c>
    </row>
    <row r="6264" spans="1:5" x14ac:dyDescent="0.2">
      <c r="A6264">
        <v>6203</v>
      </c>
      <c r="B6264" s="1832">
        <f>'Acct Summary 7-8'!J79</f>
        <v>78723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78610</v>
      </c>
      <c r="D6266" s="2" t="str">
        <f t="shared" si="96"/>
        <v>Error?</v>
      </c>
      <c r="E6266" s="2" t="s">
        <v>189</v>
      </c>
    </row>
    <row r="6267" spans="1:5" x14ac:dyDescent="0.2">
      <c r="A6267">
        <v>6206</v>
      </c>
      <c r="B6267" s="1832">
        <f>'Acct Summary 7-8'!C82</f>
        <v>135756</v>
      </c>
      <c r="D6267" s="2" t="str">
        <f t="shared" si="96"/>
        <v>Error?</v>
      </c>
      <c r="E6267" s="2" t="s">
        <v>189</v>
      </c>
    </row>
    <row r="6268" spans="1:5" x14ac:dyDescent="0.2">
      <c r="A6268">
        <v>6207</v>
      </c>
      <c r="B6268" s="1832">
        <f>'Acct Summary 7-8'!D82</f>
        <v>83090</v>
      </c>
      <c r="D6268" s="2" t="str">
        <f t="shared" si="96"/>
        <v>Error?</v>
      </c>
      <c r="E6268" s="2" t="s">
        <v>189</v>
      </c>
    </row>
    <row r="6269" spans="1:5" x14ac:dyDescent="0.2">
      <c r="A6269">
        <v>6208</v>
      </c>
      <c r="B6269" s="1832">
        <f>'Acct Summary 7-8'!E82</f>
        <v>31666</v>
      </c>
      <c r="D6269" s="2" t="str">
        <f t="shared" si="96"/>
        <v>Error?</v>
      </c>
      <c r="E6269" s="2" t="s">
        <v>189</v>
      </c>
    </row>
    <row r="6270" spans="1:5" x14ac:dyDescent="0.2">
      <c r="A6270">
        <v>6209</v>
      </c>
      <c r="B6270" s="1832">
        <f>'Acct Summary 7-8'!F82</f>
        <v>-33382</v>
      </c>
      <c r="D6270" s="2" t="str">
        <f t="shared" si="96"/>
        <v>Error?</v>
      </c>
      <c r="E6270" s="2" t="s">
        <v>189</v>
      </c>
    </row>
    <row r="6271" spans="1:5" x14ac:dyDescent="0.2">
      <c r="A6271">
        <v>6210</v>
      </c>
      <c r="B6271" s="1832">
        <f>'Acct Summary 7-8'!G82</f>
        <v>36766</v>
      </c>
      <c r="D6271" s="2" t="str">
        <f t="shared" ref="D6271:D6334" si="97">IF(ISBLANK(B6271),"OK",IF(A6271-B6271=0,"OK","Error?"))</f>
        <v>Error?</v>
      </c>
      <c r="E6271" s="2" t="s">
        <v>189</v>
      </c>
    </row>
    <row r="6272" spans="1:5" x14ac:dyDescent="0.2">
      <c r="A6272">
        <v>6211</v>
      </c>
      <c r="B6272" s="1832">
        <f>'Acct Summary 7-8'!H82</f>
        <v>-13632</v>
      </c>
      <c r="D6272" s="2" t="str">
        <f t="shared" si="97"/>
        <v>Error?</v>
      </c>
      <c r="E6272" s="2" t="s">
        <v>189</v>
      </c>
    </row>
    <row r="6273" spans="1:5" x14ac:dyDescent="0.2">
      <c r="A6273">
        <v>6212</v>
      </c>
      <c r="B6273" s="1832">
        <f>'Acct Summary 7-8'!I82</f>
        <v>14505</v>
      </c>
      <c r="D6273" s="2" t="str">
        <f t="shared" si="97"/>
        <v>Error?</v>
      </c>
      <c r="E6273" s="2" t="s">
        <v>189</v>
      </c>
    </row>
    <row r="6274" spans="1:5" x14ac:dyDescent="0.2">
      <c r="A6274">
        <v>6213</v>
      </c>
      <c r="B6274" s="1832">
        <f>'Acct Summary 7-8'!J82</f>
        <v>-113</v>
      </c>
      <c r="D6274" s="2" t="str">
        <f t="shared" si="97"/>
        <v>Error?</v>
      </c>
      <c r="E6274" s="2" t="s">
        <v>189</v>
      </c>
    </row>
    <row r="6275" spans="1:5" x14ac:dyDescent="0.2">
      <c r="A6275">
        <v>6214</v>
      </c>
      <c r="B6275" s="1832">
        <f>'Acct Summary 7-8'!K82</f>
        <v>14015</v>
      </c>
      <c r="D6275" s="2" t="str">
        <f t="shared" si="97"/>
        <v>Error?</v>
      </c>
      <c r="E6275" s="2" t="s">
        <v>189</v>
      </c>
    </row>
    <row r="6276" spans="1:5" x14ac:dyDescent="0.2">
      <c r="A6276">
        <v>6215</v>
      </c>
      <c r="B6276" s="1832">
        <f>'Acct Summary 7-8'!C83</f>
        <v>7.2273069928491418E-2</v>
      </c>
      <c r="D6276" s="2" t="str">
        <f t="shared" si="97"/>
        <v>Error?</v>
      </c>
      <c r="E6276" s="2" t="s">
        <v>189</v>
      </c>
    </row>
    <row r="6277" spans="1:5" x14ac:dyDescent="0.2">
      <c r="A6277">
        <v>6216</v>
      </c>
      <c r="B6277" s="1832">
        <f>'Acct Summary 7-8'!D83</f>
        <v>0.14380159568024092</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-43.522816166883963</v>
      </c>
      <c r="D6279" s="2" t="str">
        <f t="shared" si="97"/>
        <v>Error?</v>
      </c>
      <c r="E6279" s="2" t="s">
        <v>189</v>
      </c>
    </row>
    <row r="6280" spans="1:5" x14ac:dyDescent="0.2">
      <c r="A6280">
        <v>6219</v>
      </c>
      <c r="B6280" s="1832">
        <f>'Acct Summary 7-8'!G83</f>
        <v>0.9462603592937664</v>
      </c>
      <c r="D6280" s="2" t="str">
        <f t="shared" si="97"/>
        <v>Error?</v>
      </c>
      <c r="E6280" s="2" t="s">
        <v>189</v>
      </c>
    </row>
    <row r="6281" spans="1:5" x14ac:dyDescent="0.2">
      <c r="A6281">
        <v>6220</v>
      </c>
      <c r="B6281" s="1832">
        <f>'Acct Summary 7-8'!H83</f>
        <v>-0.14265084447793056</v>
      </c>
      <c r="D6281" s="2" t="str">
        <f t="shared" si="97"/>
        <v>Error?</v>
      </c>
      <c r="E6281" s="2" t="s">
        <v>189</v>
      </c>
    </row>
    <row r="6282" spans="1:5" x14ac:dyDescent="0.2">
      <c r="A6282">
        <v>6221</v>
      </c>
      <c r="B6282" s="1832">
        <f>'Acct Summary 7-8'!I83</f>
        <v>1</v>
      </c>
      <c r="D6282" s="2" t="str">
        <f t="shared" si="97"/>
        <v>Error?</v>
      </c>
      <c r="E6282" s="2" t="s">
        <v>189</v>
      </c>
    </row>
    <row r="6283" spans="1:5" x14ac:dyDescent="0.2">
      <c r="A6283">
        <v>6222</v>
      </c>
      <c r="B6283" s="1832">
        <f>'Acct Summary 7-8'!J83</f>
        <v>-1.4374761480727644E-3</v>
      </c>
      <c r="D6283" s="2" t="str">
        <f t="shared" si="97"/>
        <v>Error?</v>
      </c>
      <c r="E6283" s="2" t="s">
        <v>189</v>
      </c>
    </row>
    <row r="6284" spans="1:5" x14ac:dyDescent="0.2">
      <c r="A6284">
        <v>6223</v>
      </c>
      <c r="B6284" s="1832">
        <f>'Acct Summary 7-8'!K83</f>
        <v>0.48825947603121517</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27001</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27001</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1820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1820</v>
      </c>
      <c r="D6351" s="2" t="str">
        <f t="shared" si="98"/>
        <v>Error?</v>
      </c>
      <c r="E6351" s="2" t="s">
        <v>189</v>
      </c>
    </row>
    <row r="6352" spans="1:5" x14ac:dyDescent="0.2">
      <c r="A6352">
        <v>6291</v>
      </c>
      <c r="B6352" s="1832">
        <f>'Revenues 9-14'!J109</f>
        <v>28821</v>
      </c>
      <c r="D6352" s="2" t="str">
        <f t="shared" si="98"/>
        <v>Error?</v>
      </c>
      <c r="E6352" s="2" t="s">
        <v>189</v>
      </c>
    </row>
    <row r="6353" spans="1:5" x14ac:dyDescent="0.2">
      <c r="A6353">
        <v>6292</v>
      </c>
      <c r="B6353" s="1832">
        <f>'Revenues 9-14'!J117</f>
        <v>4000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4000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4000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32934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32821</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12786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12786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419</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419</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2000</v>
      </c>
      <c r="D7172" s="2" t="str">
        <f t="shared" si="111"/>
        <v>Error?</v>
      </c>
    </row>
    <row r="7173" spans="1:4" x14ac:dyDescent="0.2">
      <c r="A7173">
        <v>7112</v>
      </c>
      <c r="B7173" s="1832">
        <f>'Expenditures 15-22'!D325</f>
        <v>258</v>
      </c>
      <c r="D7173" s="2" t="str">
        <f t="shared" si="111"/>
        <v>Error?</v>
      </c>
    </row>
    <row r="7174" spans="1:4" x14ac:dyDescent="0.2">
      <c r="A7174">
        <v>7113</v>
      </c>
      <c r="B7174" s="1832">
        <f>'Expenditures 15-22'!E325</f>
        <v>1105</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3363</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2238</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2238</v>
      </c>
      <c r="D7198" s="2" t="str">
        <f t="shared" si="111"/>
        <v>Error?</v>
      </c>
    </row>
    <row r="7199" spans="1:4" x14ac:dyDescent="0.2">
      <c r="A7199">
        <v>7138</v>
      </c>
      <c r="B7199" s="1832">
        <f>'Expenditures 15-22'!C330</f>
        <v>2000</v>
      </c>
      <c r="D7199" s="2" t="str">
        <f t="shared" si="111"/>
        <v>Error?</v>
      </c>
    </row>
    <row r="7200" spans="1:4" x14ac:dyDescent="0.2">
      <c r="A7200">
        <v>7139</v>
      </c>
      <c r="B7200" s="1832">
        <f>'Expenditures 15-22'!D330</f>
        <v>258</v>
      </c>
      <c r="D7200" s="2" t="str">
        <f t="shared" si="111"/>
        <v>Error?</v>
      </c>
    </row>
    <row r="7201" spans="1:4" x14ac:dyDescent="0.2">
      <c r="A7201">
        <v>7140</v>
      </c>
      <c r="B7201" s="1832">
        <f>'Expenditures 15-22'!E330</f>
        <v>30676</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32934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2000</v>
      </c>
      <c r="D7216" s="2" t="str">
        <f t="shared" si="111"/>
        <v>Error?</v>
      </c>
    </row>
    <row r="7217" spans="1:4" x14ac:dyDescent="0.2">
      <c r="A7217">
        <v>7156</v>
      </c>
      <c r="B7217" s="1832">
        <f>'Expenditures 15-22'!D342</f>
        <v>258</v>
      </c>
      <c r="D7217" s="2" t="str">
        <f t="shared" si="111"/>
        <v>Error?</v>
      </c>
    </row>
    <row r="7218" spans="1:4" x14ac:dyDescent="0.2">
      <c r="A7218">
        <v>7157</v>
      </c>
      <c r="B7218" s="1832">
        <f>'Expenditures 15-22'!E342</f>
        <v>30676</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32934</v>
      </c>
      <c r="D7224" s="2" t="str">
        <f t="shared" si="111"/>
        <v>Error?</v>
      </c>
    </row>
    <row r="7225" spans="1:4" x14ac:dyDescent="0.2">
      <c r="A7225">
        <v>7164</v>
      </c>
      <c r="B7225" s="1832">
        <f>'Expenditures 15-22'!K343</f>
        <v>-113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86619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14128</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14128</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77528</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55750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55750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5002</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6228</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11988</v>
      </c>
      <c r="D7724" s="2" t="str">
        <f t="shared" si="126"/>
        <v>Error?</v>
      </c>
      <c r="E7724" s="2" t="s">
        <v>822</v>
      </c>
      <c r="F7724" s="2"/>
    </row>
    <row r="7725" spans="1:6" x14ac:dyDescent="0.2">
      <c r="A7725">
        <v>7664</v>
      </c>
      <c r="B7725" s="1832">
        <f>'Rest Tax Levies-Tort Im 25'!J19</f>
        <v>19000</v>
      </c>
      <c r="D7725" s="2" t="str">
        <f t="shared" si="126"/>
        <v>Error?</v>
      </c>
      <c r="E7725" s="2" t="s">
        <v>822</v>
      </c>
    </row>
    <row r="7726" spans="1:6" x14ac:dyDescent="0.2">
      <c r="A7726">
        <v>7665</v>
      </c>
      <c r="B7726" s="1832">
        <f>'Rest Tax Levies-Tort Im 25'!J20</f>
        <v>500</v>
      </c>
      <c r="D7726" s="2" t="str">
        <f t="shared" si="126"/>
        <v>Error?</v>
      </c>
      <c r="E7726" s="2" t="s">
        <v>822</v>
      </c>
    </row>
    <row r="7727" spans="1:6" x14ac:dyDescent="0.2">
      <c r="A7727">
        <v>7666</v>
      </c>
      <c r="B7727" s="1832">
        <f>'Rest Tax Levies-Tort Im 25'!J21</f>
        <v>31488</v>
      </c>
      <c r="D7727" s="2" t="str">
        <f t="shared" si="126"/>
        <v>Error?</v>
      </c>
      <c r="E7727" s="2" t="s">
        <v>822</v>
      </c>
    </row>
    <row r="7728" spans="1:6" x14ac:dyDescent="0.2">
      <c r="A7728">
        <v>7667</v>
      </c>
      <c r="B7728" s="1832">
        <f>'Revenues 9-14'!E103</f>
        <v>49522</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37716</v>
      </c>
      <c r="D7730" s="2" t="str">
        <f t="shared" si="126"/>
        <v>Error?</v>
      </c>
      <c r="E7730" s="2" t="s">
        <v>822</v>
      </c>
    </row>
    <row r="7731" spans="1:6" x14ac:dyDescent="0.2">
      <c r="A7731">
        <v>7670</v>
      </c>
      <c r="B7731" s="1832">
        <f>'Revenues 9-14'!H103</f>
        <v>6228</v>
      </c>
      <c r="D7731" s="2" t="str">
        <f t="shared" si="126"/>
        <v>Error?</v>
      </c>
      <c r="E7731" s="2" t="s">
        <v>822</v>
      </c>
    </row>
    <row r="7732" spans="1:6" x14ac:dyDescent="0.2">
      <c r="A7732">
        <v>7671</v>
      </c>
      <c r="B7732" s="1832">
        <f>'Rest Tax Levies-Tort Im 25'!J24</f>
        <v>95562</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95562</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330000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-7793</v>
      </c>
      <c r="D7820" s="2" t="str">
        <f t="shared" si="128"/>
        <v>Error?</v>
      </c>
    </row>
    <row r="7821" spans="1:5" x14ac:dyDescent="0.2">
      <c r="A7821">
        <v>7760</v>
      </c>
      <c r="B7821" s="1832">
        <f>'ICR Computation 30'!G40</f>
        <v>-7793</v>
      </c>
      <c r="D7821" s="2" t="str">
        <f t="shared" si="128"/>
        <v>Error?</v>
      </c>
    </row>
    <row r="7822" spans="1:5" x14ac:dyDescent="0.2">
      <c r="A7822" s="1">
        <v>7761</v>
      </c>
      <c r="B7822" s="1832">
        <f>'PCTC-OEPP 27-28'!F14</f>
        <v>1403302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160222</v>
      </c>
      <c r="D7834" s="2" t="str">
        <f t="shared" si="129"/>
        <v>Error?</v>
      </c>
      <c r="E7834" s="4" t="s">
        <v>1998</v>
      </c>
    </row>
    <row r="7835" spans="1:5" x14ac:dyDescent="0.2">
      <c r="A7835">
        <v>7774</v>
      </c>
      <c r="B7835" s="1832">
        <f>'PCTC-OEPP 27-28'!F78</f>
        <v>1243080</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16442.857142857145</v>
      </c>
      <c r="D7837" s="2" t="str">
        <f t="shared" si="129"/>
        <v>Error?</v>
      </c>
      <c r="E7837" s="4" t="s">
        <v>1998</v>
      </c>
    </row>
    <row r="7838" spans="1:5" x14ac:dyDescent="0.2">
      <c r="A7838">
        <v>7777</v>
      </c>
      <c r="B7838" s="1832">
        <f>'PCTC-OEPP 27-28'!F96</f>
        <v>1080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29034</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37614</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11756</v>
      </c>
      <c r="D7857" s="2" t="str">
        <f t="shared" si="129"/>
        <v>Error?</v>
      </c>
      <c r="E7857" s="4" t="s">
        <v>1998</v>
      </c>
    </row>
    <row r="7858" spans="1:5" x14ac:dyDescent="0.2">
      <c r="A7858">
        <v>7797</v>
      </c>
      <c r="B7858" s="1832">
        <f>'PCTC-OEPP 27-28'!F126</f>
        <v>27294</v>
      </c>
      <c r="D7858" s="2" t="str">
        <f t="shared" si="129"/>
        <v>Error?</v>
      </c>
      <c r="E7858" s="4" t="s">
        <v>1998</v>
      </c>
    </row>
    <row r="7859" spans="1:5" x14ac:dyDescent="0.2">
      <c r="A7859">
        <v>7798</v>
      </c>
      <c r="B7859" s="1832">
        <f>'PCTC-OEPP 27-28'!F127</f>
        <v>19056</v>
      </c>
      <c r="D7859" s="2" t="str">
        <f t="shared" si="129"/>
        <v>Error?</v>
      </c>
      <c r="E7859" s="4" t="s">
        <v>1998</v>
      </c>
    </row>
    <row r="7860" spans="1:5" x14ac:dyDescent="0.2">
      <c r="A7860">
        <v>7799</v>
      </c>
      <c r="B7860" s="1832">
        <f>'PCTC-OEPP 27-28'!F128</f>
        <v>10000</v>
      </c>
      <c r="D7860" s="2" t="str">
        <f t="shared" si="129"/>
        <v>Error?</v>
      </c>
      <c r="E7860" s="4" t="s">
        <v>1998</v>
      </c>
    </row>
    <row r="7861" spans="1:5" x14ac:dyDescent="0.2">
      <c r="A7861">
        <v>7800</v>
      </c>
      <c r="B7861" s="1832">
        <f>'PCTC-OEPP 27-28'!F129</f>
        <v>30579</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2574</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204316</v>
      </c>
      <c r="D7877" s="2" t="str">
        <f t="shared" si="129"/>
        <v>Error?</v>
      </c>
      <c r="E7877" s="4" t="s">
        <v>1998</v>
      </c>
    </row>
    <row r="7878" spans="1:5" x14ac:dyDescent="0.2">
      <c r="A7878">
        <v>7817</v>
      </c>
      <c r="B7878" s="1832">
        <f>'PCTC-OEPP 27-28'!F176</f>
        <v>1038764</v>
      </c>
      <c r="D7878" s="2" t="str">
        <f t="shared" si="129"/>
        <v>Error?</v>
      </c>
      <c r="E7878" s="4" t="s">
        <v>1998</v>
      </c>
    </row>
    <row r="7879" spans="1:5" x14ac:dyDescent="0.2">
      <c r="A7879">
        <v>7818</v>
      </c>
      <c r="B7879" s="1832">
        <f>'PCTC-OEPP 27-28'!F178</f>
        <v>1125383</v>
      </c>
      <c r="D7879" s="2" t="str">
        <f t="shared" si="129"/>
        <v>Error?</v>
      </c>
      <c r="E7879" s="4" t="s">
        <v>1998</v>
      </c>
    </row>
    <row r="7880" spans="1:5" x14ac:dyDescent="0.2">
      <c r="A7880">
        <v>7819</v>
      </c>
      <c r="B7880" s="1832">
        <f>'PCTC-OEPP 27-28'!F180</f>
        <v>14886.01851851852</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H23" sqref="H23"/>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68" t="s">
        <v>1181</v>
      </c>
      <c r="B2" s="2568"/>
      <c r="C2" s="2568"/>
      <c r="D2" s="2568"/>
      <c r="E2" s="2568"/>
      <c r="F2" s="2568"/>
      <c r="G2" s="2568"/>
      <c r="H2" s="2568"/>
      <c r="I2" s="2568"/>
      <c r="J2" s="2568"/>
      <c r="K2" s="2568"/>
      <c r="L2" s="2568"/>
    </row>
    <row r="3" spans="1:29" ht="13.5" customHeight="1" x14ac:dyDescent="0.2">
      <c r="A3" s="2554" t="s">
        <v>1180</v>
      </c>
      <c r="B3" s="2554"/>
      <c r="C3" s="2554"/>
      <c r="D3" s="2554"/>
      <c r="E3" s="2554"/>
      <c r="F3" s="2554"/>
      <c r="G3" s="2554"/>
      <c r="H3" s="2554"/>
      <c r="I3" s="2554"/>
      <c r="J3" s="2554"/>
      <c r="K3" s="2554"/>
      <c r="L3" s="2554"/>
    </row>
    <row r="4" spans="1:29" ht="13.5" customHeight="1" x14ac:dyDescent="0.2">
      <c r="A4" s="2585" t="str">
        <f>"Year Ending June 30, "&amp;'AFR20'!E2</f>
        <v>Year Ending June 30, 2020</v>
      </c>
      <c r="B4" s="2586"/>
      <c r="C4" s="2586"/>
      <c r="D4" s="2586"/>
      <c r="E4" s="2586"/>
      <c r="F4" s="2586"/>
      <c r="G4" s="2586"/>
      <c r="H4" s="2586"/>
      <c r="I4" s="2586"/>
      <c r="J4" s="2586"/>
      <c r="K4" s="2586"/>
      <c r="L4" s="258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8" t="str">
        <f>COVER!A17</f>
        <v>New Holland-Middletown ED 88</v>
      </c>
      <c r="B7" s="2549"/>
      <c r="C7" s="2549"/>
      <c r="D7" s="2587"/>
      <c r="E7" s="2588">
        <f>COVER!A13</f>
        <v>17054088002</v>
      </c>
      <c r="F7" s="2589"/>
      <c r="G7" s="2555" t="str">
        <f>COVER!T23</f>
        <v>066-003847</v>
      </c>
      <c r="H7" s="2556"/>
      <c r="I7" s="2556"/>
      <c r="J7" s="2556"/>
      <c r="K7" s="2556"/>
      <c r="L7" s="255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8"/>
      <c r="B9" s="2559"/>
      <c r="C9" s="2559"/>
      <c r="D9" s="2559"/>
      <c r="E9" s="2559"/>
      <c r="F9" s="2560"/>
      <c r="G9" s="2561" t="str">
        <f>COVER!T13</f>
        <v>LMHN, Ltd.</v>
      </c>
      <c r="H9" s="2562"/>
      <c r="I9" s="2562"/>
      <c r="J9" s="2562"/>
      <c r="K9" s="2562"/>
      <c r="L9" s="2563"/>
    </row>
    <row r="10" spans="1:29" ht="13.5" customHeight="1" x14ac:dyDescent="0.2">
      <c r="A10" s="2545" t="str">
        <f>COVER!A38</f>
        <v>Brandi Bruley</v>
      </c>
      <c r="B10" s="2546"/>
      <c r="C10" s="2546"/>
      <c r="D10" s="2546"/>
      <c r="E10" s="2546"/>
      <c r="F10" s="2547"/>
      <c r="G10" s="2561" t="str">
        <f>COVER!T17</f>
        <v>900 N Webster St - PO Box 87</v>
      </c>
      <c r="H10" s="2574"/>
      <c r="I10" s="2574"/>
      <c r="J10" s="2574"/>
      <c r="K10" s="2574"/>
      <c r="L10" s="2575"/>
    </row>
    <row r="11" spans="1:29" ht="13.5" customHeight="1" x14ac:dyDescent="0.2">
      <c r="A11" s="963" t="s">
        <v>1502</v>
      </c>
      <c r="B11" s="964"/>
      <c r="C11" s="965"/>
      <c r="D11" s="970"/>
      <c r="E11" s="965"/>
      <c r="F11" s="969"/>
      <c r="G11" s="2561" t="str">
        <f>COVER!T19</f>
        <v>Taylorville</v>
      </c>
      <c r="H11" s="2574"/>
      <c r="I11" s="2574"/>
      <c r="J11" s="2574"/>
      <c r="K11" s="2574"/>
      <c r="L11" s="2575"/>
    </row>
    <row r="12" spans="1:29" ht="13.5" customHeight="1" x14ac:dyDescent="0.2">
      <c r="A12" s="2579" t="s">
        <v>1501</v>
      </c>
      <c r="B12" s="2580"/>
      <c r="C12" s="2580"/>
      <c r="D12" s="2580"/>
      <c r="E12" s="2580"/>
      <c r="F12" s="2581"/>
      <c r="G12" s="2576"/>
      <c r="H12" s="2577"/>
      <c r="I12" s="2577"/>
      <c r="J12" s="2577"/>
      <c r="K12" s="2577"/>
      <c r="L12" s="2578"/>
    </row>
    <row r="13" spans="1:29" ht="13.5" customHeight="1" x14ac:dyDescent="0.2">
      <c r="A13" s="2561"/>
      <c r="B13" s="2574"/>
      <c r="C13" s="2574"/>
      <c r="D13" s="2574"/>
      <c r="E13" s="2574"/>
      <c r="F13" s="2575"/>
      <c r="G13" s="2569" t="s">
        <v>1503</v>
      </c>
      <c r="H13" s="2570"/>
      <c r="I13" s="2582" t="str">
        <f>COVER!T25</f>
        <v>lmhncpas@outlook.com</v>
      </c>
      <c r="J13" s="2583"/>
      <c r="K13" s="2583"/>
      <c r="L13" s="2584"/>
    </row>
    <row r="14" spans="1:29" ht="13.5" customHeight="1" x14ac:dyDescent="0.2">
      <c r="A14" s="2561" t="str">
        <f>COVER!A19</f>
        <v>75 1250th Street</v>
      </c>
      <c r="B14" s="2574"/>
      <c r="C14" s="2574"/>
      <c r="D14" s="2574"/>
      <c r="E14" s="2574"/>
      <c r="F14" s="2575"/>
      <c r="G14" s="974" t="s">
        <v>1175</v>
      </c>
      <c r="H14" s="972"/>
      <c r="I14" s="972"/>
      <c r="J14" s="972"/>
      <c r="K14" s="972"/>
      <c r="L14" s="973"/>
    </row>
    <row r="15" spans="1:29" ht="13.5" customHeight="1" x14ac:dyDescent="0.2">
      <c r="A15" s="2561" t="str">
        <f>COVER!A21</f>
        <v>Middletown</v>
      </c>
      <c r="B15" s="2574"/>
      <c r="C15" s="2574"/>
      <c r="D15" s="2574"/>
      <c r="E15" s="2574"/>
      <c r="F15" s="2575"/>
      <c r="G15" s="2571" t="str">
        <f>COVER!T15</f>
        <v>M. Adam Mathias</v>
      </c>
      <c r="H15" s="2572"/>
      <c r="I15" s="2572"/>
      <c r="J15" s="2572"/>
      <c r="K15" s="2572"/>
      <c r="L15" s="2573"/>
    </row>
    <row r="16" spans="1:29" ht="12.2" customHeight="1" x14ac:dyDescent="0.2">
      <c r="A16" s="2551">
        <f>COVER!A25</f>
        <v>62666</v>
      </c>
      <c r="B16" s="2552"/>
      <c r="C16" s="2552"/>
      <c r="D16" s="2552"/>
      <c r="E16" s="2552"/>
      <c r="F16" s="2553"/>
      <c r="G16" s="2564"/>
      <c r="H16" s="2565"/>
      <c r="I16" s="2565"/>
      <c r="J16" s="2565"/>
      <c r="K16" s="2565"/>
      <c r="L16" s="2566"/>
    </row>
    <row r="17" spans="1:13" ht="12.2" customHeight="1" x14ac:dyDescent="0.2">
      <c r="A17" s="2567"/>
      <c r="B17" s="2552"/>
      <c r="C17" s="2552"/>
      <c r="D17" s="2552"/>
      <c r="E17" s="2552"/>
      <c r="F17" s="2553"/>
      <c r="G17" s="974" t="s">
        <v>1174</v>
      </c>
      <c r="H17" s="972"/>
      <c r="I17" s="972"/>
      <c r="J17" s="972"/>
      <c r="K17" s="976" t="s">
        <v>1173</v>
      </c>
      <c r="L17" s="969"/>
      <c r="M17" s="962"/>
    </row>
    <row r="18" spans="1:13" ht="12.2" customHeight="1" x14ac:dyDescent="0.2">
      <c r="A18" s="2545"/>
      <c r="B18" s="2546"/>
      <c r="C18" s="2546"/>
      <c r="D18" s="2546"/>
      <c r="E18" s="2546"/>
      <c r="F18" s="2547"/>
      <c r="G18" s="2548" t="str">
        <f>COVER!T21</f>
        <v>217-824-9661</v>
      </c>
      <c r="H18" s="2549"/>
      <c r="I18" s="2549"/>
      <c r="J18" s="2549"/>
      <c r="K18" s="2548" t="str">
        <f>COVER!X21</f>
        <v>217-824-2415</v>
      </c>
      <c r="L18" s="255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1" right="0.75" top="0.75" bottom="0.75" header="0.5" footer="0.5"/>
  <pageSetup scale="87" firstPageNumber="35" fitToHeight="0" orientation="portrait" useFirstPageNumber="1" r:id="rId1"/>
  <headerFooter alignWithMargins="0">
    <oddHeader>&amp;R&amp;8Page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90" t="str">
        <f>'Single Audit Cover'!A7</f>
        <v>New Holland-Middletown ED 88</v>
      </c>
      <c r="B1" s="2591"/>
      <c r="C1" s="2591"/>
      <c r="D1" s="2591"/>
    </row>
    <row r="2" spans="1:11" s="991" customFormat="1" ht="12.75" x14ac:dyDescent="0.2">
      <c r="A2" s="2592">
        <f>'Single Audit Cover'!E7</f>
        <v>17054088002</v>
      </c>
      <c r="B2" s="2593"/>
      <c r="C2" s="2593"/>
      <c r="D2" s="2593"/>
    </row>
    <row r="3" spans="1:11" s="991" customFormat="1" ht="12.75" x14ac:dyDescent="0.2">
      <c r="A3" s="2590" t="s">
        <v>1496</v>
      </c>
      <c r="B3" s="2591"/>
      <c r="C3" s="2591"/>
      <c r="D3" s="259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1" right="0.75" top="0.65" bottom="0.75" header="0.5" footer="0.5"/>
  <pageSetup scale="73" firstPageNumber="36" fitToHeight="0" orientation="portrait" useFirstPageNumber="1" r:id="rId5"/>
  <headerFooter alignWithMargins="0">
    <oddHeader>&amp;R&amp;8Page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18" sqref="F18"/>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95" t="str">
        <f>'Single Audit Cover'!A7</f>
        <v>New Holland-Middletown ED 88</v>
      </c>
      <c r="B1" s="2595"/>
      <c r="C1" s="2595"/>
      <c r="D1" s="2595"/>
      <c r="E1" s="2595"/>
    </row>
    <row r="2" spans="1:5" x14ac:dyDescent="0.2">
      <c r="A2" s="2596">
        <f>'Single Audit Cover'!E7</f>
        <v>17054088002</v>
      </c>
      <c r="B2" s="2596"/>
      <c r="C2" s="2596"/>
      <c r="D2" s="2596"/>
      <c r="E2" s="2596"/>
    </row>
    <row r="3" spans="1:5" ht="4.5" customHeight="1" x14ac:dyDescent="0.2"/>
    <row r="4" spans="1:5" x14ac:dyDescent="0.2">
      <c r="A4" s="2595" t="s">
        <v>1234</v>
      </c>
      <c r="B4" s="2595"/>
      <c r="C4" s="2595"/>
      <c r="D4" s="2595"/>
      <c r="E4" s="2595"/>
    </row>
    <row r="5" spans="1:5" x14ac:dyDescent="0.2">
      <c r="A5" s="2598" t="str">
        <f>'Single Audit Cover'!A4</f>
        <v>Year Ending June 30, 2020</v>
      </c>
      <c r="B5" s="2598"/>
      <c r="C5" s="2598"/>
      <c r="D5" s="2598"/>
      <c r="E5" s="2598"/>
    </row>
    <row r="6" spans="1:5" x14ac:dyDescent="0.2">
      <c r="A6" s="2595" t="s">
        <v>1233</v>
      </c>
      <c r="B6" s="2595"/>
      <c r="C6" s="2595"/>
      <c r="D6" s="2595"/>
      <c r="E6" s="2595"/>
    </row>
    <row r="8" spans="1:5" x14ac:dyDescent="0.2">
      <c r="A8" s="1036" t="s">
        <v>1232</v>
      </c>
    </row>
    <row r="10" spans="1:5" x14ac:dyDescent="0.2">
      <c r="A10" s="1037" t="s">
        <v>1231</v>
      </c>
      <c r="B10" s="1038" t="s">
        <v>1230</v>
      </c>
      <c r="C10" s="1038"/>
      <c r="D10" s="1039">
        <f>SUM('Acct Summary 7-8'!C7:K7)</f>
        <v>103222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5277</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108499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97"/>
      <c r="B24" s="2597"/>
      <c r="D24" s="1044"/>
    </row>
    <row r="25" spans="1:4" x14ac:dyDescent="0.2">
      <c r="A25" s="2594"/>
      <c r="B25" s="2594"/>
      <c r="D25" s="1044"/>
    </row>
    <row r="26" spans="1:4" x14ac:dyDescent="0.2">
      <c r="A26" s="2594"/>
      <c r="B26" s="2594"/>
      <c r="D26" s="1044"/>
    </row>
    <row r="27" spans="1:4" x14ac:dyDescent="0.2">
      <c r="A27" s="2594"/>
      <c r="B27" s="2594"/>
      <c r="D27" s="1044"/>
    </row>
    <row r="28" spans="1:4" x14ac:dyDescent="0.2">
      <c r="A28" s="2594"/>
      <c r="B28" s="2594"/>
      <c r="D28" s="1044"/>
    </row>
    <row r="29" spans="1:4" x14ac:dyDescent="0.2">
      <c r="A29" s="2594"/>
      <c r="B29" s="2594"/>
      <c r="D29" s="1044"/>
    </row>
    <row r="30" spans="1:4" x14ac:dyDescent="0.2">
      <c r="A30" s="2594"/>
      <c r="B30" s="2594"/>
      <c r="D30" s="1044"/>
    </row>
    <row r="32" spans="1:4" x14ac:dyDescent="0.2">
      <c r="A32" s="1036" t="s">
        <v>1222</v>
      </c>
      <c r="D32" s="1039">
        <f>SUM(D19:D30)</f>
        <v>108499</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94"/>
      <c r="B40" s="2594"/>
      <c r="D40" s="1044"/>
    </row>
    <row r="41" spans="1:4" x14ac:dyDescent="0.2">
      <c r="A41" s="2594"/>
      <c r="B41" s="2594"/>
      <c r="D41" s="1047"/>
    </row>
    <row r="42" spans="1:4" x14ac:dyDescent="0.2">
      <c r="A42" s="2594"/>
      <c r="B42" s="2594"/>
      <c r="D42" s="1047"/>
    </row>
    <row r="43" spans="1:4" x14ac:dyDescent="0.2">
      <c r="A43" s="2594"/>
      <c r="B43" s="2594"/>
      <c r="D43" s="1047"/>
    </row>
    <row r="44" spans="1:4" x14ac:dyDescent="0.2">
      <c r="A44" s="2594"/>
      <c r="B44" s="2594"/>
      <c r="D44" s="1047"/>
    </row>
    <row r="45" spans="1:4" x14ac:dyDescent="0.2">
      <c r="A45" s="2594"/>
      <c r="B45" s="2594"/>
      <c r="D45" s="1047"/>
    </row>
    <row r="47" spans="1:4" x14ac:dyDescent="0.2">
      <c r="B47" s="1048" t="s">
        <v>1216</v>
      </c>
      <c r="C47" s="1048"/>
      <c r="D47" s="1049">
        <f>SUM(D35:D45)</f>
        <v>0</v>
      </c>
    </row>
    <row r="49" spans="2:4" x14ac:dyDescent="0.2">
      <c r="B49" s="1048" t="s">
        <v>1215</v>
      </c>
      <c r="C49" s="1048"/>
      <c r="D49" s="1049">
        <f>D32-D47</f>
        <v>108499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1" right="0.75" top="0.75" bottom="0.75" header="0.5" footer="0.5"/>
  <pageSetup scale="95" firstPageNumber="37" orientation="portrait" useFirstPageNumber="1" r:id="rId1"/>
  <headerFooter alignWithMargins="0">
    <oddHeader>&amp;R&amp;8Page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0" colorId="8" zoomScaleNormal="100" workbookViewId="0">
      <selection activeCell="G118" sqref="G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4" t="s">
        <v>1158</v>
      </c>
      <c r="B2" s="2184"/>
      <c r="C2" s="2184"/>
      <c r="D2" s="2184"/>
      <c r="E2" s="2184"/>
      <c r="F2" s="2184"/>
      <c r="G2" s="2184"/>
      <c r="H2" s="2184"/>
      <c r="I2" s="2184"/>
      <c r="J2" s="218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8" t="s">
        <v>1616</v>
      </c>
      <c r="B35" s="2199"/>
      <c r="C35" s="2199"/>
      <c r="D35" s="2199"/>
      <c r="E35" s="2200"/>
      <c r="F35" s="2200"/>
      <c r="G35" s="2200"/>
      <c r="H35" s="2200"/>
      <c r="I35" s="220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8" t="s">
        <v>310</v>
      </c>
      <c r="B47" s="2201"/>
      <c r="C47" s="2201"/>
      <c r="D47" s="2201"/>
      <c r="E47" s="2202"/>
      <c r="F47" s="2202"/>
      <c r="G47" s="2202"/>
      <c r="H47" s="2202"/>
      <c r="I47" s="220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5"/>
      <c r="C57" s="2206"/>
      <c r="D57" s="2206"/>
      <c r="E57" s="2206"/>
      <c r="F57" s="2206"/>
      <c r="G57" s="2206"/>
      <c r="H57" s="2206"/>
      <c r="I57" s="2206"/>
      <c r="J57" s="2207"/>
    </row>
    <row r="58" spans="1:10" s="176" customFormat="1" x14ac:dyDescent="0.2">
      <c r="A58" s="248"/>
      <c r="B58" s="2208"/>
      <c r="C58" s="2209"/>
      <c r="D58" s="2209"/>
      <c r="E58" s="2209"/>
      <c r="F58" s="2209"/>
      <c r="G58" s="2209"/>
      <c r="H58" s="2209"/>
      <c r="I58" s="2209"/>
      <c r="J58" s="2210"/>
    </row>
    <row r="59" spans="1:10" s="176" customFormat="1" x14ac:dyDescent="0.2">
      <c r="A59" s="248"/>
      <c r="B59" s="2208"/>
      <c r="C59" s="2209"/>
      <c r="D59" s="2209"/>
      <c r="E59" s="2209"/>
      <c r="F59" s="2209"/>
      <c r="G59" s="2209"/>
      <c r="H59" s="2209"/>
      <c r="I59" s="2209"/>
      <c r="J59" s="2210"/>
    </row>
    <row r="60" spans="1:10" s="176" customFormat="1" x14ac:dyDescent="0.2">
      <c r="A60" s="248"/>
      <c r="B60" s="2208"/>
      <c r="C60" s="2209"/>
      <c r="D60" s="2209"/>
      <c r="E60" s="2209"/>
      <c r="F60" s="2209"/>
      <c r="G60" s="2209"/>
      <c r="H60" s="2209"/>
      <c r="I60" s="2209"/>
      <c r="J60" s="2210"/>
    </row>
    <row r="61" spans="1:10" s="176" customFormat="1" x14ac:dyDescent="0.2">
      <c r="A61" s="248"/>
      <c r="B61" s="2208"/>
      <c r="C61" s="2209"/>
      <c r="D61" s="2209"/>
      <c r="E61" s="2209"/>
      <c r="F61" s="2209"/>
      <c r="G61" s="2209"/>
      <c r="H61" s="2209"/>
      <c r="I61" s="2209"/>
      <c r="J61" s="2210"/>
    </row>
    <row r="62" spans="1:10" s="176" customFormat="1" x14ac:dyDescent="0.2">
      <c r="A62" s="248"/>
      <c r="B62" s="2208"/>
      <c r="C62" s="2209"/>
      <c r="D62" s="2209"/>
      <c r="E62" s="2209"/>
      <c r="F62" s="2209"/>
      <c r="G62" s="2209"/>
      <c r="H62" s="2209"/>
      <c r="I62" s="2209"/>
      <c r="J62" s="2210"/>
    </row>
    <row r="63" spans="1:10" s="176" customFormat="1" x14ac:dyDescent="0.2">
      <c r="A63" s="248"/>
      <c r="B63" s="2208"/>
      <c r="C63" s="2209"/>
      <c r="D63" s="2209"/>
      <c r="E63" s="2209"/>
      <c r="F63" s="2209"/>
      <c r="G63" s="2209"/>
      <c r="H63" s="2209"/>
      <c r="I63" s="2209"/>
      <c r="J63" s="2210"/>
    </row>
    <row r="64" spans="1:10" s="176" customFormat="1" x14ac:dyDescent="0.2">
      <c r="A64" s="248"/>
      <c r="B64" s="2208"/>
      <c r="C64" s="2209"/>
      <c r="D64" s="2209"/>
      <c r="E64" s="2209"/>
      <c r="F64" s="2209"/>
      <c r="G64" s="2209"/>
      <c r="H64" s="2209"/>
      <c r="I64" s="2209"/>
      <c r="J64" s="2210"/>
    </row>
    <row r="65" spans="1:11" s="176" customFormat="1" x14ac:dyDescent="0.2">
      <c r="A65" s="248"/>
      <c r="B65" s="2208"/>
      <c r="C65" s="2209"/>
      <c r="D65" s="2209"/>
      <c r="E65" s="2209"/>
      <c r="F65" s="2209"/>
      <c r="G65" s="2209"/>
      <c r="H65" s="2209"/>
      <c r="I65" s="2209"/>
      <c r="J65" s="2210"/>
    </row>
    <row r="66" spans="1:11" s="176" customFormat="1" x14ac:dyDescent="0.2">
      <c r="A66" s="248"/>
      <c r="B66" s="2208"/>
      <c r="C66" s="2209"/>
      <c r="D66" s="2209"/>
      <c r="E66" s="2209"/>
      <c r="F66" s="2209"/>
      <c r="G66" s="2209"/>
      <c r="H66" s="2209"/>
      <c r="I66" s="2209"/>
      <c r="J66" s="2210"/>
    </row>
    <row r="67" spans="1:11" s="176" customFormat="1" ht="9" customHeight="1" x14ac:dyDescent="0.2">
      <c r="A67" s="249"/>
      <c r="B67" s="2211"/>
      <c r="C67" s="2212"/>
      <c r="D67" s="2212"/>
      <c r="E67" s="2212"/>
      <c r="F67" s="2212"/>
      <c r="G67" s="2212"/>
      <c r="H67" s="2212"/>
      <c r="I67" s="2212"/>
      <c r="J67" s="221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8" t="s">
        <v>1312</v>
      </c>
      <c r="B70" s="2201"/>
      <c r="C70" s="2201"/>
      <c r="D70" s="2201"/>
      <c r="E70" s="2202"/>
      <c r="F70" s="2202"/>
      <c r="G70" s="2202"/>
      <c r="H70" s="2202"/>
      <c r="I70" s="220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3" t="s">
        <v>1309</v>
      </c>
      <c r="B83" s="2203"/>
      <c r="C83" s="2203"/>
      <c r="D83" s="220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14" t="s">
        <v>1989</v>
      </c>
      <c r="B85" s="2214"/>
      <c r="C85" s="2214"/>
      <c r="D85" s="2215"/>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16" t="s">
        <v>1989</v>
      </c>
      <c r="B88" s="2217"/>
      <c r="C88" s="2217"/>
      <c r="D88" s="2218"/>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85"/>
      <c r="C102" s="2186"/>
      <c r="D102" s="2186"/>
      <c r="E102" s="2186"/>
      <c r="F102" s="2186"/>
      <c r="G102" s="2186"/>
      <c r="H102" s="2186"/>
      <c r="I102" s="2187"/>
    </row>
    <row r="103" spans="1:9" s="176" customFormat="1" ht="11.25" customHeight="1" x14ac:dyDescent="0.2">
      <c r="A103" s="294"/>
      <c r="B103" s="2188"/>
      <c r="C103" s="2189"/>
      <c r="D103" s="2189"/>
      <c r="E103" s="2189"/>
      <c r="F103" s="2189"/>
      <c r="G103" s="2189"/>
      <c r="H103" s="2189"/>
      <c r="I103" s="2190"/>
    </row>
    <row r="104" spans="1:9" s="176" customFormat="1" ht="11.25" customHeight="1" x14ac:dyDescent="0.2">
      <c r="A104" s="294"/>
      <c r="B104" s="2188"/>
      <c r="C104" s="2189"/>
      <c r="D104" s="2189"/>
      <c r="E104" s="2189"/>
      <c r="F104" s="2189"/>
      <c r="G104" s="2189"/>
      <c r="H104" s="2189"/>
      <c r="I104" s="2190"/>
    </row>
    <row r="105" spans="1:9" s="176" customFormat="1" x14ac:dyDescent="0.2">
      <c r="A105" s="294"/>
      <c r="B105" s="2188"/>
      <c r="C105" s="2189"/>
      <c r="D105" s="2189"/>
      <c r="E105" s="2189"/>
      <c r="F105" s="2189"/>
      <c r="G105" s="2189"/>
      <c r="H105" s="2189"/>
      <c r="I105" s="2190"/>
    </row>
    <row r="106" spans="1:9" s="176" customFormat="1" ht="11.25" customHeight="1" x14ac:dyDescent="0.2">
      <c r="A106" s="294"/>
      <c r="B106" s="2188"/>
      <c r="C106" s="2189"/>
      <c r="D106" s="2189"/>
      <c r="E106" s="2189"/>
      <c r="F106" s="2189"/>
      <c r="G106" s="2189"/>
      <c r="H106" s="2189"/>
      <c r="I106" s="2190"/>
    </row>
    <row r="107" spans="1:9" s="176" customFormat="1" ht="11.25" customHeight="1" x14ac:dyDescent="0.2">
      <c r="A107" s="294"/>
      <c r="B107" s="2188"/>
      <c r="C107" s="2189"/>
      <c r="D107" s="2189"/>
      <c r="E107" s="2189"/>
      <c r="F107" s="2189"/>
      <c r="G107" s="2189"/>
      <c r="H107" s="2189"/>
      <c r="I107" s="2190"/>
    </row>
    <row r="108" spans="1:9" s="176" customFormat="1" ht="11.25" customHeight="1" x14ac:dyDescent="0.2">
      <c r="A108" s="294"/>
      <c r="B108" s="2188"/>
      <c r="C108" s="2189"/>
      <c r="D108" s="2189"/>
      <c r="E108" s="2189"/>
      <c r="F108" s="2189"/>
      <c r="G108" s="2189"/>
      <c r="H108" s="2189"/>
      <c r="I108" s="2190"/>
    </row>
    <row r="109" spans="1:9" s="176" customFormat="1" ht="11.25" customHeight="1" x14ac:dyDescent="0.2">
      <c r="A109" s="294"/>
      <c r="B109" s="2188"/>
      <c r="C109" s="2189"/>
      <c r="D109" s="2189"/>
      <c r="E109" s="2189"/>
      <c r="F109" s="2189"/>
      <c r="G109" s="2189"/>
      <c r="H109" s="2189"/>
      <c r="I109" s="2190"/>
    </row>
    <row r="110" spans="1:9" s="176" customFormat="1" ht="11.25" customHeight="1" x14ac:dyDescent="0.2">
      <c r="A110" s="294"/>
      <c r="B110" s="2188"/>
      <c r="C110" s="2189"/>
      <c r="D110" s="2189"/>
      <c r="E110" s="2189"/>
      <c r="F110" s="2189"/>
      <c r="G110" s="2189"/>
      <c r="H110" s="2189"/>
      <c r="I110" s="2190"/>
    </row>
    <row r="111" spans="1:9" s="176" customFormat="1" ht="11.25" customHeight="1" x14ac:dyDescent="0.2">
      <c r="A111" s="294"/>
      <c r="B111" s="2188"/>
      <c r="C111" s="2189"/>
      <c r="D111" s="2189"/>
      <c r="E111" s="2189"/>
      <c r="F111" s="2189"/>
      <c r="G111" s="2189"/>
      <c r="H111" s="2189"/>
      <c r="I111" s="2190"/>
    </row>
    <row r="112" spans="1:9" s="176" customFormat="1" ht="11.25" customHeight="1" x14ac:dyDescent="0.2">
      <c r="A112" s="294"/>
      <c r="B112" s="2191"/>
      <c r="C112" s="2192"/>
      <c r="D112" s="2192"/>
      <c r="E112" s="2192"/>
      <c r="F112" s="2192"/>
      <c r="G112" s="2192"/>
      <c r="H112" s="2192"/>
      <c r="I112" s="219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4" t="s">
        <v>2051</v>
      </c>
      <c r="D114" s="219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5" t="s">
        <v>1319</v>
      </c>
      <c r="D117" s="2196"/>
      <c r="E117" s="2197"/>
      <c r="F117" s="2197"/>
      <c r="G117" s="2197"/>
      <c r="H117" s="2197"/>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rintOptions horizontalCentered="1"/>
  <pageMargins left="1" right="0.75" top="0.75" bottom="0.75" header="0.5" footer="0.25"/>
  <pageSetup scale="70" firstPageNumber="2" orientation="portrait" useFirstPageNumber="1" r:id="rId1"/>
  <headerFooter differentOddEven="1" alignWithMargins="0">
    <oddHeader>&amp;L&amp;8Page &amp;P&amp;C &amp;R&amp;8Page &amp;P</oddHeader>
    <oddFooter>&amp;L&amp;8Printed: &amp;D  &amp;F&amp;CReference should be made to auditor's report regarding this information.
50</oddFooter>
    <evenFooter>&amp;CReference should be made to auditor's report regarding this information.
51</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0" zoomScaleNormal="100" workbookViewId="0">
      <selection activeCell="A19" sqref="A19:XFD2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4" t="str">
        <f>'Single Audit Cover'!A7</f>
        <v>New Holland-Middletown ED 88</v>
      </c>
      <c r="C1" s="2599"/>
      <c r="D1" s="2599"/>
      <c r="E1" s="2599"/>
      <c r="F1" s="2599"/>
      <c r="G1" s="2599"/>
      <c r="H1" s="2599"/>
      <c r="I1" s="2599"/>
      <c r="J1" s="2599"/>
      <c r="K1" s="2599"/>
      <c r="L1" s="2599"/>
      <c r="M1" s="2599"/>
    </row>
    <row r="2" spans="2:14" ht="15" x14ac:dyDescent="0.2">
      <c r="B2" s="2600">
        <f>'Single Audit Cover'!E7</f>
        <v>17054088002</v>
      </c>
      <c r="C2" s="2600"/>
      <c r="D2" s="2600"/>
      <c r="E2" s="2600"/>
      <c r="F2" s="2600"/>
      <c r="G2" s="2600"/>
      <c r="H2" s="2600"/>
      <c r="I2" s="2600"/>
      <c r="J2" s="2600"/>
      <c r="K2" s="2600"/>
      <c r="L2" s="2600"/>
      <c r="M2" s="2600"/>
      <c r="N2" s="1078"/>
    </row>
    <row r="3" spans="2:14" ht="15" x14ac:dyDescent="0.2">
      <c r="B3" s="2601" t="s">
        <v>1208</v>
      </c>
      <c r="C3" s="2601"/>
      <c r="D3" s="2601"/>
      <c r="E3" s="2601"/>
      <c r="F3" s="2601"/>
      <c r="G3" s="2601"/>
      <c r="H3" s="2601"/>
      <c r="I3" s="2601"/>
      <c r="J3" s="2601"/>
      <c r="K3" s="2601"/>
      <c r="L3" s="2601"/>
      <c r="M3" s="2601"/>
      <c r="N3" s="1078"/>
    </row>
    <row r="4" spans="2:14" ht="15" x14ac:dyDescent="0.2">
      <c r="B4" s="2602" t="str">
        <f>'Single Audit Cover'!A4</f>
        <v>Year Ending June 30, 2020</v>
      </c>
      <c r="C4" s="2602"/>
      <c r="D4" s="2602"/>
      <c r="E4" s="2602"/>
      <c r="F4" s="2602"/>
      <c r="G4" s="2602"/>
      <c r="H4" s="2602"/>
      <c r="I4" s="2602"/>
      <c r="J4" s="2602"/>
      <c r="K4" s="2602"/>
      <c r="L4" s="2602"/>
      <c r="M4" s="2602"/>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5" right="0.5" top="1" bottom="0.75" header="1" footer="0.5"/>
  <pageSetup scale="73" firstPageNumber="38" orientation="landscape" useFirstPageNumber="1" r:id="rId1"/>
  <headerFooter alignWithMargins="0">
    <oddHeader>&amp;R&amp;8Page 41</oddHeader>
    <oddFooter>&amp;CReference should be made to the auditor's report regarding this information.
The accompanying notes to the Schedule of Expenditures of Federal Awards are an integral part of these financial statements.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4" t="str">
        <f>'Single Audit Cover'!A7</f>
        <v>New Holland-Middletown ED 88</v>
      </c>
      <c r="B1" s="2604"/>
      <c r="C1" s="2604"/>
      <c r="D1" s="2604"/>
      <c r="E1" s="2604"/>
      <c r="F1" s="2604"/>
    </row>
    <row r="2" spans="1:7" ht="13.5" customHeight="1" x14ac:dyDescent="0.2">
      <c r="A2" s="2600">
        <f>'Single Audit Cover'!E7</f>
        <v>17054088002</v>
      </c>
      <c r="B2" s="2600"/>
      <c r="C2" s="2600"/>
      <c r="D2" s="2600"/>
      <c r="E2" s="2600"/>
      <c r="F2" s="2600"/>
      <c r="G2" s="1051"/>
    </row>
    <row r="3" spans="1:7" ht="15.75" customHeight="1" x14ac:dyDescent="0.2">
      <c r="A3" s="2605" t="s">
        <v>1260</v>
      </c>
      <c r="B3" s="2605"/>
      <c r="C3" s="2605"/>
      <c r="D3" s="2605"/>
      <c r="E3" s="2605"/>
      <c r="F3" s="2605"/>
    </row>
    <row r="4" spans="1:7" ht="13.5" customHeight="1" x14ac:dyDescent="0.2">
      <c r="A4" s="2606" t="str">
        <f>'Single Audit Cover'!A4</f>
        <v>Year Ending June 30, 2020</v>
      </c>
      <c r="B4" s="2606"/>
      <c r="C4" s="2606"/>
      <c r="D4" s="2606"/>
      <c r="E4" s="2606"/>
      <c r="F4" s="2606"/>
    </row>
    <row r="5" spans="1:7" ht="8.25" customHeight="1" x14ac:dyDescent="0.2">
      <c r="C5" s="295"/>
      <c r="D5" s="295"/>
    </row>
    <row r="6" spans="1:7" ht="13.5" customHeight="1" x14ac:dyDescent="0.2">
      <c r="A6" s="1052" t="s">
        <v>1705</v>
      </c>
      <c r="C6" s="295"/>
      <c r="D6" s="295"/>
    </row>
    <row r="7" spans="1:7" ht="60.95" customHeight="1" x14ac:dyDescent="0.2">
      <c r="A7" s="2603" t="s">
        <v>1706</v>
      </c>
      <c r="B7" s="2603"/>
      <c r="C7" s="2603"/>
      <c r="D7" s="2603"/>
      <c r="E7" s="2603"/>
      <c r="F7" s="2603"/>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03" t="s">
        <v>1708</v>
      </c>
      <c r="B13" s="2603"/>
      <c r="C13" s="2603"/>
      <c r="D13" s="2603"/>
      <c r="E13" s="2603"/>
      <c r="F13" s="2603"/>
    </row>
    <row r="14" spans="1:7" ht="9.75" customHeight="1" x14ac:dyDescent="0.2">
      <c r="C14" s="1036"/>
      <c r="D14" s="1036"/>
    </row>
    <row r="15" spans="1:7" ht="13.5" customHeight="1" x14ac:dyDescent="0.2">
      <c r="C15" s="1476" t="s">
        <v>1259</v>
      </c>
      <c r="D15" s="2608" t="s">
        <v>1258</v>
      </c>
      <c r="E15" s="2608"/>
      <c r="F15" s="2608"/>
    </row>
    <row r="16" spans="1:7" ht="13.5" customHeight="1" x14ac:dyDescent="0.2">
      <c r="A16" s="1058"/>
      <c r="B16" s="1052" t="s">
        <v>1257</v>
      </c>
      <c r="C16" s="1476" t="s">
        <v>1256</v>
      </c>
      <c r="D16" s="2609" t="s">
        <v>1571</v>
      </c>
      <c r="E16" s="2609"/>
      <c r="F16" s="2609"/>
    </row>
    <row r="17" spans="1:6" ht="20.45" customHeight="1" x14ac:dyDescent="0.2">
      <c r="A17" s="1059"/>
      <c r="B17" s="1060"/>
      <c r="C17" s="1061"/>
      <c r="D17" s="2607"/>
      <c r="E17" s="2607"/>
      <c r="F17" s="2607"/>
    </row>
    <row r="18" spans="1:6" ht="20.65" customHeight="1" x14ac:dyDescent="0.2">
      <c r="A18" s="1059"/>
      <c r="B18" s="1060"/>
      <c r="C18" s="1061"/>
      <c r="D18" s="2607"/>
      <c r="E18" s="2607"/>
      <c r="F18" s="2607"/>
    </row>
    <row r="19" spans="1:6" ht="20.65" customHeight="1" x14ac:dyDescent="0.2">
      <c r="A19" s="1059"/>
      <c r="B19" s="1060"/>
      <c r="C19" s="1061"/>
      <c r="D19" s="2607"/>
      <c r="E19" s="2607"/>
      <c r="F19" s="2607"/>
    </row>
    <row r="20" spans="1:6" ht="20.65" customHeight="1" x14ac:dyDescent="0.2">
      <c r="A20" s="1059"/>
      <c r="B20" s="1060"/>
      <c r="C20" s="1061"/>
      <c r="D20" s="2607"/>
      <c r="E20" s="2607"/>
      <c r="F20" s="2607"/>
    </row>
    <row r="21" spans="1:6" ht="20.65" customHeight="1" x14ac:dyDescent="0.2">
      <c r="A21" s="1059"/>
      <c r="B21" s="1060"/>
      <c r="C21" s="1061"/>
      <c r="D21" s="2607"/>
      <c r="E21" s="2607"/>
      <c r="F21" s="2607"/>
    </row>
    <row r="22" spans="1:6" ht="20.65" customHeight="1" x14ac:dyDescent="0.2">
      <c r="A22" s="1059"/>
      <c r="B22" s="1060"/>
      <c r="C22" s="1061"/>
      <c r="D22" s="2607"/>
      <c r="E22" s="2607"/>
      <c r="F22" s="2607"/>
    </row>
    <row r="23" spans="1:6" ht="20.65" customHeight="1" x14ac:dyDescent="0.2">
      <c r="A23" s="1059"/>
      <c r="B23" s="1060"/>
      <c r="C23" s="1061"/>
      <c r="D23" s="2607"/>
      <c r="E23" s="2607"/>
      <c r="F23" s="2607"/>
    </row>
    <row r="24" spans="1:6" ht="20.65" customHeight="1" x14ac:dyDescent="0.2">
      <c r="A24" s="1059"/>
      <c r="B24" s="1060"/>
      <c r="C24" s="1061"/>
      <c r="D24" s="2607"/>
      <c r="E24" s="2607"/>
      <c r="F24" s="2607"/>
    </row>
    <row r="25" spans="1:6" ht="20.65" customHeight="1" x14ac:dyDescent="0.2">
      <c r="A25" s="1059"/>
      <c r="B25" s="1060"/>
      <c r="C25" s="1061"/>
      <c r="D25" s="2607"/>
      <c r="E25" s="2607"/>
      <c r="F25" s="2607"/>
    </row>
    <row r="26" spans="1:6" ht="20.65" customHeight="1" x14ac:dyDescent="0.2">
      <c r="A26" s="1059"/>
      <c r="B26" s="1060"/>
      <c r="C26" s="1061"/>
      <c r="D26" s="2607"/>
      <c r="E26" s="2607"/>
      <c r="F26" s="2607"/>
    </row>
    <row r="27" spans="1:6" ht="20.65" customHeight="1" x14ac:dyDescent="0.2">
      <c r="A27" s="1059"/>
      <c r="B27" s="1060"/>
      <c r="C27" s="1061"/>
      <c r="D27" s="2607"/>
      <c r="E27" s="2607"/>
      <c r="F27" s="2607"/>
    </row>
    <row r="28" spans="1:6" ht="20.65" customHeight="1" x14ac:dyDescent="0.2">
      <c r="A28" s="1059"/>
      <c r="B28" s="1060"/>
      <c r="C28" s="1061"/>
      <c r="D28" s="2607"/>
      <c r="E28" s="2607"/>
      <c r="F28" s="2607"/>
    </row>
    <row r="29" spans="1:6" ht="20.65" customHeight="1" x14ac:dyDescent="0.2">
      <c r="A29" s="1059"/>
      <c r="B29" s="1060"/>
      <c r="C29" s="1061"/>
      <c r="D29" s="2607"/>
      <c r="E29" s="2607"/>
      <c r="F29" s="260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11" t="s">
        <v>1709</v>
      </c>
      <c r="B32" s="2611"/>
      <c r="C32" s="2611"/>
      <c r="D32" s="2611"/>
      <c r="E32" s="2611"/>
      <c r="F32" s="2611"/>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12">
        <f>+C33+C34</f>
        <v>0</v>
      </c>
      <c r="F34" s="261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14" t="s">
        <v>1573</v>
      </c>
      <c r="C49" s="2614"/>
      <c r="D49" s="2614"/>
      <c r="E49" s="1168"/>
    </row>
    <row r="50" spans="1:5" s="1076" customFormat="1" ht="3.75" customHeight="1" x14ac:dyDescent="0.2">
      <c r="A50" s="1075"/>
      <c r="B50" s="1475"/>
      <c r="C50" s="1475"/>
      <c r="D50" s="1475"/>
      <c r="E50" s="1168"/>
    </row>
    <row r="51" spans="1:5" s="1076" customFormat="1" ht="20.25" customHeight="1" x14ac:dyDescent="0.2">
      <c r="A51" s="1077">
        <v>6</v>
      </c>
      <c r="B51" s="2610" t="s">
        <v>1534</v>
      </c>
      <c r="C51" s="2610"/>
      <c r="D51" s="2610"/>
    </row>
    <row r="52" spans="1:5" ht="14.25" customHeight="1" x14ac:dyDescent="0.2">
      <c r="A52" s="1077"/>
      <c r="B52" s="2610"/>
      <c r="C52" s="2610"/>
      <c r="D52" s="261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1" right="0.75" top="0.75" bottom="0.75" header="0.5" footer="0.5"/>
  <pageSetup scale="85"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9" t="str">
        <f>'Single Audit Cover'!A7</f>
        <v>New Holland-Middletown ED 88</v>
      </c>
      <c r="C1" s="2620"/>
      <c r="D1" s="2620"/>
      <c r="E1" s="2620"/>
      <c r="F1" s="2620"/>
      <c r="G1" s="2620"/>
      <c r="H1" s="2620"/>
      <c r="I1" s="2620"/>
      <c r="J1" s="1178"/>
    </row>
    <row r="2" spans="2:10" s="295" customFormat="1" ht="12.75" customHeight="1" x14ac:dyDescent="0.2">
      <c r="B2" s="2621">
        <f>'Single Audit Cover'!E7</f>
        <v>17054088002</v>
      </c>
      <c r="C2" s="2622"/>
      <c r="D2" s="2622"/>
      <c r="E2" s="2622"/>
      <c r="F2" s="2622"/>
      <c r="G2" s="2622"/>
      <c r="H2" s="2622"/>
      <c r="I2" s="2622"/>
      <c r="J2" s="1178"/>
    </row>
    <row r="3" spans="2:10" s="295" customFormat="1" ht="12.75" customHeight="1" x14ac:dyDescent="0.2">
      <c r="B3" s="2623" t="s">
        <v>1274</v>
      </c>
      <c r="C3" s="2624"/>
      <c r="D3" s="2624"/>
      <c r="E3" s="2624"/>
      <c r="F3" s="2624"/>
      <c r="G3" s="2624"/>
      <c r="H3" s="2624"/>
      <c r="I3" s="2624"/>
      <c r="J3" s="1179"/>
    </row>
    <row r="4" spans="2:10" s="295" customFormat="1" ht="12.75" customHeight="1" x14ac:dyDescent="0.2">
      <c r="B4" s="2623" t="str">
        <f>'Single Audit Cover'!A4</f>
        <v>Year Ending June 30, 2020</v>
      </c>
      <c r="C4" s="2624"/>
      <c r="D4" s="2624"/>
      <c r="E4" s="2624"/>
      <c r="F4" s="2624"/>
      <c r="G4" s="2624"/>
      <c r="H4" s="2624"/>
      <c r="I4" s="262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23" t="s">
        <v>1273</v>
      </c>
      <c r="C7" s="2624"/>
      <c r="D7" s="2624"/>
      <c r="E7" s="2624"/>
      <c r="F7" s="2624"/>
      <c r="G7" s="2624"/>
      <c r="H7" s="2624"/>
      <c r="I7" s="262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25"/>
      <c r="D11" s="262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26"/>
      <c r="E29" s="2626"/>
      <c r="F29" s="2626"/>
      <c r="G29" s="2626"/>
      <c r="H29" s="2626"/>
      <c r="I29" s="2626"/>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27" t="s">
        <v>1728</v>
      </c>
      <c r="D37" s="2628"/>
      <c r="E37" s="2628"/>
      <c r="F37" s="2629"/>
      <c r="G37" s="2627" t="s">
        <v>1575</v>
      </c>
      <c r="H37" s="2628"/>
      <c r="I37" s="2629"/>
    </row>
    <row r="38" spans="2:9" ht="16.5" customHeight="1" x14ac:dyDescent="0.2">
      <c r="B38" s="1200"/>
      <c r="C38" s="2615"/>
      <c r="D38" s="2616"/>
      <c r="E38" s="2616"/>
      <c r="F38" s="2617"/>
      <c r="G38" s="2630"/>
      <c r="H38" s="2631"/>
      <c r="I38" s="2632"/>
    </row>
    <row r="39" spans="2:9" ht="16.5" customHeight="1" x14ac:dyDescent="0.2">
      <c r="B39" s="1200"/>
      <c r="C39" s="2615"/>
      <c r="D39" s="2616"/>
      <c r="E39" s="2616"/>
      <c r="F39" s="2617"/>
      <c r="G39" s="2618"/>
      <c r="H39" s="2618"/>
      <c r="I39" s="2618"/>
    </row>
    <row r="40" spans="2:9" ht="16.5" customHeight="1" x14ac:dyDescent="0.2">
      <c r="B40" s="1200"/>
      <c r="C40" s="2615"/>
      <c r="D40" s="2616"/>
      <c r="E40" s="2616"/>
      <c r="F40" s="2617"/>
      <c r="G40" s="2618"/>
      <c r="H40" s="2618"/>
      <c r="I40" s="2618"/>
    </row>
    <row r="41" spans="2:9" ht="16.5" customHeight="1" x14ac:dyDescent="0.2">
      <c r="B41" s="1200"/>
      <c r="C41" s="2615"/>
      <c r="D41" s="2616"/>
      <c r="E41" s="2616"/>
      <c r="F41" s="2617"/>
      <c r="G41" s="2618"/>
      <c r="H41" s="2618"/>
      <c r="I41" s="2618"/>
    </row>
    <row r="42" spans="2:9" ht="16.5" customHeight="1" x14ac:dyDescent="0.2">
      <c r="B42" s="1200"/>
      <c r="C42" s="2615"/>
      <c r="D42" s="2616"/>
      <c r="E42" s="2616"/>
      <c r="F42" s="2617"/>
      <c r="G42" s="2618"/>
      <c r="H42" s="2618"/>
      <c r="I42" s="2618"/>
    </row>
    <row r="43" spans="2:9" ht="16.5" customHeight="1" x14ac:dyDescent="0.2">
      <c r="B43" s="1200"/>
      <c r="C43" s="2633" t="s">
        <v>1576</v>
      </c>
      <c r="D43" s="2634"/>
      <c r="E43" s="2634"/>
      <c r="F43" s="2635"/>
      <c r="G43" s="2636">
        <f>SUM(G38:I42)</f>
        <v>0</v>
      </c>
      <c r="H43" s="2636"/>
      <c r="I43" s="2636"/>
    </row>
    <row r="44" spans="2:9" ht="12.75" customHeight="1" x14ac:dyDescent="0.2"/>
    <row r="45" spans="2:9" ht="12.75" customHeight="1" x14ac:dyDescent="0.2">
      <c r="B45" s="1916" t="str">
        <f>"Total Federal Expenditures for 7/1/"&amp;MID('AFR20'!E2,3,2)-1&amp;"-6/30/"&amp;MID('AFR20'!E2,3,2)</f>
        <v>Total Federal Expenditures for 7/1/19-6/30/20</v>
      </c>
      <c r="C45" s="1917"/>
      <c r="D45" s="2637">
        <v>0</v>
      </c>
      <c r="E45" s="2638"/>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39"/>
      <c r="F49" s="2639"/>
      <c r="G49" s="2639"/>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1" right="0.75" top="0.75" bottom="0.75" header="0.5" footer="0.5"/>
  <pageSetup scale="85"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9" t="str">
        <f>'Single Audit Cover'!A7</f>
        <v>New Holland-Middletown ED 88</v>
      </c>
      <c r="C1" s="2619"/>
      <c r="D1" s="2619"/>
      <c r="E1" s="2619"/>
      <c r="F1" s="2619"/>
      <c r="G1" s="2619"/>
      <c r="H1" s="2619"/>
      <c r="I1" s="2619"/>
      <c r="J1" s="2619"/>
      <c r="K1" s="2619"/>
      <c r="L1" s="1144"/>
      <c r="M1" s="1144"/>
    </row>
    <row r="2" spans="1:13" ht="12" customHeight="1" x14ac:dyDescent="0.2">
      <c r="B2" s="2621">
        <f>'Single Audit Cover'!E7</f>
        <v>17054088002</v>
      </c>
      <c r="C2" s="2621"/>
      <c r="D2" s="2621"/>
      <c r="E2" s="2621"/>
      <c r="F2" s="2621"/>
      <c r="G2" s="2621"/>
      <c r="H2" s="2621"/>
      <c r="I2" s="2621"/>
      <c r="J2" s="2621"/>
      <c r="K2" s="2621"/>
      <c r="L2" s="1145"/>
      <c r="M2" s="1146"/>
    </row>
    <row r="3" spans="1:13" ht="10.35" customHeight="1" x14ac:dyDescent="0.2">
      <c r="B3" s="2642" t="s">
        <v>1274</v>
      </c>
      <c r="C3" s="2642"/>
      <c r="D3" s="2642"/>
      <c r="E3" s="2642"/>
      <c r="F3" s="2642"/>
      <c r="G3" s="2642"/>
      <c r="H3" s="2642"/>
      <c r="I3" s="2642"/>
      <c r="J3" s="2642"/>
      <c r="K3" s="2642"/>
      <c r="L3" s="1147"/>
      <c r="M3" s="1147"/>
    </row>
    <row r="4" spans="1:13" ht="14.25" customHeight="1" x14ac:dyDescent="0.2">
      <c r="B4" s="2643" t="str">
        <f>'Single Audit Cover'!A4</f>
        <v>Year Ending June 30, 2020</v>
      </c>
      <c r="C4" s="2643"/>
      <c r="D4" s="2643"/>
      <c r="E4" s="2643"/>
      <c r="F4" s="2643"/>
      <c r="G4" s="2643"/>
      <c r="H4" s="2643"/>
      <c r="I4" s="2643"/>
      <c r="J4" s="2643"/>
      <c r="K4" s="264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43" t="s">
        <v>1285</v>
      </c>
      <c r="C7" s="2643"/>
      <c r="D7" s="2644"/>
      <c r="E7" s="2644"/>
      <c r="F7" s="2644"/>
      <c r="G7" s="2644"/>
      <c r="H7" s="2644"/>
      <c r="I7" s="2644"/>
      <c r="J7" s="2644"/>
      <c r="K7" s="264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41"/>
      <c r="C14" s="2641"/>
      <c r="D14" s="2641"/>
      <c r="E14" s="2641"/>
      <c r="F14" s="2641"/>
      <c r="G14" s="2641"/>
      <c r="H14" s="2641"/>
      <c r="I14" s="2641"/>
      <c r="J14" s="2641"/>
      <c r="K14" s="264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41"/>
      <c r="C17" s="2641"/>
      <c r="D17" s="2641"/>
      <c r="E17" s="2641"/>
      <c r="F17" s="2641"/>
      <c r="G17" s="2641"/>
      <c r="H17" s="2641"/>
      <c r="I17" s="2641"/>
      <c r="J17" s="2641"/>
      <c r="K17" s="2641"/>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45"/>
      <c r="C20" s="2645"/>
      <c r="D20" s="2641"/>
      <c r="E20" s="2641"/>
      <c r="F20" s="2641"/>
      <c r="G20" s="2641"/>
      <c r="H20" s="2641"/>
      <c r="I20" s="2641"/>
      <c r="J20" s="2641"/>
      <c r="K20" s="264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41"/>
      <c r="C23" s="2641"/>
      <c r="D23" s="2641"/>
      <c r="E23" s="2641"/>
      <c r="F23" s="2641"/>
      <c r="G23" s="2641"/>
      <c r="H23" s="2641"/>
      <c r="I23" s="2641"/>
      <c r="J23" s="2641"/>
      <c r="K23" s="264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41"/>
      <c r="C26" s="2641"/>
      <c r="D26" s="2641"/>
      <c r="E26" s="2641"/>
      <c r="F26" s="2641"/>
      <c r="G26" s="2641"/>
      <c r="H26" s="2641"/>
      <c r="I26" s="2641"/>
      <c r="J26" s="2641"/>
      <c r="K26" s="264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40"/>
      <c r="C29" s="2640"/>
      <c r="D29" s="2641"/>
      <c r="E29" s="2641"/>
      <c r="F29" s="2641"/>
      <c r="G29" s="2641"/>
      <c r="H29" s="2641"/>
      <c r="I29" s="2641"/>
      <c r="J29" s="2641"/>
      <c r="K29" s="264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40"/>
      <c r="C32" s="2640"/>
      <c r="D32" s="2641"/>
      <c r="E32" s="2641"/>
      <c r="F32" s="2641"/>
      <c r="G32" s="2641"/>
      <c r="H32" s="2641"/>
      <c r="I32" s="2641"/>
      <c r="J32" s="2641"/>
      <c r="K32" s="264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0.75" top="0.75" bottom="0.75" header="0.5" footer="0.5"/>
  <pageSetup scale="85"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6" t="str">
        <f>'Single Audit Cover'!A7</f>
        <v>New Holland-Middletown ED 88</v>
      </c>
      <c r="C1" s="2646"/>
      <c r="D1" s="2646"/>
      <c r="E1" s="2646"/>
      <c r="F1" s="2646"/>
      <c r="G1" s="2646"/>
      <c r="H1" s="2646"/>
      <c r="I1" s="2646"/>
      <c r="J1" s="2646"/>
      <c r="K1" s="2646"/>
      <c r="L1" s="1221"/>
    </row>
    <row r="2" spans="1:12" ht="12.75" customHeight="1" x14ac:dyDescent="0.2">
      <c r="B2" s="2647">
        <f>'Single Audit Cover'!E7</f>
        <v>17054088002</v>
      </c>
      <c r="C2" s="2647"/>
      <c r="D2" s="2647"/>
      <c r="E2" s="2647"/>
      <c r="F2" s="2647"/>
      <c r="G2" s="2647"/>
      <c r="H2" s="2647"/>
      <c r="I2" s="2647"/>
      <c r="J2" s="2647"/>
      <c r="K2" s="2647"/>
      <c r="L2" s="1222"/>
    </row>
    <row r="3" spans="1:12" ht="12.75" customHeight="1" x14ac:dyDescent="0.2">
      <c r="B3" s="2642" t="s">
        <v>1274</v>
      </c>
      <c r="C3" s="2642"/>
      <c r="D3" s="2642"/>
      <c r="E3" s="2642"/>
      <c r="F3" s="2642"/>
      <c r="G3" s="2642"/>
      <c r="H3" s="2642"/>
      <c r="I3" s="2642"/>
      <c r="J3" s="2642"/>
      <c r="K3" s="2642"/>
      <c r="L3" s="1147"/>
    </row>
    <row r="4" spans="1:12" ht="12.75" customHeight="1" x14ac:dyDescent="0.2">
      <c r="B4" s="2642" t="str">
        <f>'Single Audit Cover'!A4</f>
        <v>Year Ending June 30, 2020</v>
      </c>
      <c r="C4" s="2642"/>
      <c r="D4" s="2642"/>
      <c r="E4" s="2642"/>
      <c r="F4" s="2642"/>
      <c r="G4" s="2642"/>
      <c r="H4" s="2642"/>
      <c r="I4" s="2642"/>
      <c r="J4" s="2642"/>
      <c r="K4" s="2642"/>
      <c r="L4" s="1147"/>
    </row>
    <row r="5" spans="1:12" ht="5.25" customHeight="1" x14ac:dyDescent="0.2">
      <c r="B5" s="1036" t="s">
        <v>1159</v>
      </c>
      <c r="C5" s="1036"/>
      <c r="L5" s="300"/>
    </row>
    <row r="6" spans="1:12" ht="30.75" customHeight="1" x14ac:dyDescent="0.2">
      <c r="A6" s="300"/>
      <c r="B6" s="2648" t="s">
        <v>1297</v>
      </c>
      <c r="C6" s="2648"/>
      <c r="D6" s="2648"/>
      <c r="E6" s="2648"/>
      <c r="F6" s="2648"/>
      <c r="G6" s="2648"/>
      <c r="H6" s="2648"/>
      <c r="I6" s="2648"/>
      <c r="J6" s="2648"/>
      <c r="K6" s="264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8"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26"/>
      <c r="G12" s="2626"/>
      <c r="H12" s="2626"/>
      <c r="I12" s="2626"/>
      <c r="J12" s="2626"/>
      <c r="K12" s="262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49"/>
      <c r="E14" s="2649"/>
      <c r="F14" s="2649"/>
      <c r="H14" s="1230" t="s">
        <v>1292</v>
      </c>
      <c r="I14" s="2650"/>
      <c r="J14" s="2650"/>
      <c r="K14" s="265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50"/>
      <c r="E16" s="2650"/>
      <c r="F16" s="2650"/>
      <c r="G16" s="2650"/>
      <c r="H16" s="2650"/>
      <c r="I16" s="2650"/>
      <c r="J16" s="2650"/>
      <c r="K16" s="2650"/>
      <c r="L16" s="300"/>
    </row>
    <row r="17" spans="2:12" ht="13.5" customHeight="1" x14ac:dyDescent="0.2">
      <c r="B17" s="1156" t="s">
        <v>1290</v>
      </c>
      <c r="C17" s="1156"/>
      <c r="D17" s="2651"/>
      <c r="E17" s="2651"/>
      <c r="F17" s="2651"/>
      <c r="G17" s="2651"/>
      <c r="H17" s="2651"/>
      <c r="I17" s="2651"/>
      <c r="J17" s="2651"/>
      <c r="K17" s="265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41"/>
      <c r="C20" s="2641"/>
      <c r="D20" s="2641"/>
      <c r="E20" s="2641"/>
      <c r="F20" s="2641"/>
      <c r="G20" s="2641"/>
      <c r="H20" s="2641"/>
      <c r="I20" s="2641"/>
      <c r="J20" s="2641"/>
      <c r="K20" s="264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41"/>
      <c r="C23" s="2641"/>
      <c r="D23" s="2641"/>
      <c r="E23" s="2641"/>
      <c r="F23" s="2641"/>
      <c r="G23" s="2641"/>
      <c r="H23" s="2641"/>
      <c r="I23" s="2641"/>
      <c r="J23" s="2641"/>
      <c r="K23" s="264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41"/>
      <c r="C26" s="2641"/>
      <c r="D26" s="2641"/>
      <c r="E26" s="2641"/>
      <c r="F26" s="2641"/>
      <c r="G26" s="2641"/>
      <c r="H26" s="2641"/>
      <c r="I26" s="2641"/>
      <c r="J26" s="2641"/>
      <c r="K26" s="264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41"/>
      <c r="C29" s="2641"/>
      <c r="D29" s="2641"/>
      <c r="E29" s="2641"/>
      <c r="F29" s="2641"/>
      <c r="G29" s="2641"/>
      <c r="H29" s="2641"/>
      <c r="I29" s="2641"/>
      <c r="J29" s="2641"/>
      <c r="K29" s="264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41"/>
      <c r="C32" s="2641"/>
      <c r="D32" s="2641"/>
      <c r="E32" s="2641"/>
      <c r="F32" s="2641"/>
      <c r="G32" s="2641"/>
      <c r="H32" s="2641"/>
      <c r="I32" s="2641"/>
      <c r="J32" s="2641"/>
      <c r="K32" s="264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41"/>
      <c r="C35" s="2641"/>
      <c r="D35" s="2641"/>
      <c r="E35" s="2641"/>
      <c r="F35" s="2641"/>
      <c r="G35" s="2641"/>
      <c r="H35" s="2641"/>
      <c r="I35" s="2641"/>
      <c r="J35" s="2641"/>
      <c r="K35" s="264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41"/>
      <c r="C38" s="2641"/>
      <c r="D38" s="2641"/>
      <c r="E38" s="2641"/>
      <c r="F38" s="2641"/>
      <c r="G38" s="2641"/>
      <c r="H38" s="2641"/>
      <c r="I38" s="2641"/>
      <c r="J38" s="2641"/>
      <c r="K38" s="264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41"/>
      <c r="C41" s="2641"/>
      <c r="D41" s="2641"/>
      <c r="E41" s="2641"/>
      <c r="F41" s="2641"/>
      <c r="G41" s="2641"/>
      <c r="H41" s="2641"/>
      <c r="I41" s="2641"/>
      <c r="J41" s="2641"/>
      <c r="K41" s="264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1" right="0.75" top="0.75" bottom="0.75" header="0.5" footer="0.5"/>
  <pageSetup scale="85"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9" t="str">
        <f>'Single Audit Cover'!A7</f>
        <v>New Holland-Middletown ED 88</v>
      </c>
      <c r="C1" s="2619"/>
      <c r="D1" s="2619"/>
      <c r="E1" s="1240"/>
    </row>
    <row r="2" spans="2:5" s="1058" customFormat="1" ht="12.75" customHeight="1" x14ac:dyDescent="0.2">
      <c r="B2" s="2621">
        <f>'Single Audit Cover'!E7</f>
        <v>17054088002</v>
      </c>
      <c r="C2" s="2621"/>
      <c r="D2" s="2621"/>
      <c r="E2" s="1241"/>
    </row>
    <row r="3" spans="2:5" ht="12.75" customHeight="1" x14ac:dyDescent="0.2">
      <c r="B3" s="2642" t="s">
        <v>1743</v>
      </c>
      <c r="C3" s="2642"/>
      <c r="D3" s="2642"/>
      <c r="E3" s="1050"/>
    </row>
    <row r="4" spans="2:5" s="1058" customFormat="1" ht="12.75" customHeight="1" x14ac:dyDescent="0.2">
      <c r="B4" s="2652" t="str">
        <f>'Single Audit Cover'!A4</f>
        <v>Year Ending June 30, 2020</v>
      </c>
      <c r="C4" s="2652"/>
      <c r="D4" s="2652"/>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rintOptions horizontalCentered="1"/>
  <pageMargins left="1" right="0.75" top="0.75" bottom="0.75" header="0.5" footer="0.5"/>
  <pageSetup scale="85"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8" colorId="8" zoomScale="110" zoomScaleNormal="110" workbookViewId="0">
      <selection activeCell="J32" sqref="J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9" t="s">
        <v>383</v>
      </c>
      <c r="B1" s="2219"/>
      <c r="C1" s="2219"/>
      <c r="D1" s="2219"/>
      <c r="E1" s="2219"/>
      <c r="F1" s="2219"/>
      <c r="G1" s="2219"/>
      <c r="H1" s="2219"/>
      <c r="I1" s="2219"/>
      <c r="J1" s="2219"/>
      <c r="K1" s="2219"/>
      <c r="L1" s="2219"/>
      <c r="M1" s="221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34872095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2.5219999999999999E-2</v>
      </c>
      <c r="E10" s="333" t="s">
        <v>998</v>
      </c>
      <c r="F10" s="332">
        <v>5.3049999999999998E-3</v>
      </c>
      <c r="G10" s="333" t="s">
        <v>998</v>
      </c>
      <c r="H10" s="332">
        <v>1.147E-3</v>
      </c>
      <c r="I10" s="333" t="s">
        <v>999</v>
      </c>
      <c r="J10" s="1424">
        <f>ROUND(D10+F10+H10,5)</f>
        <v>3.1669999999999997E-2</v>
      </c>
      <c r="K10" s="217"/>
      <c r="L10" s="332">
        <v>4.2999999999999999E-4</v>
      </c>
      <c r="M10" s="217"/>
    </row>
    <row r="11" spans="1:14" ht="7.5" customHeight="1" x14ac:dyDescent="0.2">
      <c r="B11" s="217"/>
      <c r="C11" s="217"/>
      <c r="D11" s="2229" t="str">
        <f>IF(SUM(J10)&lt;=0.0999999,"","Enter the Tax Rates by moving the decimal two places to the left.")</f>
        <v/>
      </c>
      <c r="E11" s="2230"/>
      <c r="F11" s="2230"/>
      <c r="G11" s="2230"/>
      <c r="H11" s="2230"/>
      <c r="I11" s="2230"/>
      <c r="J11" s="223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1505393</v>
      </c>
      <c r="E16" s="1547"/>
      <c r="F16" s="1546">
        <f>SUM('Acct Summary 7-8'!C17,'Acct Summary 7-8'!D17,'Acct Summary 7-8'!F17)</f>
        <v>1305424</v>
      </c>
      <c r="G16" s="1547"/>
      <c r="H16" s="1546">
        <f>SUM(D16-F16)</f>
        <v>199969</v>
      </c>
      <c r="I16" s="1548"/>
      <c r="J16" s="1546">
        <f>SUM('Acct Summary 7-8'!C81,'Acct Summary 7-8'!D81,'Acct Summary 7-8'!F81,'Acct Summary 7-8'!I81)</f>
        <v>2471458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2061</v>
      </c>
      <c r="C31" s="344" t="s">
        <v>582</v>
      </c>
      <c r="D31" s="232" t="s">
        <v>1063</v>
      </c>
      <c r="E31" s="217"/>
      <c r="F31" s="217"/>
      <c r="G31" s="340"/>
      <c r="H31" s="1425">
        <f>IF(B31="X",(J7*0.069),IF(B32="X",(J7*0.138),"Enter x in a.or b."))</f>
        <v>2406174.5550000002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255000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20"/>
      <c r="C54" s="2221"/>
      <c r="D54" s="2221"/>
      <c r="E54" s="2221"/>
      <c r="F54" s="2221"/>
      <c r="G54" s="2221"/>
      <c r="H54" s="2221"/>
      <c r="I54" s="2221"/>
      <c r="J54" s="2221"/>
      <c r="K54" s="2221"/>
      <c r="L54" s="2222"/>
      <c r="M54" s="357"/>
    </row>
    <row r="55" spans="1:13" ht="12.75" customHeight="1" x14ac:dyDescent="0.2">
      <c r="B55" s="2223"/>
      <c r="C55" s="2224"/>
      <c r="D55" s="2224"/>
      <c r="E55" s="2224"/>
      <c r="F55" s="2224"/>
      <c r="G55" s="2224"/>
      <c r="H55" s="2224"/>
      <c r="I55" s="2224"/>
      <c r="J55" s="2224"/>
      <c r="K55" s="2224"/>
      <c r="L55" s="2225"/>
      <c r="M55" s="357"/>
    </row>
    <row r="56" spans="1:13" ht="12.75" customHeight="1" x14ac:dyDescent="0.2">
      <c r="B56" s="2223"/>
      <c r="C56" s="2224"/>
      <c r="D56" s="2224"/>
      <c r="E56" s="2224"/>
      <c r="F56" s="2224"/>
      <c r="G56" s="2224"/>
      <c r="H56" s="2224"/>
      <c r="I56" s="2224"/>
      <c r="J56" s="2224"/>
      <c r="K56" s="2224"/>
      <c r="L56" s="2225"/>
      <c r="M56" s="217"/>
    </row>
    <row r="57" spans="1:13" ht="12.75" customHeight="1" x14ac:dyDescent="0.2">
      <c r="B57" s="2223"/>
      <c r="C57" s="2224"/>
      <c r="D57" s="2224"/>
      <c r="E57" s="2224"/>
      <c r="F57" s="2224"/>
      <c r="G57" s="2224"/>
      <c r="H57" s="2224"/>
      <c r="I57" s="2224"/>
      <c r="J57" s="2224"/>
      <c r="K57" s="2224"/>
      <c r="L57" s="2225"/>
      <c r="M57" s="217"/>
    </row>
    <row r="58" spans="1:13" x14ac:dyDescent="0.2">
      <c r="B58" s="2226"/>
      <c r="C58" s="2227"/>
      <c r="D58" s="2227"/>
      <c r="E58" s="2227"/>
      <c r="F58" s="2227"/>
      <c r="G58" s="2227"/>
      <c r="H58" s="2227"/>
      <c r="I58" s="2227"/>
      <c r="J58" s="2227"/>
      <c r="K58" s="2227"/>
      <c r="L58" s="222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1"/>
      <c r="D61" s="223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orizontalCentered="1" headings="1"/>
  <pageMargins left="1" right="0.75" top="0.75" bottom="0.75" header="0.5" footer="0.25"/>
  <pageSetup scale="85" firstPageNumber="3" orientation="portrait" useFirstPageNumber="1" r:id="rId1"/>
  <headerFooter alignWithMargins="0">
    <oddHeader>&amp;L&amp;8Page &amp;P&amp;C &amp;R&amp;8Page &amp;P</oddHeader>
    <oddFooter>&amp;L&amp;8Printed: &amp;D
&amp;F&amp;CReference should be made to auditor's report regarding this information.
52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E1" zoomScale="110" zoomScaleNormal="110" workbookViewId="0">
      <selection activeCell="N13" sqref="N13"/>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4"/>
      <c r="B1" s="2235"/>
      <c r="C1" s="2235"/>
      <c r="D1" s="361"/>
      <c r="E1" s="361"/>
      <c r="F1" s="361"/>
      <c r="G1" s="361"/>
      <c r="H1" s="361"/>
      <c r="I1" s="361"/>
      <c r="J1" s="361"/>
      <c r="K1" s="361"/>
      <c r="L1" s="361"/>
      <c r="M1" s="361"/>
      <c r="N1" s="361"/>
      <c r="O1" s="2234"/>
      <c r="P1" s="2235"/>
      <c r="Q1" s="2235"/>
    </row>
    <row r="2" spans="1:18" ht="15" x14ac:dyDescent="0.2">
      <c r="A2" s="2238" t="s">
        <v>552</v>
      </c>
      <c r="B2" s="2238"/>
      <c r="C2" s="2238"/>
      <c r="D2" s="2238"/>
      <c r="E2" s="2238"/>
      <c r="F2" s="2238"/>
      <c r="G2" s="2238"/>
      <c r="H2" s="2238"/>
      <c r="I2" s="2238"/>
      <c r="J2" s="2238"/>
      <c r="K2" s="2238"/>
      <c r="L2" s="2238"/>
      <c r="M2" s="2238"/>
      <c r="N2" s="2238"/>
      <c r="O2" s="2238"/>
      <c r="P2" s="2238"/>
      <c r="Q2" s="2238"/>
      <c r="R2" s="2238"/>
    </row>
    <row r="3" spans="1:18" ht="12.75" x14ac:dyDescent="0.2">
      <c r="A3" s="2239" t="s">
        <v>1396</v>
      </c>
      <c r="B3" s="2239"/>
      <c r="C3" s="2239"/>
      <c r="D3" s="2239"/>
      <c r="E3" s="2239"/>
      <c r="F3" s="2239"/>
      <c r="G3" s="2239"/>
      <c r="H3" s="2239"/>
      <c r="I3" s="2239"/>
      <c r="J3" s="2239"/>
      <c r="K3" s="2239"/>
      <c r="L3" s="2239"/>
      <c r="M3" s="2239"/>
      <c r="N3" s="2239"/>
      <c r="O3" s="2239"/>
      <c r="P3" s="2239"/>
      <c r="Q3" s="2239"/>
      <c r="R3" s="2239"/>
    </row>
    <row r="4" spans="1:18" x14ac:dyDescent="0.2">
      <c r="A4" s="2240" t="s">
        <v>1537</v>
      </c>
      <c r="B4" s="2240"/>
      <c r="C4" s="2240"/>
      <c r="D4" s="2240"/>
      <c r="E4" s="2240"/>
      <c r="F4" s="2240"/>
      <c r="G4" s="2240"/>
      <c r="H4" s="2240"/>
      <c r="I4" s="2240"/>
      <c r="J4" s="2240"/>
      <c r="K4" s="2240"/>
      <c r="L4" s="2240"/>
      <c r="M4" s="2240"/>
      <c r="N4" s="2240"/>
      <c r="O4" s="2240"/>
      <c r="P4" s="2240"/>
      <c r="Q4" s="2240"/>
      <c r="R4" s="224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New Holland-Middletown ED 88</v>
      </c>
      <c r="E7" s="368"/>
      <c r="G7" s="247"/>
      <c r="H7" s="364"/>
      <c r="I7" s="364"/>
      <c r="J7" s="364"/>
      <c r="K7" s="364"/>
      <c r="L7" s="307"/>
      <c r="M7" s="307"/>
      <c r="N7" s="307"/>
      <c r="O7" s="307"/>
      <c r="P7" s="307"/>
    </row>
    <row r="8" spans="1:18" ht="12.75" x14ac:dyDescent="0.2">
      <c r="A8" s="307"/>
      <c r="B8" s="307"/>
      <c r="C8" s="366" t="s">
        <v>1115</v>
      </c>
      <c r="D8" s="369">
        <f>COVER!A13</f>
        <v>17054088002</v>
      </c>
      <c r="E8" s="370"/>
      <c r="G8" s="307"/>
      <c r="H8" s="307"/>
      <c r="I8" s="307"/>
      <c r="J8" s="307"/>
      <c r="K8" s="307"/>
      <c r="L8" s="307"/>
      <c r="M8" s="307"/>
      <c r="N8" s="307"/>
      <c r="O8" s="307"/>
      <c r="P8" s="307"/>
    </row>
    <row r="9" spans="1:18" ht="12.75" x14ac:dyDescent="0.2">
      <c r="A9" s="307"/>
      <c r="B9" s="307"/>
      <c r="C9" s="366" t="s">
        <v>708</v>
      </c>
      <c r="D9" s="371" t="str">
        <f>COVER!A15</f>
        <v>Logan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2471458</v>
      </c>
      <c r="I12" s="380"/>
      <c r="J12" s="380"/>
      <c r="K12" s="1559">
        <f>TRUNC((H12/H13*100000),5)/100000</f>
        <v>1.6417360782000001</v>
      </c>
      <c r="L12" s="381"/>
      <c r="M12" s="337" t="s">
        <v>1134</v>
      </c>
      <c r="N12" s="337"/>
      <c r="O12" s="1562">
        <v>0.35</v>
      </c>
      <c r="P12" s="213"/>
      <c r="Q12" s="213"/>
    </row>
    <row r="13" spans="1:18" s="382" customFormat="1" ht="12.75" x14ac:dyDescent="0.2">
      <c r="A13" s="213"/>
      <c r="B13" s="377"/>
      <c r="C13" s="2236" t="s">
        <v>1313</v>
      </c>
      <c r="D13" s="2237"/>
      <c r="E13" s="213"/>
      <c r="F13" s="383" t="s">
        <v>788</v>
      </c>
      <c r="G13" s="378"/>
      <c r="H13" s="1551">
        <f>SUM('Acct Summary 7-8'!C8+'Acct Summary 7-8'!D8+'Acct Summary 7-8'!F8+'Acct Summary 7-8'!I8)+H14</f>
        <v>1505393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1305424</v>
      </c>
      <c r="I17" s="380"/>
      <c r="J17" s="389"/>
      <c r="K17" s="1559">
        <f>TRUNC((H17/H18*100000),5)/100000</f>
        <v>0.86716491969999998</v>
      </c>
      <c r="L17" s="381"/>
      <c r="M17" s="390" t="s">
        <v>1161</v>
      </c>
      <c r="O17" s="1565" t="str">
        <f>IF(AND(O16="2", J20 &gt; 2),"1",IF(AND(O16 = "1", J20 &gt; 2),"2",IF(AND(O16="1", J20 &gt;1),"1","0")))</f>
        <v>0</v>
      </c>
      <c r="P17" s="213"/>
    </row>
    <row r="18" spans="1:18" s="382" customFormat="1" ht="11.25" x14ac:dyDescent="0.2">
      <c r="A18" s="213"/>
      <c r="B18" s="377"/>
      <c r="C18" s="2236" t="s">
        <v>1306</v>
      </c>
      <c r="D18" s="2237"/>
      <c r="E18" s="213"/>
      <c r="F18" s="391" t="s">
        <v>789</v>
      </c>
      <c r="G18" s="378"/>
      <c r="H18" s="1551">
        <f>SUM('Acct Summary 7-8'!C8+'Acct Summary 7-8'!D8+'Acct Summary 7-8'!F8+'Acct Summary 7-8'!I8)+H19</f>
        <v>1505393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33" t="s">
        <v>1395</v>
      </c>
      <c r="D24" s="2233"/>
      <c r="E24" s="213"/>
      <c r="F24" s="213" t="s">
        <v>442</v>
      </c>
      <c r="G24" s="378"/>
      <c r="H24" s="1551">
        <f>SUM('Assets-Liab 5-6'!C4+'Assets-Liab 5-6'!D4+'Assets-Liab 5-6'!F4+'Assets-Liab 5-6'!I4+'Assets-Liab 5-6'!C5+'Assets-Liab 5-6'!D5+'Assets-Liab 5-6'!F5+'Assets-Liab 5-6'!I5)</f>
        <v>2471458</v>
      </c>
      <c r="I24" s="394"/>
      <c r="J24" s="394"/>
      <c r="K24" s="1555">
        <f>TRUNC(((H24/H25*100000)/100000),2)</f>
        <v>681.56</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3626.17778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938739.36135000002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255000</v>
      </c>
      <c r="I32" s="392"/>
      <c r="J32" s="392"/>
      <c r="K32" s="1555">
        <f>TRUNC(100-((((H32/H33*100))*100)/100),2)</f>
        <v>89.4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2406174.5550000002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1" right="0.75" top="0.75" bottom="0.75" header="0.5" footer="0.25"/>
  <pageSetup scale="75" firstPageNumber="4" orientation="landscape" useFirstPageNumber="1" r:id="rId3"/>
  <headerFooter alignWithMargins="0">
    <oddHeader>&amp;L&amp;8Page &amp;P&amp;C &amp;R&amp;8Page &amp;P</oddHeader>
    <oddFooter>&amp;L&amp;8Printed: &amp;D
&amp;F&amp;CReference should be made to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Normal="100" workbookViewId="0">
      <pane ySplit="2" topLeftCell="A21" activePane="bottomLeft" state="frozen"/>
      <selection pane="bottomLeft" activeCell="E26" sqref="E2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4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43" t="s">
        <v>967</v>
      </c>
      <c r="B3" s="2244"/>
      <c r="C3" s="1306"/>
      <c r="D3" s="1307"/>
      <c r="E3" s="1307"/>
      <c r="F3" s="1307"/>
      <c r="G3" s="1307"/>
      <c r="H3" s="1307"/>
      <c r="I3" s="1307"/>
      <c r="J3" s="1307"/>
      <c r="K3" s="1307"/>
      <c r="L3" s="1307"/>
      <c r="M3" s="1308"/>
      <c r="N3" s="1309"/>
    </row>
    <row r="4" spans="1:14" ht="13.5" customHeight="1" x14ac:dyDescent="0.2">
      <c r="A4" s="427" t="s">
        <v>1632</v>
      </c>
      <c r="B4" s="428"/>
      <c r="C4" s="1572">
        <v>1363283</v>
      </c>
      <c r="D4" s="1573">
        <v>500051</v>
      </c>
      <c r="E4" s="1573">
        <v>0</v>
      </c>
      <c r="F4" s="1573">
        <v>206</v>
      </c>
      <c r="G4" s="1573">
        <v>27030</v>
      </c>
      <c r="H4" s="1573">
        <v>95562</v>
      </c>
      <c r="I4" s="1573">
        <v>14505</v>
      </c>
      <c r="J4" s="1574">
        <v>78610</v>
      </c>
      <c r="K4" s="1573">
        <v>24241</v>
      </c>
      <c r="L4" s="1573">
        <v>19840</v>
      </c>
      <c r="M4" s="1575"/>
      <c r="N4" s="1576"/>
    </row>
    <row r="5" spans="1:14" x14ac:dyDescent="0.2">
      <c r="A5" s="427" t="s">
        <v>985</v>
      </c>
      <c r="B5" s="429">
        <v>120</v>
      </c>
      <c r="C5" s="1572">
        <v>515093</v>
      </c>
      <c r="D5" s="1573">
        <v>77759</v>
      </c>
      <c r="E5" s="1573"/>
      <c r="F5" s="1573">
        <v>561</v>
      </c>
      <c r="G5" s="1573">
        <v>11824</v>
      </c>
      <c r="H5" s="1573"/>
      <c r="I5" s="1573"/>
      <c r="J5" s="1574"/>
      <c r="K5" s="1577">
        <v>4463</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1878376</v>
      </c>
      <c r="D13" s="1587">
        <f t="shared" ref="D13:L13" si="0">SUM(D4:D12)</f>
        <v>577810</v>
      </c>
      <c r="E13" s="1587">
        <f t="shared" si="0"/>
        <v>0</v>
      </c>
      <c r="F13" s="1587">
        <f t="shared" si="0"/>
        <v>767</v>
      </c>
      <c r="G13" s="1587">
        <f t="shared" si="0"/>
        <v>38854</v>
      </c>
      <c r="H13" s="1587">
        <f t="shared" si="0"/>
        <v>95562</v>
      </c>
      <c r="I13" s="1587">
        <f t="shared" si="0"/>
        <v>14505</v>
      </c>
      <c r="J13" s="1587">
        <f t="shared" si="0"/>
        <v>78610</v>
      </c>
      <c r="K13" s="1587">
        <f t="shared" si="0"/>
        <v>28704</v>
      </c>
      <c r="L13" s="1587">
        <f t="shared" si="0"/>
        <v>19840</v>
      </c>
      <c r="M13" s="1575"/>
      <c r="N13" s="1576"/>
    </row>
    <row r="14" spans="1:14" ht="18" customHeight="1" thickTop="1" x14ac:dyDescent="0.2">
      <c r="A14" s="2245" t="s">
        <v>146</v>
      </c>
      <c r="B14" s="224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2932941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303454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122387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255000</v>
      </c>
    </row>
    <row r="23" spans="1:14" ht="13.5" customHeight="1" thickBot="1" x14ac:dyDescent="0.25">
      <c r="A23" s="1426" t="s">
        <v>638</v>
      </c>
      <c r="B23" s="1429"/>
      <c r="C23" s="1575"/>
      <c r="D23" s="1575"/>
      <c r="E23" s="1575"/>
      <c r="F23" s="1575"/>
      <c r="G23" s="1575"/>
      <c r="H23" s="1575"/>
      <c r="I23" s="1575"/>
      <c r="J23" s="1575"/>
      <c r="K23" s="1575"/>
      <c r="L23" s="1575"/>
      <c r="M23" s="1594">
        <f>SUM(M15:M22)</f>
        <v>3363782</v>
      </c>
      <c r="N23" s="1594">
        <f>SUM(N21:N22)</f>
        <v>255000</v>
      </c>
    </row>
    <row r="24" spans="1:14" ht="18" customHeight="1" thickTop="1" x14ac:dyDescent="0.2">
      <c r="A24" s="2247" t="s">
        <v>594</v>
      </c>
      <c r="B24" s="224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19840</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19840</v>
      </c>
      <c r="M34" s="1575"/>
      <c r="N34" s="1585"/>
    </row>
    <row r="35" spans="1:14" ht="18" customHeight="1" thickTop="1" x14ac:dyDescent="0.2">
      <c r="A35" s="2249" t="s">
        <v>526</v>
      </c>
      <c r="B35" s="225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255000</v>
      </c>
    </row>
    <row r="37" spans="1:14" ht="13.5" thickBot="1" x14ac:dyDescent="0.25">
      <c r="A37" s="1426" t="s">
        <v>648</v>
      </c>
      <c r="B37" s="1429"/>
      <c r="C37" s="1582"/>
      <c r="D37" s="1582"/>
      <c r="E37" s="1582"/>
      <c r="F37" s="1582"/>
      <c r="G37" s="1582"/>
      <c r="H37" s="1582"/>
      <c r="I37" s="1582"/>
      <c r="J37" s="1582"/>
      <c r="K37" s="1582"/>
      <c r="L37" s="1585"/>
      <c r="M37" s="1575"/>
      <c r="N37" s="1594">
        <f>SUM(N36:N36)</f>
        <v>255000</v>
      </c>
    </row>
    <row r="38" spans="1:14" s="307" customFormat="1" ht="13.5" customHeight="1" thickTop="1" x14ac:dyDescent="0.2">
      <c r="A38" s="438" t="s">
        <v>417</v>
      </c>
      <c r="B38" s="432">
        <v>714</v>
      </c>
      <c r="C38" s="1573"/>
      <c r="D38" s="1573"/>
      <c r="E38" s="1573"/>
      <c r="F38" s="1573"/>
      <c r="G38" s="1573">
        <v>430</v>
      </c>
      <c r="H38" s="1573">
        <v>95562</v>
      </c>
      <c r="I38" s="1573"/>
      <c r="J38" s="1574"/>
      <c r="K38" s="1573"/>
      <c r="L38" s="1586"/>
      <c r="M38" s="1604"/>
      <c r="N38" s="1604"/>
    </row>
    <row r="39" spans="1:14" s="307" customFormat="1" ht="13.5" customHeight="1" x14ac:dyDescent="0.2">
      <c r="A39" s="438" t="s">
        <v>339</v>
      </c>
      <c r="B39" s="432">
        <v>730</v>
      </c>
      <c r="C39" s="1573">
        <v>1878376</v>
      </c>
      <c r="D39" s="1573">
        <v>577810</v>
      </c>
      <c r="E39" s="1573">
        <v>0</v>
      </c>
      <c r="F39" s="1573">
        <v>767</v>
      </c>
      <c r="G39" s="1573">
        <v>38424</v>
      </c>
      <c r="H39" s="1573"/>
      <c r="I39" s="1573">
        <v>14505</v>
      </c>
      <c r="J39" s="1574">
        <v>78610</v>
      </c>
      <c r="K39" s="1573">
        <v>28704</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3363782</v>
      </c>
      <c r="N40" s="1604"/>
    </row>
    <row r="41" spans="1:14" ht="13.5" customHeight="1" thickBot="1" x14ac:dyDescent="0.25">
      <c r="A41" s="1426" t="s">
        <v>650</v>
      </c>
      <c r="B41" s="1405"/>
      <c r="C41" s="1594">
        <f>(SUM(C34,C37,C38,C39))</f>
        <v>1878376</v>
      </c>
      <c r="D41" s="1594">
        <f t="shared" ref="D41:L41" si="2">SUM(D34,D37,D38:D39)</f>
        <v>577810</v>
      </c>
      <c r="E41" s="1594">
        <f t="shared" si="2"/>
        <v>0</v>
      </c>
      <c r="F41" s="1594">
        <f t="shared" si="2"/>
        <v>767</v>
      </c>
      <c r="G41" s="1594">
        <f t="shared" si="2"/>
        <v>38854</v>
      </c>
      <c r="H41" s="1594">
        <f t="shared" si="2"/>
        <v>95562</v>
      </c>
      <c r="I41" s="1594">
        <f t="shared" si="2"/>
        <v>14505</v>
      </c>
      <c r="J41" s="1594">
        <f t="shared" si="2"/>
        <v>78610</v>
      </c>
      <c r="K41" s="1594">
        <f t="shared" si="2"/>
        <v>28704</v>
      </c>
      <c r="L41" s="1594">
        <f t="shared" si="2"/>
        <v>19840</v>
      </c>
      <c r="M41" s="1594">
        <f>SUM(M40)</f>
        <v>3363782</v>
      </c>
      <c r="N41" s="1594">
        <f>SUM(N37)</f>
        <v>255000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5" right="0.5" top="1.5" bottom="0.75" header="1" footer="0.25"/>
  <pageSetup scale="72" firstPageNumber="5" fitToWidth="2"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85" workbookViewId="0">
      <pane ySplit="2" topLeftCell="A36" activePane="bottomLeft" state="frozen"/>
      <selection pane="bottomLeft" activeCell="C19" sqref="C19:K1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6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71" t="s">
        <v>1165</v>
      </c>
      <c r="B3" s="2272"/>
      <c r="C3" s="1311"/>
      <c r="D3" s="1312"/>
      <c r="E3" s="1312"/>
      <c r="F3" s="1312"/>
      <c r="G3" s="1312"/>
      <c r="H3" s="1312"/>
      <c r="I3" s="1312"/>
      <c r="J3" s="1312"/>
      <c r="K3" s="1313"/>
      <c r="L3" s="446"/>
    </row>
    <row r="4" spans="1:13" ht="15.75" customHeight="1" x14ac:dyDescent="0.2">
      <c r="A4" s="1537" t="s">
        <v>1482</v>
      </c>
      <c r="B4" s="1538">
        <v>1000</v>
      </c>
      <c r="C4" s="1606">
        <f>'Revenues 9-14'!C109</f>
        <v>960939</v>
      </c>
      <c r="D4" s="1606">
        <f>'Revenues 9-14'!D109</f>
        <v>178204</v>
      </c>
      <c r="E4" s="1606">
        <f>'Revenues 9-14'!E109</f>
        <v>49522</v>
      </c>
      <c r="F4" s="1606">
        <f>'Revenues 9-14'!F109</f>
        <v>37006</v>
      </c>
      <c r="G4" s="1606">
        <f>'Revenues 9-14'!G109</f>
        <v>26222</v>
      </c>
      <c r="H4" s="1606">
        <f>'Revenues 9-14'!H109</f>
        <v>6228</v>
      </c>
      <c r="I4" s="1606">
        <f>'Revenues 9-14'!I109</f>
        <v>14505</v>
      </c>
      <c r="J4" s="1606">
        <f>'Revenues 9-14'!J109</f>
        <v>28821</v>
      </c>
      <c r="K4" s="1606">
        <f>'Revenues 9-14'!K109</f>
        <v>14015</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131403</v>
      </c>
      <c r="D6" s="1607">
        <f>'Revenues 9-14'!D170</f>
        <v>32500</v>
      </c>
      <c r="E6" s="1607">
        <f>'Revenues 9-14'!E170</f>
        <v>0</v>
      </c>
      <c r="F6" s="1607">
        <f>'Revenues 9-14'!F170</f>
        <v>47614</v>
      </c>
      <c r="G6" s="1607">
        <f>'Revenues 9-14'!G170</f>
        <v>44000</v>
      </c>
      <c r="H6" s="1607">
        <f>'Revenues 9-14'!H170</f>
        <v>0</v>
      </c>
      <c r="I6" s="1607">
        <f>'Revenues 9-14'!I170</f>
        <v>0</v>
      </c>
      <c r="J6" s="1607">
        <f>'Revenues 9-14'!J170</f>
        <v>4000</v>
      </c>
      <c r="K6" s="1607">
        <f>'Revenues 9-14'!K170</f>
        <v>0</v>
      </c>
      <c r="L6" s="325"/>
      <c r="M6" s="448"/>
    </row>
    <row r="7" spans="1:13" ht="15.75" customHeight="1" x14ac:dyDescent="0.2">
      <c r="A7" s="1314" t="s">
        <v>1485</v>
      </c>
      <c r="B7" s="1316">
        <v>4000</v>
      </c>
      <c r="C7" s="1607">
        <f>'Revenues 9-14'!C267</f>
        <v>103222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1195564</v>
      </c>
      <c r="D8" s="1594">
        <f t="shared" ref="D8:K8" si="0">SUM(D4:D7)</f>
        <v>210704</v>
      </c>
      <c r="E8" s="1594">
        <f t="shared" si="0"/>
        <v>49522</v>
      </c>
      <c r="F8" s="1594">
        <f t="shared" si="0"/>
        <v>84620</v>
      </c>
      <c r="G8" s="1594">
        <f t="shared" si="0"/>
        <v>70222</v>
      </c>
      <c r="H8" s="1594">
        <f t="shared" si="0"/>
        <v>6228</v>
      </c>
      <c r="I8" s="1594">
        <f t="shared" si="0"/>
        <v>14505</v>
      </c>
      <c r="J8" s="1594">
        <f t="shared" si="0"/>
        <v>32821</v>
      </c>
      <c r="K8" s="1594">
        <f t="shared" si="0"/>
        <v>14015</v>
      </c>
      <c r="L8" s="325"/>
    </row>
    <row r="9" spans="1:13" ht="15.75" thickTop="1" x14ac:dyDescent="0.2">
      <c r="A9" s="449" t="s">
        <v>1634</v>
      </c>
      <c r="B9" s="450">
        <v>3998</v>
      </c>
      <c r="C9" s="1586">
        <v>529113</v>
      </c>
      <c r="D9" s="1613"/>
      <c r="E9" s="1586"/>
      <c r="F9" s="1586"/>
      <c r="G9" s="1614"/>
      <c r="H9" s="1586"/>
      <c r="I9" s="1609" t="s">
        <v>1159</v>
      </c>
      <c r="J9" s="1583"/>
      <c r="K9" s="1586"/>
      <c r="L9" s="325"/>
    </row>
    <row r="10" spans="1:13" s="452" customFormat="1" ht="13.5" thickBot="1" x14ac:dyDescent="0.25">
      <c r="A10" s="1426" t="s">
        <v>1163</v>
      </c>
      <c r="B10" s="1407"/>
      <c r="C10" s="1594">
        <f>SUM(C8:C9)</f>
        <v>1724677</v>
      </c>
      <c r="D10" s="1594">
        <f t="shared" ref="D10:K10" si="1">SUM(D8:D9)</f>
        <v>210704</v>
      </c>
      <c r="E10" s="1594">
        <f t="shared" si="1"/>
        <v>49522</v>
      </c>
      <c r="F10" s="1594">
        <f t="shared" si="1"/>
        <v>84620</v>
      </c>
      <c r="G10" s="1594">
        <f t="shared" si="1"/>
        <v>70222</v>
      </c>
      <c r="H10" s="1594">
        <f t="shared" si="1"/>
        <v>6228</v>
      </c>
      <c r="I10" s="1594">
        <f t="shared" si="1"/>
        <v>14505</v>
      </c>
      <c r="J10" s="1594">
        <f t="shared" si="1"/>
        <v>32821</v>
      </c>
      <c r="K10" s="1594">
        <f t="shared" si="1"/>
        <v>14015</v>
      </c>
      <c r="L10" s="451"/>
    </row>
    <row r="11" spans="1:13" s="452" customFormat="1" ht="16.7" customHeight="1" thickTop="1" x14ac:dyDescent="0.2">
      <c r="A11" s="2245" t="s">
        <v>1166</v>
      </c>
      <c r="B11" s="2246"/>
      <c r="C11" s="1602"/>
      <c r="D11" s="1603"/>
      <c r="E11" s="1603"/>
      <c r="F11" s="1603"/>
      <c r="G11" s="1603"/>
      <c r="H11" s="1603"/>
      <c r="I11" s="1603"/>
      <c r="J11" s="1603"/>
      <c r="K11" s="1615"/>
      <c r="L11" s="451"/>
    </row>
    <row r="12" spans="1:13" ht="15.75" customHeight="1" x14ac:dyDescent="0.2">
      <c r="A12" s="1314" t="s">
        <v>453</v>
      </c>
      <c r="B12" s="1316">
        <v>1000</v>
      </c>
      <c r="C12" s="1606">
        <f>'Expenditures 15-22'!K33</f>
        <v>711211</v>
      </c>
      <c r="D12" s="1616" t="s">
        <v>1159</v>
      </c>
      <c r="E12" s="1575" t="s">
        <v>1159</v>
      </c>
      <c r="F12" s="1575" t="s">
        <v>1159</v>
      </c>
      <c r="G12" s="1606">
        <f>'Expenditures 15-22'!K229</f>
        <v>10619</v>
      </c>
      <c r="H12" s="1617"/>
      <c r="I12" s="1575" t="s">
        <v>1159</v>
      </c>
      <c r="J12" s="1575" t="s">
        <v>1159</v>
      </c>
      <c r="K12" s="1617" t="s">
        <v>1159</v>
      </c>
      <c r="L12" s="325"/>
    </row>
    <row r="13" spans="1:13" ht="15.75" customHeight="1" x14ac:dyDescent="0.2">
      <c r="A13" s="1314" t="s">
        <v>454</v>
      </c>
      <c r="B13" s="1316">
        <v>2000</v>
      </c>
      <c r="C13" s="1607">
        <f>'Expenditures 15-22'!K74</f>
        <v>269151</v>
      </c>
      <c r="D13" s="1607">
        <f>'Expenditures 15-22'!K129</f>
        <v>127614</v>
      </c>
      <c r="E13" s="1576" t="s">
        <v>1159</v>
      </c>
      <c r="F13" s="1607">
        <f>'Expenditures 15-22'!K184</f>
        <v>118002</v>
      </c>
      <c r="G13" s="1607">
        <f>'Expenditures 15-22'!K279</f>
        <v>22837</v>
      </c>
      <c r="H13" s="1607">
        <f>'Expenditures 15-22'!K303</f>
        <v>6228</v>
      </c>
      <c r="I13" s="1575" t="s">
        <v>1159</v>
      </c>
      <c r="J13" s="1607">
        <f>'Expenditures 15-22'!K330</f>
        <v>32934</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79446</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31488</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1059808</v>
      </c>
      <c r="D17" s="1594">
        <f t="shared" si="2"/>
        <v>127614</v>
      </c>
      <c r="E17" s="1594">
        <f t="shared" si="2"/>
        <v>31488</v>
      </c>
      <c r="F17" s="1594">
        <f t="shared" si="2"/>
        <v>118002</v>
      </c>
      <c r="G17" s="1594">
        <f t="shared" si="2"/>
        <v>33456</v>
      </c>
      <c r="H17" s="1594">
        <f t="shared" si="2"/>
        <v>6228</v>
      </c>
      <c r="I17" s="1575"/>
      <c r="J17" s="1594">
        <f>SUM(J12:J16)</f>
        <v>32934</v>
      </c>
      <c r="K17" s="1594">
        <f>SUM(K12:K16)</f>
        <v>0</v>
      </c>
      <c r="L17" s="325"/>
    </row>
    <row r="18" spans="1:12" ht="15" customHeight="1" thickTop="1" x14ac:dyDescent="0.2">
      <c r="A18" s="1430" t="s">
        <v>1635</v>
      </c>
      <c r="B18" s="1431">
        <v>4180</v>
      </c>
      <c r="C18" s="1606">
        <f t="shared" ref="C18:H18" si="3">C9</f>
        <v>529113</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1588921</v>
      </c>
      <c r="D19" s="1594">
        <f t="shared" si="4"/>
        <v>127614</v>
      </c>
      <c r="E19" s="1594">
        <f t="shared" si="4"/>
        <v>31488</v>
      </c>
      <c r="F19" s="1594">
        <f t="shared" si="4"/>
        <v>118002</v>
      </c>
      <c r="G19" s="1594">
        <f t="shared" si="4"/>
        <v>33456</v>
      </c>
      <c r="H19" s="1594">
        <f t="shared" si="4"/>
        <v>6228</v>
      </c>
      <c r="I19" s="1575"/>
      <c r="J19" s="1594">
        <f>SUM(J17:J18)</f>
        <v>32934</v>
      </c>
      <c r="K19" s="1594">
        <f>SUM(K17:K18)</f>
        <v>0</v>
      </c>
      <c r="L19" s="325"/>
    </row>
    <row r="20" spans="1:12" ht="16.5" thickTop="1" thickBot="1" x14ac:dyDescent="0.25">
      <c r="A20" s="2261" t="s">
        <v>1636</v>
      </c>
      <c r="B20" s="2262"/>
      <c r="C20" s="1622">
        <f>C8-C17</f>
        <v>135756</v>
      </c>
      <c r="D20" s="1622">
        <f t="shared" ref="D20:K20" si="5">D8-D17</f>
        <v>83090</v>
      </c>
      <c r="E20" s="1622">
        <f t="shared" si="5"/>
        <v>18034</v>
      </c>
      <c r="F20" s="1622">
        <f t="shared" si="5"/>
        <v>-33382</v>
      </c>
      <c r="G20" s="1622">
        <f t="shared" si="5"/>
        <v>36766</v>
      </c>
      <c r="H20" s="1622">
        <f t="shared" si="5"/>
        <v>0</v>
      </c>
      <c r="I20" s="1622">
        <f t="shared" si="5"/>
        <v>14505</v>
      </c>
      <c r="J20" s="1622">
        <f t="shared" si="5"/>
        <v>-113</v>
      </c>
      <c r="K20" s="1622">
        <f t="shared" si="5"/>
        <v>14015</v>
      </c>
      <c r="L20" s="325"/>
    </row>
    <row r="21" spans="1:12" ht="16.7" customHeight="1" thickTop="1" x14ac:dyDescent="0.2">
      <c r="A21" s="2273" t="s">
        <v>591</v>
      </c>
      <c r="B21" s="2274"/>
      <c r="C21" s="1602"/>
      <c r="D21" s="1603"/>
      <c r="E21" s="1603"/>
      <c r="F21" s="1603"/>
      <c r="G21" s="1603"/>
      <c r="H21" s="1603"/>
      <c r="I21" s="1603"/>
      <c r="J21" s="1603"/>
      <c r="K21" s="1615"/>
      <c r="L21" s="453"/>
    </row>
    <row r="22" spans="1:12" ht="15.75" customHeight="1" collapsed="1" x14ac:dyDescent="0.2">
      <c r="A22" s="2269" t="s">
        <v>592</v>
      </c>
      <c r="B22" s="2270"/>
      <c r="C22" s="1582"/>
      <c r="D22" s="1582"/>
      <c r="E22" s="1582"/>
      <c r="F22" s="1582"/>
      <c r="G22" s="1582"/>
      <c r="H22" s="1582"/>
      <c r="I22" s="1582"/>
      <c r="J22" s="1582"/>
      <c r="K22" s="1582"/>
      <c r="L22" s="325"/>
    </row>
    <row r="23" spans="1:12" s="433" customFormat="1" ht="15.75" customHeight="1" x14ac:dyDescent="0.2">
      <c r="A23" s="2265" t="s">
        <v>290</v>
      </c>
      <c r="B23" s="226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67" t="s">
        <v>974</v>
      </c>
      <c r="B32" s="226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v>13632</v>
      </c>
      <c r="F43" s="1574"/>
      <c r="G43" s="1574"/>
      <c r="H43" s="1574"/>
      <c r="I43" s="1574"/>
      <c r="J43" s="1574"/>
      <c r="K43" s="1574"/>
      <c r="L43" s="453"/>
    </row>
    <row r="44" spans="1:12" s="433" customFormat="1" ht="13.5" customHeight="1" thickBot="1" x14ac:dyDescent="0.25">
      <c r="A44" s="2275" t="s">
        <v>371</v>
      </c>
      <c r="B44" s="2276"/>
      <c r="C44" s="1624">
        <f>SUM(C24:C43)</f>
        <v>0</v>
      </c>
      <c r="D44" s="1624">
        <f t="shared" ref="D44:K44" si="6">SUM(D24:D43)</f>
        <v>0</v>
      </c>
      <c r="E44" s="1624">
        <f t="shared" si="6"/>
        <v>13632</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69" t="s">
        <v>108</v>
      </c>
      <c r="B45" s="2270"/>
      <c r="C45" s="1625"/>
      <c r="D45" s="1625"/>
      <c r="E45" s="1625"/>
      <c r="F45" s="1625"/>
      <c r="G45" s="1625"/>
      <c r="H45" s="1625"/>
      <c r="I45" s="1625"/>
      <c r="J45" s="1625"/>
      <c r="K45" s="1625"/>
      <c r="L45" s="325"/>
    </row>
    <row r="46" spans="1:12" s="433" customFormat="1" ht="15.75" customHeight="1" x14ac:dyDescent="0.2">
      <c r="A46" s="2277" t="s">
        <v>109</v>
      </c>
      <c r="B46" s="227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v>13632</v>
      </c>
      <c r="I75" s="1626"/>
      <c r="J75" s="1626"/>
      <c r="K75" s="1628"/>
      <c r="L75" s="453"/>
    </row>
    <row r="76" spans="1:12" s="433" customFormat="1" ht="14.25" thickTop="1" thickBot="1" x14ac:dyDescent="0.25">
      <c r="A76" s="2251" t="s">
        <v>437</v>
      </c>
      <c r="B76" s="2252"/>
      <c r="C76" s="1624">
        <f t="shared" ref="C76:K76" si="7">SUM(C47:C75)</f>
        <v>0</v>
      </c>
      <c r="D76" s="1624">
        <f t="shared" si="7"/>
        <v>0</v>
      </c>
      <c r="E76" s="1624">
        <f t="shared" si="7"/>
        <v>0</v>
      </c>
      <c r="F76" s="1624">
        <f t="shared" si="7"/>
        <v>0</v>
      </c>
      <c r="G76" s="1624">
        <f t="shared" si="7"/>
        <v>0</v>
      </c>
      <c r="H76" s="1624">
        <f t="shared" si="7"/>
        <v>13632</v>
      </c>
      <c r="I76" s="1624">
        <f t="shared" si="7"/>
        <v>0</v>
      </c>
      <c r="J76" s="1624">
        <f t="shared" si="7"/>
        <v>0</v>
      </c>
      <c r="K76" s="1624">
        <f t="shared" si="7"/>
        <v>0</v>
      </c>
      <c r="L76" s="453"/>
    </row>
    <row r="77" spans="1:12" ht="14.25" thickTop="1" thickBot="1" x14ac:dyDescent="0.25">
      <c r="A77" s="2253" t="s">
        <v>1167</v>
      </c>
      <c r="B77" s="2254"/>
      <c r="C77" s="1624">
        <f t="shared" ref="C77:K77" si="8">C44-C76</f>
        <v>0</v>
      </c>
      <c r="D77" s="1624">
        <f t="shared" si="8"/>
        <v>0</v>
      </c>
      <c r="E77" s="1624">
        <f t="shared" si="8"/>
        <v>13632</v>
      </c>
      <c r="F77" s="1624">
        <f t="shared" si="8"/>
        <v>0</v>
      </c>
      <c r="G77" s="1624">
        <f t="shared" si="8"/>
        <v>0</v>
      </c>
      <c r="H77" s="1624">
        <f t="shared" si="8"/>
        <v>-13632</v>
      </c>
      <c r="I77" s="1624">
        <f t="shared" si="8"/>
        <v>0</v>
      </c>
      <c r="J77" s="1624">
        <f t="shared" si="8"/>
        <v>0</v>
      </c>
      <c r="K77" s="1624">
        <f t="shared" si="8"/>
        <v>0</v>
      </c>
      <c r="L77" s="325"/>
    </row>
    <row r="78" spans="1:12" ht="21.75" customHeight="1" thickTop="1" thickBot="1" x14ac:dyDescent="0.25">
      <c r="A78" s="2257" t="s">
        <v>593</v>
      </c>
      <c r="B78" s="2258"/>
      <c r="C78" s="1629">
        <f t="shared" ref="C78:K78" si="9">C20+C77</f>
        <v>135756</v>
      </c>
      <c r="D78" s="1629">
        <f t="shared" si="9"/>
        <v>83090</v>
      </c>
      <c r="E78" s="1629">
        <f t="shared" si="9"/>
        <v>31666</v>
      </c>
      <c r="F78" s="1629">
        <f t="shared" si="9"/>
        <v>-33382</v>
      </c>
      <c r="G78" s="1629">
        <f t="shared" si="9"/>
        <v>36766</v>
      </c>
      <c r="H78" s="1629">
        <f t="shared" si="9"/>
        <v>-13632</v>
      </c>
      <c r="I78" s="1629">
        <f t="shared" si="9"/>
        <v>14505</v>
      </c>
      <c r="J78" s="1629">
        <f t="shared" si="9"/>
        <v>-113</v>
      </c>
      <c r="K78" s="1629">
        <f t="shared" si="9"/>
        <v>14015</v>
      </c>
      <c r="L78" s="457"/>
    </row>
    <row r="79" spans="1:12" ht="13.5" thickTop="1" x14ac:dyDescent="0.2">
      <c r="A79" s="1844" t="str">
        <f>"Fund Balances - July 1, "&amp;'AFR20'!E2-1</f>
        <v>Fund Balances - July 1, 2019</v>
      </c>
      <c r="B79" s="458"/>
      <c r="C79" s="1583">
        <v>1742620</v>
      </c>
      <c r="D79" s="1630">
        <v>494720</v>
      </c>
      <c r="E79" s="1630">
        <v>-31666</v>
      </c>
      <c r="F79" s="1630">
        <v>34149</v>
      </c>
      <c r="G79" s="1630">
        <v>2088</v>
      </c>
      <c r="H79" s="1630">
        <v>109194</v>
      </c>
      <c r="I79" s="1630">
        <v>0</v>
      </c>
      <c r="J79" s="1630">
        <v>78723</v>
      </c>
      <c r="K79" s="1630">
        <v>14689</v>
      </c>
      <c r="L79" s="325"/>
    </row>
    <row r="80" spans="1:12" x14ac:dyDescent="0.2">
      <c r="A80" s="2263" t="s">
        <v>1772</v>
      </c>
      <c r="B80" s="2264"/>
      <c r="C80" s="1574"/>
      <c r="D80" s="1574"/>
      <c r="E80" s="1574"/>
      <c r="F80" s="1574"/>
      <c r="G80" s="1574"/>
      <c r="H80" s="1574"/>
      <c r="I80" s="1574"/>
      <c r="J80" s="1574"/>
      <c r="K80" s="1574"/>
      <c r="L80" s="325"/>
    </row>
    <row r="81" spans="1:12" ht="13.5" thickBot="1" x14ac:dyDescent="0.25">
      <c r="A81" s="2255" t="str">
        <f>"Fund Balances - June 30, "&amp;'AFR20'!E2</f>
        <v>Fund Balances - June 30, 2020</v>
      </c>
      <c r="B81" s="2256"/>
      <c r="C81" s="1594">
        <f>(SUM(C78:C80))</f>
        <v>1878376</v>
      </c>
      <c r="D81" s="1594">
        <f>SUM(D78:D80)</f>
        <v>577810</v>
      </c>
      <c r="E81" s="1594">
        <f t="shared" ref="E81:K81" si="10">SUM(E78:E80)</f>
        <v>0</v>
      </c>
      <c r="F81" s="1594">
        <f t="shared" si="10"/>
        <v>767</v>
      </c>
      <c r="G81" s="1594">
        <f t="shared" si="10"/>
        <v>38854</v>
      </c>
      <c r="H81" s="1594">
        <f t="shared" si="10"/>
        <v>95562</v>
      </c>
      <c r="I81" s="1594">
        <f t="shared" si="10"/>
        <v>14505</v>
      </c>
      <c r="J81" s="1594">
        <f t="shared" si="10"/>
        <v>78610</v>
      </c>
      <c r="K81" s="1594">
        <f t="shared" si="10"/>
        <v>28704</v>
      </c>
      <c r="L81" s="325"/>
    </row>
    <row r="82" spans="1:12" ht="0.75" customHeight="1" thickTop="1" thickBot="1" x14ac:dyDescent="0.25">
      <c r="A82" s="459" t="s">
        <v>340</v>
      </c>
      <c r="B82" s="460"/>
      <c r="C82" s="461">
        <f>(C81-C79)</f>
        <v>135756</v>
      </c>
      <c r="D82" s="461">
        <f t="shared" ref="D82:K82" si="11">(D81-D79)</f>
        <v>83090</v>
      </c>
      <c r="E82" s="461">
        <f t="shared" si="11"/>
        <v>31666</v>
      </c>
      <c r="F82" s="461">
        <f t="shared" si="11"/>
        <v>-33382</v>
      </c>
      <c r="G82" s="461">
        <f t="shared" si="11"/>
        <v>36766</v>
      </c>
      <c r="H82" s="461">
        <f t="shared" si="11"/>
        <v>-13632</v>
      </c>
      <c r="I82" s="461">
        <f t="shared" si="11"/>
        <v>14505</v>
      </c>
      <c r="J82" s="461">
        <f t="shared" si="11"/>
        <v>-113</v>
      </c>
      <c r="K82" s="461">
        <f t="shared" si="11"/>
        <v>14015</v>
      </c>
    </row>
    <row r="83" spans="1:12" ht="14.25" hidden="1" thickTop="1" thickBot="1" x14ac:dyDescent="0.25">
      <c r="A83" s="462" t="s">
        <v>341</v>
      </c>
      <c r="B83" s="428"/>
      <c r="C83" s="463">
        <f>C82/C81</f>
        <v>7.2273069928491418E-2</v>
      </c>
      <c r="D83" s="463">
        <f t="shared" ref="D83:K83" si="12">D82/D81</f>
        <v>0.14380159568024092</v>
      </c>
      <c r="E83" s="463" t="e">
        <f t="shared" si="12"/>
        <v>#DIV/0!</v>
      </c>
      <c r="F83" s="463">
        <f t="shared" si="12"/>
        <v>-43.522816166883963</v>
      </c>
      <c r="G83" s="463">
        <f t="shared" si="12"/>
        <v>0.9462603592937664</v>
      </c>
      <c r="H83" s="463">
        <f t="shared" si="12"/>
        <v>-0.14265084447793056</v>
      </c>
      <c r="I83" s="463">
        <f t="shared" si="12"/>
        <v>1</v>
      </c>
      <c r="J83" s="463">
        <f t="shared" si="12"/>
        <v>-1.4374761480727644E-3</v>
      </c>
      <c r="K83" s="463">
        <f t="shared" si="12"/>
        <v>0.48825947603121517</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orizontalCentered="1" headings="1"/>
  <pageMargins left="0.25" right="0.25" top="1.65" bottom="0.5" header="1" footer="0.25"/>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99" activePane="bottomLeft" state="frozen"/>
      <selection pane="bottomLeft" activeCell="C107" sqref="C10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9" t="s">
        <v>1779</v>
      </c>
      <c r="B1" s="416"/>
      <c r="C1" s="417" t="s">
        <v>422</v>
      </c>
      <c r="D1" s="417" t="s">
        <v>423</v>
      </c>
      <c r="E1" s="417" t="s">
        <v>424</v>
      </c>
      <c r="F1" s="417" t="s">
        <v>425</v>
      </c>
      <c r="G1" s="417" t="s">
        <v>426</v>
      </c>
      <c r="H1" s="417" t="s">
        <v>427</v>
      </c>
      <c r="I1" s="417" t="s">
        <v>428</v>
      </c>
      <c r="J1" s="417" t="s">
        <v>429</v>
      </c>
      <c r="K1" s="417" t="s">
        <v>751</v>
      </c>
    </row>
    <row r="2" spans="1:12" ht="36" x14ac:dyDescent="0.2">
      <c r="A2" s="226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866878</v>
      </c>
      <c r="D5" s="1586">
        <v>178009</v>
      </c>
      <c r="E5" s="1573"/>
      <c r="F5" s="1631">
        <v>37005</v>
      </c>
      <c r="G5" s="1573">
        <v>23005</v>
      </c>
      <c r="H5" s="1573"/>
      <c r="I5" s="1573">
        <v>14505</v>
      </c>
      <c r="J5" s="1574">
        <v>27001</v>
      </c>
      <c r="K5" s="1573">
        <v>14004</v>
      </c>
    </row>
    <row r="6" spans="1:12" ht="15" x14ac:dyDescent="0.2">
      <c r="A6" s="427" t="s">
        <v>1643</v>
      </c>
      <c r="B6" s="429">
        <v>1130</v>
      </c>
      <c r="C6" s="1573">
        <v>9001</v>
      </c>
      <c r="D6" s="1573"/>
      <c r="E6" s="1580"/>
      <c r="F6" s="1580"/>
      <c r="G6" s="1575"/>
      <c r="H6" s="1575"/>
      <c r="I6" s="1575"/>
      <c r="J6" s="1575"/>
      <c r="K6" s="1575"/>
    </row>
    <row r="7" spans="1:12" x14ac:dyDescent="0.2">
      <c r="A7" s="427" t="s">
        <v>110</v>
      </c>
      <c r="B7" s="471">
        <v>1140</v>
      </c>
      <c r="C7" s="1573">
        <v>5002</v>
      </c>
      <c r="D7" s="1573"/>
      <c r="E7" s="1575"/>
      <c r="F7" s="1574"/>
      <c r="G7" s="1574"/>
      <c r="H7" s="1574"/>
      <c r="I7" s="1575"/>
      <c r="J7" s="1575"/>
      <c r="K7" s="1575"/>
    </row>
    <row r="8" spans="1:12" x14ac:dyDescent="0.2">
      <c r="A8" s="427" t="s">
        <v>410</v>
      </c>
      <c r="B8" s="429">
        <v>1150</v>
      </c>
      <c r="C8" s="1580"/>
      <c r="D8" s="1580"/>
      <c r="E8" s="1582"/>
      <c r="F8" s="1582"/>
      <c r="G8" s="1586">
        <v>2002</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880881</v>
      </c>
      <c r="D12" s="1633">
        <f t="shared" si="0"/>
        <v>178009</v>
      </c>
      <c r="E12" s="1633">
        <f t="shared" si="0"/>
        <v>0</v>
      </c>
      <c r="F12" s="1633">
        <f t="shared" si="0"/>
        <v>37005</v>
      </c>
      <c r="G12" s="1633">
        <f t="shared" si="0"/>
        <v>25007</v>
      </c>
      <c r="H12" s="1633">
        <f t="shared" si="0"/>
        <v>0</v>
      </c>
      <c r="I12" s="1633">
        <f t="shared" si="0"/>
        <v>14505</v>
      </c>
      <c r="J12" s="1633">
        <f t="shared" si="0"/>
        <v>27001</v>
      </c>
      <c r="K12" s="1594">
        <f t="shared" si="0"/>
        <v>14004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158</v>
      </c>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66391</v>
      </c>
      <c r="D16" s="1573"/>
      <c r="E16" s="1573"/>
      <c r="F16" s="1573"/>
      <c r="G16" s="1573">
        <v>1185</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66549</v>
      </c>
      <c r="D18" s="1635">
        <f t="shared" ref="D18:K18" si="1">SUM(D14:D17)</f>
        <v>0</v>
      </c>
      <c r="E18" s="1635">
        <f t="shared" si="1"/>
        <v>0</v>
      </c>
      <c r="F18" s="1635">
        <f t="shared" si="1"/>
        <v>0</v>
      </c>
      <c r="G18" s="1635">
        <f t="shared" si="1"/>
        <v>1185</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6247</v>
      </c>
      <c r="D65" s="1573">
        <v>195</v>
      </c>
      <c r="E65" s="1573"/>
      <c r="F65" s="1574">
        <v>1</v>
      </c>
      <c r="G65" s="1573">
        <v>30</v>
      </c>
      <c r="H65" s="1573"/>
      <c r="I65" s="1573"/>
      <c r="J65" s="1574"/>
      <c r="K65" s="1573">
        <v>11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6247</v>
      </c>
      <c r="D67" s="1594">
        <f t="shared" ref="D67:K67" si="2">SUM(D65:D66)</f>
        <v>195</v>
      </c>
      <c r="E67" s="1594">
        <f t="shared" si="2"/>
        <v>0</v>
      </c>
      <c r="F67" s="1594">
        <f t="shared" si="2"/>
        <v>1</v>
      </c>
      <c r="G67" s="1594">
        <f t="shared" si="2"/>
        <v>30</v>
      </c>
      <c r="H67" s="1594">
        <f t="shared" si="2"/>
        <v>0</v>
      </c>
      <c r="I67" s="1594">
        <f t="shared" si="2"/>
        <v>0</v>
      </c>
      <c r="J67" s="1594">
        <f t="shared" si="2"/>
        <v>0</v>
      </c>
      <c r="K67" s="1594">
        <f t="shared" si="2"/>
        <v>11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14</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294</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308</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1080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1080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2010</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2010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27</v>
      </c>
      <c r="D99" s="1573"/>
      <c r="E99" s="1573"/>
      <c r="F99" s="1573"/>
      <c r="G99" s="1573"/>
      <c r="H99" s="1573"/>
      <c r="I99" s="1575"/>
      <c r="J99" s="1574">
        <v>1820</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49522</v>
      </c>
      <c r="F103" s="1575"/>
      <c r="G103" s="1575"/>
      <c r="H103" s="1598">
        <v>6228</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3837</v>
      </c>
      <c r="D107" s="1573"/>
      <c r="E107" s="1573"/>
      <c r="F107" s="1573"/>
      <c r="G107" s="1573"/>
      <c r="H107" s="1573"/>
      <c r="I107" s="1573"/>
      <c r="J107" s="1574"/>
      <c r="K107" s="1573"/>
    </row>
    <row r="108" spans="1:12" ht="12.75" customHeight="1" thickBot="1" x14ac:dyDescent="0.25">
      <c r="A108" s="1406" t="s">
        <v>484</v>
      </c>
      <c r="B108" s="1408"/>
      <c r="C108" s="1633">
        <f>SUM(C95:C107)</f>
        <v>3864</v>
      </c>
      <c r="D108" s="1633">
        <f t="shared" ref="D108:K108" si="3">SUM(D95:D107)</f>
        <v>0</v>
      </c>
      <c r="E108" s="1633">
        <f t="shared" si="3"/>
        <v>49522</v>
      </c>
      <c r="F108" s="1633">
        <f t="shared" si="3"/>
        <v>0</v>
      </c>
      <c r="G108" s="1633">
        <f t="shared" si="3"/>
        <v>0</v>
      </c>
      <c r="H108" s="1633">
        <f t="shared" si="3"/>
        <v>6228</v>
      </c>
      <c r="I108" s="1633">
        <f t="shared" si="3"/>
        <v>0</v>
      </c>
      <c r="J108" s="1633">
        <f t="shared" si="3"/>
        <v>1820</v>
      </c>
      <c r="K108" s="1594">
        <f t="shared" si="3"/>
        <v>0</v>
      </c>
    </row>
    <row r="109" spans="1:12" ht="14.25" thickTop="1" thickBot="1" x14ac:dyDescent="0.25">
      <c r="A109" s="1409" t="s">
        <v>246</v>
      </c>
      <c r="B109" s="1410" t="s">
        <v>566</v>
      </c>
      <c r="C109" s="1641">
        <f t="shared" ref="C109:K109" si="4">SUM(C12,C18,C40,C63,C67,C75,C82,C93,C108,)</f>
        <v>960939</v>
      </c>
      <c r="D109" s="1641">
        <f t="shared" si="4"/>
        <v>178204</v>
      </c>
      <c r="E109" s="1641">
        <f t="shared" si="4"/>
        <v>49522</v>
      </c>
      <c r="F109" s="1641">
        <f t="shared" si="4"/>
        <v>37006</v>
      </c>
      <c r="G109" s="1641">
        <f t="shared" si="4"/>
        <v>26222</v>
      </c>
      <c r="H109" s="1641">
        <f t="shared" si="4"/>
        <v>6228</v>
      </c>
      <c r="I109" s="1641">
        <f t="shared" si="4"/>
        <v>14505</v>
      </c>
      <c r="J109" s="1641">
        <f t="shared" si="4"/>
        <v>28821</v>
      </c>
      <c r="K109" s="1629">
        <f t="shared" si="4"/>
        <v>14015</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101858</v>
      </c>
      <c r="D117" s="1586"/>
      <c r="E117" s="1573"/>
      <c r="F117" s="1586">
        <v>10000</v>
      </c>
      <c r="G117" s="1586">
        <v>44000</v>
      </c>
      <c r="H117" s="1573"/>
      <c r="I117" s="1575"/>
      <c r="J117" s="1574">
        <v>4000</v>
      </c>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101858</v>
      </c>
      <c r="D122" s="1633">
        <f t="shared" si="5"/>
        <v>0</v>
      </c>
      <c r="E122" s="1633">
        <f t="shared" si="5"/>
        <v>0</v>
      </c>
      <c r="F122" s="1633">
        <f t="shared" si="5"/>
        <v>10000</v>
      </c>
      <c r="G122" s="1633">
        <f t="shared" si="5"/>
        <v>44000</v>
      </c>
      <c r="H122" s="1633">
        <f t="shared" si="5"/>
        <v>0</v>
      </c>
      <c r="I122" s="1575"/>
      <c r="J122" s="1633">
        <f>SUM(J117:J121)</f>
        <v>4000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29034</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29034</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511</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29189</v>
      </c>
      <c r="G152" s="1574"/>
      <c r="H152" s="1575"/>
      <c r="I152" s="1575"/>
      <c r="J152" s="1575"/>
      <c r="K152" s="1575"/>
    </row>
    <row r="153" spans="1:11" ht="12.75" customHeight="1" x14ac:dyDescent="0.2">
      <c r="A153" s="427" t="s">
        <v>1048</v>
      </c>
      <c r="B153" s="478">
        <v>3510</v>
      </c>
      <c r="C153" s="1632"/>
      <c r="D153" s="1573"/>
      <c r="E153" s="1640"/>
      <c r="F153" s="1573">
        <v>8425</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37614</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32500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79" t="s">
        <v>395</v>
      </c>
      <c r="B169" s="2280"/>
      <c r="C169" s="1658">
        <f t="shared" ref="C169:K169" si="6">SUM(C132,C141,C145,C146:C150,C155,C156:C167,C168)</f>
        <v>29545</v>
      </c>
      <c r="D169" s="1658">
        <f t="shared" si="6"/>
        <v>32500</v>
      </c>
      <c r="E169" s="1658">
        <f t="shared" si="6"/>
        <v>0</v>
      </c>
      <c r="F169" s="1658">
        <f t="shared" si="6"/>
        <v>37614</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131403</v>
      </c>
      <c r="D170" s="1641">
        <f t="shared" si="7"/>
        <v>32500</v>
      </c>
      <c r="E170" s="1641">
        <f t="shared" si="7"/>
        <v>0</v>
      </c>
      <c r="F170" s="1641">
        <f t="shared" si="7"/>
        <v>47614</v>
      </c>
      <c r="G170" s="1641">
        <f t="shared" si="7"/>
        <v>44000</v>
      </c>
      <c r="H170" s="1641">
        <f t="shared" si="7"/>
        <v>0</v>
      </c>
      <c r="I170" s="1641">
        <f t="shared" si="7"/>
        <v>0</v>
      </c>
      <c r="J170" s="1641">
        <f t="shared" si="7"/>
        <v>4000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81" t="s">
        <v>1475</v>
      </c>
      <c r="B172" s="228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85" t="s">
        <v>1646</v>
      </c>
      <c r="B175" s="228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89" t="s">
        <v>1645</v>
      </c>
      <c r="B176" s="229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87" t="s">
        <v>780</v>
      </c>
      <c r="B181" s="228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83" t="s">
        <v>1780</v>
      </c>
      <c r="B182" s="228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11756</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11756</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19396</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7898</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27294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19056</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19056</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10000</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10000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1963</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30579</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32542</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2574</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103222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103222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1195564</v>
      </c>
      <c r="D268" s="1641">
        <f t="shared" si="12"/>
        <v>210704</v>
      </c>
      <c r="E268" s="1641">
        <f t="shared" si="12"/>
        <v>49522</v>
      </c>
      <c r="F268" s="1641">
        <f t="shared" si="12"/>
        <v>84620</v>
      </c>
      <c r="G268" s="1641">
        <f t="shared" si="12"/>
        <v>70222</v>
      </c>
      <c r="H268" s="1641">
        <f t="shared" si="12"/>
        <v>6228</v>
      </c>
      <c r="I268" s="1641">
        <f t="shared" si="12"/>
        <v>14505</v>
      </c>
      <c r="J268" s="1641">
        <f t="shared" si="12"/>
        <v>32821</v>
      </c>
      <c r="K268" s="1629">
        <f t="shared" si="12"/>
        <v>14015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0.5" right="0.25" top="1.35" bottom="0.5" header="1" footer="0.25"/>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zoomScaleSheetLayoutView="130" workbookViewId="0">
      <pane ySplit="2" topLeftCell="A155" activePane="bottomLeft" state="frozen"/>
      <selection pane="bottomLeft" activeCell="C161" sqref="C16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9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99" t="s">
        <v>294</v>
      </c>
      <c r="B3" s="230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485695</v>
      </c>
      <c r="D5" s="1573">
        <v>80615</v>
      </c>
      <c r="E5" s="1573">
        <f>39661+540</f>
        <v>40201</v>
      </c>
      <c r="F5" s="1573">
        <f>23045-3</f>
        <v>23042</v>
      </c>
      <c r="G5" s="1573"/>
      <c r="H5" s="1573"/>
      <c r="I5" s="1574"/>
      <c r="J5" s="1574"/>
      <c r="K5" s="1672">
        <f>SUM(C5:J5)</f>
        <v>629553</v>
      </c>
      <c r="L5" s="1573">
        <v>625500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48245</v>
      </c>
      <c r="D8" s="1573">
        <v>1192</v>
      </c>
      <c r="E8" s="1573"/>
      <c r="F8" s="1573">
        <v>7015</v>
      </c>
      <c r="G8" s="1573"/>
      <c r="H8" s="1573"/>
      <c r="I8" s="1574"/>
      <c r="J8" s="1574"/>
      <c r="K8" s="1672">
        <f t="shared" si="0"/>
        <v>56452</v>
      </c>
      <c r="L8" s="1573">
        <v>58000</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5500</v>
      </c>
      <c r="D10" s="1573">
        <v>2252</v>
      </c>
      <c r="E10" s="1573">
        <v>11244</v>
      </c>
      <c r="F10" s="1573">
        <v>1245</v>
      </c>
      <c r="G10" s="1573">
        <v>4233</v>
      </c>
      <c r="H10" s="1573"/>
      <c r="I10" s="1574"/>
      <c r="J10" s="1574"/>
      <c r="K10" s="1672">
        <f t="shared" si="0"/>
        <v>24474</v>
      </c>
      <c r="L10" s="1573">
        <v>35080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c r="D14" s="1573"/>
      <c r="E14" s="1573">
        <v>732</v>
      </c>
      <c r="F14" s="1573"/>
      <c r="G14" s="1573"/>
      <c r="H14" s="1573"/>
      <c r="I14" s="1574"/>
      <c r="J14" s="1574"/>
      <c r="K14" s="1672">
        <f t="shared" si="0"/>
        <v>732</v>
      </c>
      <c r="L14" s="1573">
        <v>4000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539440</v>
      </c>
      <c r="D33" s="1674">
        <f t="shared" ref="D33:L33" si="1">SUM(D5:D32)</f>
        <v>84059</v>
      </c>
      <c r="E33" s="1674">
        <f t="shared" si="1"/>
        <v>52177</v>
      </c>
      <c r="F33" s="1674">
        <f t="shared" si="1"/>
        <v>31302</v>
      </c>
      <c r="G33" s="1674">
        <f t="shared" si="1"/>
        <v>4233</v>
      </c>
      <c r="H33" s="1674">
        <f t="shared" si="1"/>
        <v>0</v>
      </c>
      <c r="I33" s="1674">
        <f t="shared" si="1"/>
        <v>0</v>
      </c>
      <c r="J33" s="1674">
        <f t="shared" si="1"/>
        <v>0</v>
      </c>
      <c r="K33" s="1674">
        <f t="shared" si="1"/>
        <v>711211</v>
      </c>
      <c r="L33" s="1674">
        <f t="shared" si="1"/>
        <v>722580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v>3000</v>
      </c>
    </row>
    <row r="40" spans="1:14" x14ac:dyDescent="0.2">
      <c r="A40" s="1274" t="s">
        <v>198</v>
      </c>
      <c r="B40" s="503">
        <v>2150</v>
      </c>
      <c r="C40" s="1573"/>
      <c r="D40" s="1573"/>
      <c r="E40" s="1573">
        <v>8477</v>
      </c>
      <c r="F40" s="1573"/>
      <c r="G40" s="1573"/>
      <c r="H40" s="1573"/>
      <c r="I40" s="1574"/>
      <c r="J40" s="1574"/>
      <c r="K40" s="1672">
        <f t="shared" si="2"/>
        <v>8477</v>
      </c>
      <c r="L40" s="1573">
        <v>10000</v>
      </c>
    </row>
    <row r="41" spans="1:14" x14ac:dyDescent="0.2">
      <c r="A41" s="1274" t="s">
        <v>1650</v>
      </c>
      <c r="B41" s="503">
        <v>2190</v>
      </c>
      <c r="C41" s="1573"/>
      <c r="D41" s="1573"/>
      <c r="E41" s="1573">
        <v>12055</v>
      </c>
      <c r="F41" s="1573"/>
      <c r="G41" s="1573"/>
      <c r="H41" s="1573"/>
      <c r="I41" s="1574"/>
      <c r="J41" s="1574"/>
      <c r="K41" s="1672">
        <f t="shared" si="2"/>
        <v>12055</v>
      </c>
      <c r="L41" s="1573">
        <v>4000</v>
      </c>
    </row>
    <row r="42" spans="1:14" ht="12.75" customHeight="1" thickBot="1" x14ac:dyDescent="0.25">
      <c r="A42" s="1380" t="s">
        <v>556</v>
      </c>
      <c r="B42" s="1381" t="s">
        <v>711</v>
      </c>
      <c r="C42" s="1674">
        <f>SUM(C36:C41)</f>
        <v>0</v>
      </c>
      <c r="D42" s="1674">
        <f t="shared" ref="D42:L42" si="3">SUM(D36:D41)</f>
        <v>0</v>
      </c>
      <c r="E42" s="1674">
        <f t="shared" si="3"/>
        <v>20532</v>
      </c>
      <c r="F42" s="1674">
        <f t="shared" si="3"/>
        <v>0</v>
      </c>
      <c r="G42" s="1674">
        <f t="shared" si="3"/>
        <v>0</v>
      </c>
      <c r="H42" s="1674">
        <f t="shared" si="3"/>
        <v>0</v>
      </c>
      <c r="I42" s="1674">
        <f t="shared" si="3"/>
        <v>0</v>
      </c>
      <c r="J42" s="1674">
        <f t="shared" si="3"/>
        <v>0</v>
      </c>
      <c r="K42" s="1674">
        <f t="shared" si="3"/>
        <v>20532</v>
      </c>
      <c r="L42" s="1674">
        <f t="shared" si="3"/>
        <v>17000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v>800</v>
      </c>
      <c r="E44" s="1586">
        <v>3634</v>
      </c>
      <c r="F44" s="1586">
        <v>10141</v>
      </c>
      <c r="G44" s="1586"/>
      <c r="H44" s="1586"/>
      <c r="I44" s="1574"/>
      <c r="J44" s="1574"/>
      <c r="K44" s="1678">
        <f>SUM(C44:J44)</f>
        <v>14575</v>
      </c>
      <c r="L44" s="1586">
        <v>14800</v>
      </c>
    </row>
    <row r="45" spans="1:14" x14ac:dyDescent="0.2">
      <c r="A45" s="1274" t="s">
        <v>810</v>
      </c>
      <c r="B45" s="503">
        <v>2220</v>
      </c>
      <c r="C45" s="1573"/>
      <c r="D45" s="1573"/>
      <c r="E45" s="1573"/>
      <c r="F45" s="1573">
        <v>723</v>
      </c>
      <c r="G45" s="1573"/>
      <c r="H45" s="1573"/>
      <c r="I45" s="1574"/>
      <c r="J45" s="1574"/>
      <c r="K45" s="1678">
        <f>SUM(C45:J45)</f>
        <v>723</v>
      </c>
      <c r="L45" s="1573">
        <v>3000</v>
      </c>
    </row>
    <row r="46" spans="1:14" x14ac:dyDescent="0.2">
      <c r="A46" s="1274" t="s">
        <v>811</v>
      </c>
      <c r="B46" s="503">
        <v>2230</v>
      </c>
      <c r="C46" s="1573"/>
      <c r="D46" s="1573"/>
      <c r="E46" s="1573">
        <v>2400</v>
      </c>
      <c r="F46" s="1573"/>
      <c r="G46" s="1573"/>
      <c r="H46" s="1573"/>
      <c r="I46" s="1574"/>
      <c r="J46" s="1574"/>
      <c r="K46" s="1678">
        <f>SUM(C46:J46)</f>
        <v>2400</v>
      </c>
      <c r="L46" s="1573">
        <v>2800</v>
      </c>
    </row>
    <row r="47" spans="1:14" ht="12.75" customHeight="1" thickBot="1" x14ac:dyDescent="0.25">
      <c r="A47" s="1380" t="s">
        <v>557</v>
      </c>
      <c r="B47" s="1381" t="s">
        <v>32</v>
      </c>
      <c r="C47" s="1674">
        <f>SUM(C44:C46)</f>
        <v>0</v>
      </c>
      <c r="D47" s="1674">
        <f t="shared" ref="D47:K47" si="4">SUM(D44:D46)</f>
        <v>800</v>
      </c>
      <c r="E47" s="1674">
        <f t="shared" si="4"/>
        <v>6034</v>
      </c>
      <c r="F47" s="1674">
        <f t="shared" si="4"/>
        <v>10864</v>
      </c>
      <c r="G47" s="1674">
        <f t="shared" si="4"/>
        <v>0</v>
      </c>
      <c r="H47" s="1674">
        <f t="shared" si="4"/>
        <v>0</v>
      </c>
      <c r="I47" s="1674">
        <f t="shared" si="4"/>
        <v>0</v>
      </c>
      <c r="J47" s="1674">
        <f t="shared" si="4"/>
        <v>0</v>
      </c>
      <c r="K47" s="1674">
        <f t="shared" si="4"/>
        <v>17698</v>
      </c>
      <c r="L47" s="1674">
        <f>SUM(L44:L46)</f>
        <v>20600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1800</v>
      </c>
      <c r="D49" s="1586"/>
      <c r="E49" s="1586">
        <v>14858</v>
      </c>
      <c r="F49" s="1586">
        <v>79</v>
      </c>
      <c r="G49" s="1586"/>
      <c r="H49" s="1586"/>
      <c r="I49" s="1574"/>
      <c r="J49" s="1574"/>
      <c r="K49" s="1678">
        <f>SUM(C49:J49)</f>
        <v>16737</v>
      </c>
      <c r="L49" s="1586">
        <v>8800</v>
      </c>
    </row>
    <row r="50" spans="1:14" x14ac:dyDescent="0.2">
      <c r="A50" s="1274" t="s">
        <v>813</v>
      </c>
      <c r="B50" s="503">
        <v>2320</v>
      </c>
      <c r="C50" s="1573">
        <v>82900</v>
      </c>
      <c r="D50" s="1573">
        <v>10502</v>
      </c>
      <c r="E50" s="1573">
        <v>2876</v>
      </c>
      <c r="F50" s="1573">
        <v>239</v>
      </c>
      <c r="G50" s="1573"/>
      <c r="H50" s="1573"/>
      <c r="I50" s="1574"/>
      <c r="J50" s="1574"/>
      <c r="K50" s="1678">
        <f>SUM(C50:J50)</f>
        <v>96517</v>
      </c>
      <c r="L50" s="1573">
        <v>98500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84700</v>
      </c>
      <c r="D53" s="1674">
        <f t="shared" ref="D53:L53" si="5">SUM(D49:D52)</f>
        <v>10502</v>
      </c>
      <c r="E53" s="1674">
        <f t="shared" si="5"/>
        <v>17734</v>
      </c>
      <c r="F53" s="1674">
        <f t="shared" si="5"/>
        <v>318</v>
      </c>
      <c r="G53" s="1674">
        <f t="shared" si="5"/>
        <v>0</v>
      </c>
      <c r="H53" s="1674">
        <f t="shared" si="5"/>
        <v>0</v>
      </c>
      <c r="I53" s="1674">
        <f t="shared" si="5"/>
        <v>0</v>
      </c>
      <c r="J53" s="1674">
        <f t="shared" si="5"/>
        <v>0</v>
      </c>
      <c r="K53" s="1674">
        <f t="shared" si="5"/>
        <v>113254</v>
      </c>
      <c r="L53" s="1674">
        <f t="shared" si="5"/>
        <v>107300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48346</v>
      </c>
      <c r="D60" s="1573"/>
      <c r="E60" s="1573">
        <v>2169</v>
      </c>
      <c r="F60" s="1573">
        <v>791</v>
      </c>
      <c r="G60" s="1573"/>
      <c r="H60" s="1573"/>
      <c r="I60" s="1574"/>
      <c r="J60" s="1574"/>
      <c r="K60" s="1678">
        <f t="shared" si="7"/>
        <v>51306</v>
      </c>
      <c r="L60" s="1573">
        <v>73500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20594</v>
      </c>
      <c r="D63" s="1573"/>
      <c r="E63" s="1573">
        <v>33066</v>
      </c>
      <c r="F63" s="1573">
        <v>9585</v>
      </c>
      <c r="G63" s="1573">
        <v>1707</v>
      </c>
      <c r="H63" s="1573"/>
      <c r="I63" s="1574"/>
      <c r="J63" s="1574"/>
      <c r="K63" s="1678">
        <f t="shared" si="7"/>
        <v>64952</v>
      </c>
      <c r="L63" s="1573">
        <v>79000</v>
      </c>
    </row>
    <row r="64" spans="1:14" s="501" customFormat="1" x14ac:dyDescent="0.2">
      <c r="A64" s="1279" t="s">
        <v>101</v>
      </c>
      <c r="B64" s="513">
        <v>2570</v>
      </c>
      <c r="C64" s="1586"/>
      <c r="D64" s="1586"/>
      <c r="E64" s="1586">
        <v>1409</v>
      </c>
      <c r="F64" s="1586"/>
      <c r="G64" s="1586"/>
      <c r="H64" s="1586"/>
      <c r="I64" s="1574"/>
      <c r="J64" s="1574"/>
      <c r="K64" s="1678">
        <f t="shared" si="7"/>
        <v>1409</v>
      </c>
      <c r="L64" s="1586">
        <v>5500</v>
      </c>
    </row>
    <row r="65" spans="1:14" s="321" customFormat="1" ht="12.75" customHeight="1" thickBot="1" x14ac:dyDescent="0.25">
      <c r="A65" s="1380" t="s">
        <v>714</v>
      </c>
      <c r="B65" s="1381" t="s">
        <v>35</v>
      </c>
      <c r="C65" s="1674">
        <f>SUM(C59:C64)</f>
        <v>68940</v>
      </c>
      <c r="D65" s="1674">
        <f t="shared" ref="D65:L65" si="8">SUM(D59:D64)</f>
        <v>0</v>
      </c>
      <c r="E65" s="1674">
        <f t="shared" si="8"/>
        <v>36644</v>
      </c>
      <c r="F65" s="1674">
        <f t="shared" si="8"/>
        <v>10376</v>
      </c>
      <c r="G65" s="1674">
        <f t="shared" si="8"/>
        <v>1707</v>
      </c>
      <c r="H65" s="1674">
        <f t="shared" si="8"/>
        <v>0</v>
      </c>
      <c r="I65" s="1674">
        <f t="shared" si="8"/>
        <v>0</v>
      </c>
      <c r="J65" s="1674">
        <f t="shared" si="8"/>
        <v>0</v>
      </c>
      <c r="K65" s="1674">
        <f t="shared" si="8"/>
        <v>117667</v>
      </c>
      <c r="L65" s="1674">
        <f t="shared" si="8"/>
        <v>158000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153640</v>
      </c>
      <c r="D74" s="1681">
        <f t="shared" ref="D74:K74" si="10">SUM(D42,D47,D53,D57,D65,D72,D73)</f>
        <v>11302</v>
      </c>
      <c r="E74" s="1681">
        <f t="shared" si="10"/>
        <v>80944</v>
      </c>
      <c r="F74" s="1681">
        <f t="shared" si="10"/>
        <v>21558</v>
      </c>
      <c r="G74" s="1681">
        <f t="shared" si="10"/>
        <v>1707</v>
      </c>
      <c r="H74" s="1681">
        <f t="shared" si="10"/>
        <v>0</v>
      </c>
      <c r="I74" s="1681">
        <f t="shared" si="10"/>
        <v>0</v>
      </c>
      <c r="J74" s="1681">
        <f t="shared" si="10"/>
        <v>0</v>
      </c>
      <c r="K74" s="1681">
        <f t="shared" si="10"/>
        <v>269151</v>
      </c>
      <c r="L74" s="1681">
        <f>SUM(L42,L47,L53,L57,L65,L72,L73)</f>
        <v>302900</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80000</v>
      </c>
    </row>
    <row r="79" spans="1:14" x14ac:dyDescent="0.2">
      <c r="A79" s="1274" t="s">
        <v>301</v>
      </c>
      <c r="B79" s="503">
        <v>4120</v>
      </c>
      <c r="C79" s="1673"/>
      <c r="D79" s="1673"/>
      <c r="E79" s="1573"/>
      <c r="F79" s="1673"/>
      <c r="G79" s="1673"/>
      <c r="H79" s="1573">
        <v>79446</v>
      </c>
      <c r="I79" s="1582"/>
      <c r="J79" s="1582"/>
      <c r="K79" s="1672">
        <f t="shared" si="11"/>
        <v>79446</v>
      </c>
      <c r="L79" s="1573">
        <v>40000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79446</v>
      </c>
      <c r="I84" s="1582"/>
      <c r="J84" s="1582"/>
      <c r="K84" s="1674">
        <f>SUM(K78:K83)</f>
        <v>79446</v>
      </c>
      <c r="L84" s="1674">
        <f>SUM(L78:L83)</f>
        <v>120000</v>
      </c>
    </row>
    <row r="85" spans="1:12" ht="12.75" customHeight="1" thickTop="1" thickBot="1" x14ac:dyDescent="0.25">
      <c r="A85" s="1281" t="s">
        <v>253</v>
      </c>
      <c r="B85" s="517">
        <v>4210</v>
      </c>
      <c r="C85" s="1673"/>
      <c r="D85" s="1673"/>
      <c r="E85" s="1683"/>
      <c r="F85" s="1673"/>
      <c r="G85" s="1673"/>
      <c r="H85" s="1630"/>
      <c r="I85" s="1582"/>
      <c r="J85" s="1582"/>
      <c r="K85" s="1681">
        <f>H85</f>
        <v>0</v>
      </c>
      <c r="L85" s="1626">
        <v>15000</v>
      </c>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15000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79446</v>
      </c>
      <c r="I102" s="1582"/>
      <c r="J102" s="1582"/>
      <c r="K102" s="1681">
        <f>SUM(K84,K92,K100,K101)</f>
        <v>79446</v>
      </c>
      <c r="L102" s="1681">
        <f>SUM(L84,L92,L100,L101)</f>
        <v>135000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10000</v>
      </c>
      <c r="M113" s="502"/>
      <c r="N113" s="502"/>
    </row>
    <row r="114" spans="1:14" ht="12.75" customHeight="1" thickTop="1" thickBot="1" x14ac:dyDescent="0.25">
      <c r="A114" s="1380" t="s">
        <v>48</v>
      </c>
      <c r="B114" s="1388"/>
      <c r="C114" s="1674">
        <f>SUM(C33,C74,C75,C102,C112,C113)</f>
        <v>693080</v>
      </c>
      <c r="D114" s="1674">
        <f t="shared" ref="D114:K114" si="13">SUM(D33,D74,D75,D102,D112,D113)</f>
        <v>95361</v>
      </c>
      <c r="E114" s="1674">
        <f t="shared" si="13"/>
        <v>133121</v>
      </c>
      <c r="F114" s="1674">
        <f t="shared" si="13"/>
        <v>52860</v>
      </c>
      <c r="G114" s="1674">
        <f t="shared" si="13"/>
        <v>5940</v>
      </c>
      <c r="H114" s="1674">
        <f>SUM(H33,H74,H75,H102,H112,H113)</f>
        <v>79446</v>
      </c>
      <c r="I114" s="1674">
        <f t="shared" si="13"/>
        <v>0</v>
      </c>
      <c r="J114" s="1674">
        <f t="shared" si="13"/>
        <v>0</v>
      </c>
      <c r="K114" s="1674">
        <f t="shared" si="13"/>
        <v>1059808</v>
      </c>
      <c r="L114" s="1674">
        <f>SUM(L33,L74,L75,L102,L112,L113)</f>
        <v>1170480</v>
      </c>
    </row>
    <row r="115" spans="1:14" ht="13.5" thickTop="1" x14ac:dyDescent="0.2">
      <c r="A115" s="2291" t="s">
        <v>989</v>
      </c>
      <c r="B115" s="2292"/>
      <c r="C115" s="1675"/>
      <c r="D115" s="1675"/>
      <c r="E115" s="1675"/>
      <c r="F115" s="1675"/>
      <c r="G115" s="1675"/>
      <c r="H115" s="1675"/>
      <c r="I115" s="1675"/>
      <c r="J115" s="1675"/>
      <c r="K115" s="1689">
        <f>'Revenues 9-14'!C268-'Expenditures 15-22'!K114</f>
        <v>135756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96" t="s">
        <v>293</v>
      </c>
      <c r="B117" s="229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55191</v>
      </c>
      <c r="D124" s="1573">
        <v>4500</v>
      </c>
      <c r="E124" s="1573">
        <v>21024</v>
      </c>
      <c r="F124" s="1573">
        <f>29396+2</f>
        <v>29398</v>
      </c>
      <c r="G124" s="1573">
        <v>17501</v>
      </c>
      <c r="H124" s="1573"/>
      <c r="I124" s="1574"/>
      <c r="J124" s="1574"/>
      <c r="K124" s="1674">
        <f>SUM(C124:J124)</f>
        <v>127614</v>
      </c>
      <c r="L124" s="1573">
        <v>168500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55191</v>
      </c>
      <c r="D127" s="1674">
        <f t="shared" ref="D127:L127" si="14">SUM(D122:D126)</f>
        <v>4500</v>
      </c>
      <c r="E127" s="1674">
        <f t="shared" si="14"/>
        <v>21024</v>
      </c>
      <c r="F127" s="1674">
        <f t="shared" si="14"/>
        <v>29398</v>
      </c>
      <c r="G127" s="1674">
        <f t="shared" si="14"/>
        <v>17501</v>
      </c>
      <c r="H127" s="1674">
        <f t="shared" si="14"/>
        <v>0</v>
      </c>
      <c r="I127" s="1674">
        <f t="shared" si="14"/>
        <v>0</v>
      </c>
      <c r="J127" s="1674">
        <f t="shared" si="14"/>
        <v>0</v>
      </c>
      <c r="K127" s="1674">
        <f t="shared" si="14"/>
        <v>127614</v>
      </c>
      <c r="L127" s="1674">
        <f t="shared" si="14"/>
        <v>168500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55191</v>
      </c>
      <c r="D129" s="1681">
        <f t="shared" ref="D129:L129" si="15">SUM(D120,D127,D128)</f>
        <v>4500</v>
      </c>
      <c r="E129" s="1681">
        <f t="shared" si="15"/>
        <v>21024</v>
      </c>
      <c r="F129" s="1681">
        <f t="shared" si="15"/>
        <v>29398</v>
      </c>
      <c r="G129" s="1681">
        <f t="shared" si="15"/>
        <v>17501</v>
      </c>
      <c r="H129" s="1681">
        <f t="shared" si="15"/>
        <v>0</v>
      </c>
      <c r="I129" s="1681">
        <f t="shared" si="15"/>
        <v>0</v>
      </c>
      <c r="J129" s="1681">
        <f t="shared" si="15"/>
        <v>0</v>
      </c>
      <c r="K129" s="1681">
        <f t="shared" si="15"/>
        <v>127614</v>
      </c>
      <c r="L129" s="1681">
        <f t="shared" si="15"/>
        <v>168500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10000</v>
      </c>
    </row>
    <row r="151" spans="1:14" ht="12.75" customHeight="1" thickTop="1" thickBot="1" x14ac:dyDescent="0.25">
      <c r="A151" s="2308" t="s">
        <v>616</v>
      </c>
      <c r="B151" s="2288"/>
      <c r="C151" s="1674">
        <f>SUM(C129,C130,C139,C149,C150)</f>
        <v>55191</v>
      </c>
      <c r="D151" s="1674">
        <f t="shared" ref="D151:K151" si="16">SUM(D129,D130,D139,D149,D150)</f>
        <v>4500</v>
      </c>
      <c r="E151" s="1674">
        <f t="shared" si="16"/>
        <v>21024</v>
      </c>
      <c r="F151" s="1674">
        <f t="shared" si="16"/>
        <v>29398</v>
      </c>
      <c r="G151" s="1674">
        <f t="shared" si="16"/>
        <v>17501</v>
      </c>
      <c r="H151" s="1674">
        <f t="shared" si="16"/>
        <v>0</v>
      </c>
      <c r="I151" s="1674">
        <f t="shared" si="16"/>
        <v>0</v>
      </c>
      <c r="J151" s="1674">
        <f t="shared" si="16"/>
        <v>0</v>
      </c>
      <c r="K151" s="1674">
        <f t="shared" si="16"/>
        <v>127614</v>
      </c>
      <c r="L151" s="1674">
        <f>SUM(L129,L130,L139,L149,L150)</f>
        <v>178500</v>
      </c>
    </row>
    <row r="152" spans="1:14" ht="12.75" customHeight="1" thickTop="1" x14ac:dyDescent="0.2">
      <c r="A152" s="2311" t="s">
        <v>1168</v>
      </c>
      <c r="B152" s="2312"/>
      <c r="C152" s="1675"/>
      <c r="D152" s="1675"/>
      <c r="E152" s="1675"/>
      <c r="F152" s="1675"/>
      <c r="G152" s="1675"/>
      <c r="H152" s="1675"/>
      <c r="I152" s="1675"/>
      <c r="J152" s="1673"/>
      <c r="K152" s="1689">
        <f>'Revenues 9-14'!D268-'Expenditures 15-22'!K151</f>
        <v>83090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96" t="s">
        <v>617</v>
      </c>
      <c r="B154" s="229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11988</v>
      </c>
      <c r="I169" s="1673"/>
      <c r="J169" s="1673"/>
      <c r="K169" s="1672">
        <f>SUM(C169:H169)</f>
        <v>11988</v>
      </c>
      <c r="L169" s="1695">
        <v>12000</v>
      </c>
    </row>
    <row r="170" spans="1:14" ht="33.75" customHeight="1" x14ac:dyDescent="0.2">
      <c r="A170" s="543" t="s">
        <v>1651</v>
      </c>
      <c r="B170" s="545" t="s">
        <v>31</v>
      </c>
      <c r="C170" s="1673"/>
      <c r="D170" s="1673"/>
      <c r="E170" s="1673"/>
      <c r="F170" s="1673"/>
      <c r="G170" s="1673"/>
      <c r="H170" s="1646">
        <v>19000</v>
      </c>
      <c r="I170" s="1673"/>
      <c r="J170" s="1673"/>
      <c r="K170" s="1672">
        <f>SUM(C170:J170)</f>
        <v>19000</v>
      </c>
      <c r="L170" s="1646">
        <v>19000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row>
    <row r="172" spans="1:14" ht="12.75" customHeight="1" thickBot="1" x14ac:dyDescent="0.25">
      <c r="A172" s="1380" t="s">
        <v>633</v>
      </c>
      <c r="B172" s="1381" t="s">
        <v>489</v>
      </c>
      <c r="C172" s="1673"/>
      <c r="D172" s="1673"/>
      <c r="E172" s="1681">
        <f>SUM(E168,E169,E170,E171)</f>
        <v>0</v>
      </c>
      <c r="F172" s="1673"/>
      <c r="G172" s="1673"/>
      <c r="H172" s="1681">
        <f>SUM(H168,H169,H170,H171)</f>
        <v>31488</v>
      </c>
      <c r="I172" s="1684"/>
      <c r="J172" s="1673"/>
      <c r="K172" s="1681">
        <f>SUM(K168,K169,K170,K171)</f>
        <v>31488</v>
      </c>
      <c r="L172" s="1681">
        <f>SUM(L168,L169,L170,L171)</f>
        <v>31000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31488</v>
      </c>
      <c r="I174" s="1684"/>
      <c r="J174" s="1673"/>
      <c r="K174" s="1681">
        <f>SUM(K160,K172,K173)</f>
        <v>31488</v>
      </c>
      <c r="L174" s="1681">
        <f>SUM(L160,L172,L173)</f>
        <v>31000</v>
      </c>
    </row>
    <row r="175" spans="1:14" ht="13.5" thickTop="1" x14ac:dyDescent="0.2">
      <c r="A175" s="2291" t="s">
        <v>989</v>
      </c>
      <c r="B175" s="2292"/>
      <c r="C175" s="1673"/>
      <c r="D175" s="1673"/>
      <c r="E175" s="1673"/>
      <c r="F175" s="1673"/>
      <c r="G175" s="1673"/>
      <c r="H175" s="1675"/>
      <c r="I175" s="1673"/>
      <c r="J175" s="1673"/>
      <c r="K175" s="1689">
        <f>'Revenues 9-14'!E268-'Expenditures 15-22'!K174</f>
        <v>18034</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41185</v>
      </c>
      <c r="D182" s="1573">
        <v>1238</v>
      </c>
      <c r="E182" s="1573">
        <v>28779</v>
      </c>
      <c r="F182" s="1573">
        <f>8464+1</f>
        <v>8465</v>
      </c>
      <c r="G182" s="1573">
        <v>38335</v>
      </c>
      <c r="H182" s="1573"/>
      <c r="I182" s="1574"/>
      <c r="J182" s="1574"/>
      <c r="K182" s="1672">
        <f>SUM(C182:J182)</f>
        <v>118002</v>
      </c>
      <c r="L182" s="1573">
        <v>137500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41185</v>
      </c>
      <c r="D184" s="1681">
        <f t="shared" ref="D184:J184" si="17">SUM(D180,D182,D183)</f>
        <v>1238</v>
      </c>
      <c r="E184" s="1681">
        <f t="shared" si="17"/>
        <v>28779</v>
      </c>
      <c r="F184" s="1681">
        <f t="shared" si="17"/>
        <v>8465</v>
      </c>
      <c r="G184" s="1681">
        <f t="shared" si="17"/>
        <v>38335</v>
      </c>
      <c r="H184" s="1681">
        <f t="shared" si="17"/>
        <v>0</v>
      </c>
      <c r="I184" s="1681">
        <f t="shared" si="17"/>
        <v>0</v>
      </c>
      <c r="J184" s="1681">
        <f t="shared" si="17"/>
        <v>0</v>
      </c>
      <c r="K184" s="1681">
        <f>SUM(K180,K182,K183)</f>
        <v>118002</v>
      </c>
      <c r="L184" s="1681">
        <f>SUM(L180, L182:L183)</f>
        <v>137500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41185</v>
      </c>
      <c r="D210" s="1674">
        <f>SUM(D184,D185)</f>
        <v>1238</v>
      </c>
      <c r="E210" s="1674">
        <f>SUM(E184,E185,E196)</f>
        <v>28779</v>
      </c>
      <c r="F210" s="1674">
        <f>SUM(F184,F185)</f>
        <v>8465</v>
      </c>
      <c r="G210" s="1674">
        <f>SUM(G184,G185)</f>
        <v>38335</v>
      </c>
      <c r="H210" s="1674">
        <f>SUM(H184,H185,H196,H208,H209)</f>
        <v>0</v>
      </c>
      <c r="I210" s="1674">
        <f>SUM(I184,I185)</f>
        <v>0</v>
      </c>
      <c r="J210" s="1674">
        <f>SUM(J184,J185)</f>
        <v>0</v>
      </c>
      <c r="K210" s="1672">
        <f>SUM(K184,K185,K196,K208,K209)</f>
        <v>118002</v>
      </c>
      <c r="L210" s="1674">
        <f>SUM(L184,L185,L196,L208,L209)</f>
        <v>137500</v>
      </c>
    </row>
    <row r="211" spans="1:14" ht="13.5" thickTop="1" x14ac:dyDescent="0.2">
      <c r="A211" s="2291" t="s">
        <v>989</v>
      </c>
      <c r="B211" s="2292"/>
      <c r="C211" s="1675"/>
      <c r="D211" s="1675"/>
      <c r="E211" s="1675"/>
      <c r="F211" s="1675"/>
      <c r="G211" s="1675"/>
      <c r="H211" s="1675"/>
      <c r="I211" s="1673"/>
      <c r="J211" s="1673"/>
      <c r="K211" s="1689">
        <f>'Revenues 9-14'!F268-'Expenditures 15-22'!K210</f>
        <v>-33382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13" t="s">
        <v>959</v>
      </c>
      <c r="B213" s="231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7609</v>
      </c>
      <c r="E215" s="1673"/>
      <c r="F215" s="1673"/>
      <c r="G215" s="1673"/>
      <c r="H215" s="1673"/>
      <c r="I215" s="1673"/>
      <c r="J215" s="1673"/>
      <c r="K215" s="1672">
        <f>D215</f>
        <v>7609</v>
      </c>
      <c r="L215" s="1573">
        <v>8000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2934</v>
      </c>
      <c r="E217" s="1673"/>
      <c r="F217" s="1673"/>
      <c r="G217" s="1673"/>
      <c r="H217" s="1673"/>
      <c r="I217" s="1673"/>
      <c r="J217" s="1673"/>
      <c r="K217" s="1672">
        <f t="shared" si="19"/>
        <v>2934</v>
      </c>
      <c r="L217" s="1573">
        <v>4000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76</v>
      </c>
      <c r="E219" s="1673"/>
      <c r="F219" s="1673"/>
      <c r="G219" s="1673"/>
      <c r="H219" s="1673"/>
      <c r="I219" s="1673"/>
      <c r="J219" s="1673"/>
      <c r="K219" s="1672">
        <f t="shared" si="19"/>
        <v>76</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10619</v>
      </c>
      <c r="E229" s="1673"/>
      <c r="F229" s="1673"/>
      <c r="G229" s="1673"/>
      <c r="H229" s="1673"/>
      <c r="I229" s="1673"/>
      <c r="J229" s="1673"/>
      <c r="K229" s="1674">
        <f>SUM(K215:K228)</f>
        <v>10619</v>
      </c>
      <c r="L229" s="1674">
        <f>SUM(L215:L228)</f>
        <v>12000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86</v>
      </c>
      <c r="E245" s="1673"/>
      <c r="F245" s="1673"/>
      <c r="G245" s="1673"/>
      <c r="H245" s="1673"/>
      <c r="I245" s="1673"/>
      <c r="J245" s="1673"/>
      <c r="K245" s="1678">
        <f>D245</f>
        <v>86</v>
      </c>
      <c r="L245" s="1586">
        <v>350</v>
      </c>
    </row>
    <row r="246" spans="1:12" x14ac:dyDescent="0.2">
      <c r="A246" s="1274" t="s">
        <v>813</v>
      </c>
      <c r="B246" s="503">
        <v>2320</v>
      </c>
      <c r="C246" s="1673"/>
      <c r="D246" s="1573">
        <f>1180+29</f>
        <v>1209</v>
      </c>
      <c r="E246" s="1673"/>
      <c r="F246" s="1673"/>
      <c r="G246" s="1673"/>
      <c r="H246" s="1673"/>
      <c r="I246" s="1673"/>
      <c r="J246" s="1673"/>
      <c r="K246" s="1678">
        <f t="shared" ref="K246:K256" si="21">D246</f>
        <v>1209</v>
      </c>
      <c r="L246" s="1573">
        <v>1500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1295</v>
      </c>
      <c r="E257" s="1673"/>
      <c r="F257" s="1673"/>
      <c r="G257" s="1673"/>
      <c r="H257" s="1673"/>
      <c r="I257" s="1673"/>
      <c r="J257" s="1673"/>
      <c r="K257" s="1674">
        <f>SUM(K245:K256)</f>
        <v>1295</v>
      </c>
      <c r="L257" s="1674">
        <f>SUM(L245:L256)</f>
        <v>1850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5771</v>
      </c>
      <c r="E264" s="1673"/>
      <c r="F264" s="1673"/>
      <c r="G264" s="1673"/>
      <c r="H264" s="1673"/>
      <c r="I264" s="1673"/>
      <c r="J264" s="1673"/>
      <c r="K264" s="1678">
        <f t="shared" ref="K264:K269" si="22">D264</f>
        <v>5771</v>
      </c>
      <c r="L264" s="1573">
        <v>8000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8875</v>
      </c>
      <c r="E266" s="1673"/>
      <c r="F266" s="1673"/>
      <c r="G266" s="1673"/>
      <c r="H266" s="1673"/>
      <c r="I266" s="1673"/>
      <c r="J266" s="1673"/>
      <c r="K266" s="1678">
        <f t="shared" si="22"/>
        <v>8875</v>
      </c>
      <c r="L266" s="1573">
        <v>9000</v>
      </c>
    </row>
    <row r="267" spans="1:14" x14ac:dyDescent="0.2">
      <c r="A267" s="1274" t="s">
        <v>947</v>
      </c>
      <c r="B267" s="503">
        <v>2550</v>
      </c>
      <c r="C267" s="1673"/>
      <c r="D267" s="1573">
        <v>3953</v>
      </c>
      <c r="E267" s="1673"/>
      <c r="F267" s="1673"/>
      <c r="G267" s="1673"/>
      <c r="H267" s="1673"/>
      <c r="I267" s="1673"/>
      <c r="J267" s="1673"/>
      <c r="K267" s="1678">
        <f t="shared" si="22"/>
        <v>3953</v>
      </c>
      <c r="L267" s="1573"/>
    </row>
    <row r="268" spans="1:14" x14ac:dyDescent="0.2">
      <c r="A268" s="1274" t="s">
        <v>100</v>
      </c>
      <c r="B268" s="503">
        <v>2560</v>
      </c>
      <c r="C268" s="1673"/>
      <c r="D268" s="1573">
        <v>2943</v>
      </c>
      <c r="E268" s="1673"/>
      <c r="F268" s="1673"/>
      <c r="G268" s="1673"/>
      <c r="H268" s="1673"/>
      <c r="I268" s="1673"/>
      <c r="J268" s="1673"/>
      <c r="K268" s="1678">
        <f t="shared" si="22"/>
        <v>2943</v>
      </c>
      <c r="L268" s="1573">
        <v>4000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21542</v>
      </c>
      <c r="E270" s="1673"/>
      <c r="F270" s="1673"/>
      <c r="G270" s="1673"/>
      <c r="H270" s="1673"/>
      <c r="I270" s="1673"/>
      <c r="J270" s="1673"/>
      <c r="K270" s="1674">
        <f>SUM(K263:K269)</f>
        <v>21542</v>
      </c>
      <c r="L270" s="1674">
        <f>SUM(L263:L269)</f>
        <v>21000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22837</v>
      </c>
      <c r="E279" s="1673"/>
      <c r="F279" s="1673"/>
      <c r="G279" s="1673"/>
      <c r="H279" s="1673"/>
      <c r="I279" s="1673"/>
      <c r="J279" s="1673"/>
      <c r="K279" s="1681">
        <f>SUM(K238,K243,K257,K261,K270,K277,K278)</f>
        <v>22837</v>
      </c>
      <c r="L279" s="1681">
        <f>SUM(L238,L243,L257,L261,L270,L277,L278)</f>
        <v>22850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309" t="s">
        <v>502</v>
      </c>
      <c r="B295" s="2310"/>
      <c r="C295" s="1673"/>
      <c r="D295" s="1674">
        <f>SUM(D229,D279,D280,D285)</f>
        <v>33456</v>
      </c>
      <c r="E295" s="1673"/>
      <c r="F295" s="1673"/>
      <c r="G295" s="1673"/>
      <c r="H295" s="1674">
        <f>H293</f>
        <v>0</v>
      </c>
      <c r="I295" s="1673"/>
      <c r="J295" s="1673"/>
      <c r="K295" s="1674">
        <f>SUM(K229,K279,K280,K285,K293,K294)</f>
        <v>33456</v>
      </c>
      <c r="L295" s="1674">
        <f>SUM(L229,L279,L280,L285,L293,L294)</f>
        <v>34850</v>
      </c>
    </row>
    <row r="296" spans="1:14" ht="13.5" thickTop="1" x14ac:dyDescent="0.2">
      <c r="A296" s="2291" t="s">
        <v>989</v>
      </c>
      <c r="B296" s="2292"/>
      <c r="C296" s="1673"/>
      <c r="D296" s="1675"/>
      <c r="E296" s="1673"/>
      <c r="F296" s="1673"/>
      <c r="G296" s="1673"/>
      <c r="H296" s="1707"/>
      <c r="I296" s="1673"/>
      <c r="J296" s="1673"/>
      <c r="K296" s="1689">
        <f>'Revenues 9-14'!G268-'Expenditures 15-22'!K295</f>
        <v>36766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01" t="s">
        <v>142</v>
      </c>
      <c r="B298" s="229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6228</v>
      </c>
      <c r="F301" s="1573"/>
      <c r="G301" s="1573"/>
      <c r="H301" s="1573"/>
      <c r="I301" s="1574"/>
      <c r="J301" s="1574"/>
      <c r="K301" s="1672">
        <f>SUM(C301:J301)</f>
        <v>6228</v>
      </c>
      <c r="L301" s="1574">
        <v>5000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6228</v>
      </c>
      <c r="F303" s="1681">
        <f t="shared" si="23"/>
        <v>0</v>
      </c>
      <c r="G303" s="1681">
        <f t="shared" si="23"/>
        <v>0</v>
      </c>
      <c r="H303" s="1681">
        <f t="shared" si="23"/>
        <v>0</v>
      </c>
      <c r="I303" s="1681">
        <f t="shared" si="23"/>
        <v>0</v>
      </c>
      <c r="J303" s="1681">
        <f t="shared" si="23"/>
        <v>0</v>
      </c>
      <c r="K303" s="1681">
        <f t="shared" si="23"/>
        <v>6228</v>
      </c>
      <c r="L303" s="1681">
        <f t="shared" si="23"/>
        <v>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10000</v>
      </c>
    </row>
    <row r="312" spans="1:14" s="548" customFormat="1" ht="12.75" customHeight="1" thickTop="1" thickBot="1" x14ac:dyDescent="0.25">
      <c r="A312" s="2306" t="s">
        <v>275</v>
      </c>
      <c r="B312" s="2307"/>
      <c r="C312" s="1674">
        <f>SUM(C303)</f>
        <v>0</v>
      </c>
      <c r="D312" s="1674">
        <f>SUM(D303)</f>
        <v>0</v>
      </c>
      <c r="E312" s="1674">
        <f>SUM(E303,E310)</f>
        <v>6228</v>
      </c>
      <c r="F312" s="1674">
        <f>SUM(F303)</f>
        <v>0</v>
      </c>
      <c r="G312" s="1674">
        <f>SUM(G303)</f>
        <v>0</v>
      </c>
      <c r="H312" s="1674">
        <f>SUM(H303,H310)</f>
        <v>0</v>
      </c>
      <c r="I312" s="1674">
        <f>SUM(I303)</f>
        <v>0</v>
      </c>
      <c r="J312" s="1674">
        <f>SUM(J303)</f>
        <v>0</v>
      </c>
      <c r="K312" s="1674">
        <f>SUM(K303,K310,K311)</f>
        <v>6228</v>
      </c>
      <c r="L312" s="1674">
        <f>SUM(L303,L310,L311)</f>
        <v>15000</v>
      </c>
      <c r="M312" s="539"/>
      <c r="N312" s="539"/>
    </row>
    <row r="313" spans="1:14" ht="13.5" thickTop="1" x14ac:dyDescent="0.2">
      <c r="A313" s="2302" t="s">
        <v>989</v>
      </c>
      <c r="B313" s="2303"/>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15" t="s">
        <v>148</v>
      </c>
      <c r="B315" s="231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17" t="s">
        <v>892</v>
      </c>
      <c r="B317" s="231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12786</v>
      </c>
      <c r="F320" s="1574"/>
      <c r="G320" s="1574"/>
      <c r="H320" s="1574"/>
      <c r="I320" s="1574"/>
      <c r="J320" s="1574"/>
      <c r="K320" s="1672">
        <f t="shared" ref="K320:K327" si="24">SUM(C320:J320)</f>
        <v>12786</v>
      </c>
      <c r="L320" s="1574">
        <v>11400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v>419</v>
      </c>
      <c r="F322" s="1574"/>
      <c r="G322" s="1574"/>
      <c r="H322" s="1574"/>
      <c r="I322" s="1574"/>
      <c r="J322" s="1574"/>
      <c r="K322" s="1672">
        <f t="shared" si="24"/>
        <v>419</v>
      </c>
      <c r="L322" s="1574">
        <v>1000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v>2000</v>
      </c>
      <c r="D325" s="1574">
        <v>258</v>
      </c>
      <c r="E325" s="1574">
        <v>1105</v>
      </c>
      <c r="F325" s="1574"/>
      <c r="G325" s="1574"/>
      <c r="H325" s="1574"/>
      <c r="I325" s="1574"/>
      <c r="J325" s="1574"/>
      <c r="K325" s="1672">
        <f t="shared" si="24"/>
        <v>3363</v>
      </c>
      <c r="L325" s="1574">
        <v>6800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2238</v>
      </c>
      <c r="F327" s="1574"/>
      <c r="G327" s="1574"/>
      <c r="H327" s="1574"/>
      <c r="I327" s="1574"/>
      <c r="J327" s="1574"/>
      <c r="K327" s="1672">
        <f t="shared" si="24"/>
        <v>2238</v>
      </c>
      <c r="L327" s="1574">
        <v>9000</v>
      </c>
      <c r="M327" s="539"/>
      <c r="N327" s="539"/>
    </row>
    <row r="328" spans="1:14" s="548" customFormat="1" x14ac:dyDescent="0.2">
      <c r="A328" s="1290" t="s">
        <v>469</v>
      </c>
      <c r="B328" s="562" t="s">
        <v>1122</v>
      </c>
      <c r="C328" s="1579"/>
      <c r="D328" s="1579"/>
      <c r="E328" s="1579">
        <v>14128</v>
      </c>
      <c r="F328" s="1579"/>
      <c r="G328" s="1579"/>
      <c r="H328" s="1579"/>
      <c r="I328" s="1579"/>
      <c r="J328" s="1579"/>
      <c r="K328" s="1713">
        <f>SUM(C328:J328)</f>
        <v>14128</v>
      </c>
      <c r="L328" s="1579">
        <v>14200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2000</v>
      </c>
      <c r="D330" s="1674">
        <f t="shared" ref="D330:J330" si="25">SUM(D319:D329)</f>
        <v>258</v>
      </c>
      <c r="E330" s="1674">
        <f t="shared" si="25"/>
        <v>30676</v>
      </c>
      <c r="F330" s="1674">
        <f t="shared" si="25"/>
        <v>0</v>
      </c>
      <c r="G330" s="1674">
        <f t="shared" si="25"/>
        <v>0</v>
      </c>
      <c r="H330" s="1674">
        <f t="shared" si="25"/>
        <v>0</v>
      </c>
      <c r="I330" s="1674">
        <f t="shared" si="25"/>
        <v>0</v>
      </c>
      <c r="J330" s="1674">
        <f t="shared" si="25"/>
        <v>0</v>
      </c>
      <c r="K330" s="1674">
        <f>SUM(K319:K329)</f>
        <v>32934</v>
      </c>
      <c r="L330" s="1674">
        <f>SUM(L319:L329)</f>
        <v>42400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2000</v>
      </c>
      <c r="D342" s="1674">
        <f>SUM(D330)</f>
        <v>258</v>
      </c>
      <c r="E342" s="1674">
        <f>SUM(E330)</f>
        <v>30676</v>
      </c>
      <c r="F342" s="1674">
        <f>SUM(F330)</f>
        <v>0</v>
      </c>
      <c r="G342" s="1674">
        <f>SUM(G330)</f>
        <v>0</v>
      </c>
      <c r="H342" s="1674">
        <f>SUM(H330,H334,H340)</f>
        <v>0</v>
      </c>
      <c r="I342" s="1674">
        <f>SUM(I330)</f>
        <v>0</v>
      </c>
      <c r="J342" s="1674">
        <f>SUM(J330)</f>
        <v>0</v>
      </c>
      <c r="K342" s="1674">
        <f>SUM(K330,K334,K340)</f>
        <v>32934</v>
      </c>
      <c r="L342" s="1681">
        <f>SUM(L330,L334,L340,L341)</f>
        <v>42400</v>
      </c>
    </row>
    <row r="343" spans="1:14" ht="12.75" customHeight="1" thickTop="1" x14ac:dyDescent="0.2">
      <c r="A343" s="2304" t="s">
        <v>989</v>
      </c>
      <c r="B343" s="2305"/>
      <c r="C343" s="1673"/>
      <c r="D343" s="1673"/>
      <c r="E343" s="1673"/>
      <c r="F343" s="1673"/>
      <c r="G343" s="1673"/>
      <c r="H343" s="1673"/>
      <c r="I343" s="1673"/>
      <c r="J343" s="1673"/>
      <c r="K343" s="1689">
        <f>'Revenues 9-14'!J268-'Expenditures 15-22'!K342</f>
        <v>-113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94" t="s">
        <v>960</v>
      </c>
      <c r="B345" s="229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v>15000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15000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15000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15000</v>
      </c>
    </row>
    <row r="368" spans="1:14" ht="13.5" thickTop="1" x14ac:dyDescent="0.2">
      <c r="A368" s="2291" t="s">
        <v>989</v>
      </c>
      <c r="B368" s="2292"/>
      <c r="C368" s="1694"/>
      <c r="D368" s="1694"/>
      <c r="E368" s="1677"/>
      <c r="F368" s="1677"/>
      <c r="G368" s="1677"/>
      <c r="H368" s="1677"/>
      <c r="I368" s="1677"/>
      <c r="J368" s="1676"/>
      <c r="K368" s="1672">
        <f>'Revenues 9-14'!K268-'Expenditures 15-22'!K367</f>
        <v>14015</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orizontalCentered="1" headings="1" gridLinesSet="0"/>
  <pageMargins left="0.5" right="0.5" top="1.35" bottom="0.5" header="1" footer="0.25"/>
  <pageSetup scale="68"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4" manualBreakCount="4">
    <brk id="47" max="16383" man="1"/>
    <brk id="139" max="16383" man="1"/>
    <brk id="229" max="16383" man="1"/>
    <brk id="27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purl.org/dc/dcmitype/"/>
    <ds:schemaRef ds:uri="http://schemas.microsoft.com/office/2006/documentManagement/types"/>
    <ds:schemaRef ds:uri="http://purl.org/dc/elements/1.1/"/>
    <ds:schemaRef ds:uri="http://schemas.microsoft.com/office/infopath/2007/PartnerControls"/>
    <ds:schemaRef ds:uri="http://schemas.microsoft.com/sharepoint/v3"/>
    <ds:schemaRef ds:uri="http://schemas.microsoft.com/office/2006/metadata/properties"/>
    <ds:schemaRef ds:uri="http://schemas.openxmlformats.org/package/2006/metadata/core-properties"/>
    <ds:schemaRef ds:uri="d21dc803-237d-4c68-8692-8d731fd29118"/>
    <ds:schemaRef ds:uri="4d435f69-8686-490b-bd6d-b153bf22ab50"/>
    <ds:schemaRef ds:uri="6ce3111e-7420-4802-b50a-75d4e9a0b980"/>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Table of Contents - Excel</vt:lpstr>
      <vt:lpstr>Opinion, GAS Rept &amp; Notes - PDF</vt:lpstr>
      <vt:lpstr>Activity Funds - Excel</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'Activity Funds - Excel'!Print_Area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2020-10-19T16:21:40Z</cp:lastPrinted>
  <dcterms:created xsi:type="dcterms:W3CDTF">2003-10-29T19:06:34Z</dcterms:created>
  <dcterms:modified xsi:type="dcterms:W3CDTF">2020-10-23T14:46:41Z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