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E18692C-0F7A-4571-B5FB-E905A53FA90F}" xr6:coauthVersionLast="36" xr6:coauthVersionMax="36" xr10:uidLastSave="{00000000-0000-0000-0000-000000000000}"/>
  <bookViews>
    <workbookView xWindow="0" yWindow="0" windowWidth="28800" windowHeight="12000" tabRatio="959" xr2:uid="{00000000-000D-0000-FFFF-FFFF00000000}"/>
  </bookViews>
  <sheets>
    <sheet name="COVER" sheetId="24" r:id="rId1"/>
    <sheet name="TOC" sheetId="18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A" sheetId="185" r:id="rId29"/>
    <sheet name=" SEFA B" sheetId="186" r:id="rId30"/>
    <sheet name=" SEFA C"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A'!$B$1:$M$46</definedName>
    <definedName name="_xlnm.Print_Area" localSheetId="29">' SEFA B'!$B$1:$M$46</definedName>
    <definedName name="_xlnm.Print_Area" localSheetId="30">' SEFA C'!$B$1:$M$46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 localSheetId="1">#REF!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 localSheetId="1">#REF!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 localSheetId="1">#REF!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 localSheetId="1">#REF!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 localSheetId="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8" i="127" l="1"/>
  <c r="D17" i="127"/>
  <c r="D12" i="127"/>
  <c r="G65" i="5" l="1"/>
  <c r="E65" i="5"/>
  <c r="K16" i="187" l="1"/>
  <c r="J16" i="187"/>
  <c r="I16" i="187"/>
  <c r="H16" i="187"/>
  <c r="G16" i="187"/>
  <c r="F16" i="187"/>
  <c r="E16" i="187"/>
  <c r="J22" i="186"/>
  <c r="H22" i="186"/>
  <c r="F22" i="186"/>
  <c r="K20" i="186"/>
  <c r="K22" i="186" s="1"/>
  <c r="J20" i="186"/>
  <c r="I20" i="186"/>
  <c r="I22" i="186" s="1"/>
  <c r="H20" i="186"/>
  <c r="G20" i="186"/>
  <c r="G22" i="186" s="1"/>
  <c r="F20" i="186"/>
  <c r="E20" i="186"/>
  <c r="E22" i="186" s="1"/>
  <c r="H18" i="187" l="1"/>
  <c r="K25" i="179"/>
  <c r="K14" i="185" s="1"/>
  <c r="K18" i="187" s="1"/>
  <c r="J25" i="179"/>
  <c r="J14" i="185" s="1"/>
  <c r="J18" i="187" s="1"/>
  <c r="I25" i="179"/>
  <c r="I14" i="185" s="1"/>
  <c r="I18" i="187" s="1"/>
  <c r="H25" i="179"/>
  <c r="H14" i="185" s="1"/>
  <c r="F25" i="179"/>
  <c r="F14" i="185" s="1"/>
  <c r="F18" i="187" s="1"/>
  <c r="E25" i="179"/>
  <c r="E14" i="185" s="1"/>
  <c r="E18" i="187" s="1"/>
  <c r="G18" i="179"/>
  <c r="G16" i="179"/>
  <c r="G25" i="179" s="1"/>
  <c r="G14" i="185" s="1"/>
  <c r="G18" i="187" s="1"/>
  <c r="G14" i="179"/>
  <c r="J31" i="8"/>
  <c r="L27" i="187" l="1"/>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6" i="183" l="1"/>
  <c r="F35" i="183"/>
  <c r="F34" i="183"/>
  <c r="F33" i="183"/>
  <c r="F32" i="183"/>
  <c r="F31" i="183"/>
  <c r="F30" i="183"/>
  <c r="F29" i="183"/>
  <c r="F28" i="183"/>
  <c r="F27" i="183"/>
  <c r="F26" i="183"/>
  <c r="F25" i="183"/>
  <c r="F24" i="183"/>
  <c r="F23" i="183"/>
  <c r="F22" i="183"/>
  <c r="F21" i="183"/>
  <c r="F20"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7" i="183" l="1"/>
  <c r="A15" i="183"/>
  <c r="D82" i="36" l="1"/>
  <c r="F37" i="183"/>
  <c r="E3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G39" i="108"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6"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D24" i="37"/>
  <c r="B4270" i="106" s="1"/>
  <c r="D4270" i="106" s="1"/>
  <c r="B7189" i="106" l="1"/>
  <c r="D7189" i="106" s="1"/>
  <c r="E64" i="184"/>
  <c r="N64" i="184" s="1"/>
  <c r="B7171" i="106"/>
  <c r="D7171" i="106" s="1"/>
  <c r="E62" i="184"/>
  <c r="N62" i="184" s="1"/>
  <c r="B7135" i="106"/>
  <c r="D7135" i="106" s="1"/>
  <c r="E58" i="184"/>
  <c r="N58" i="184" s="1"/>
  <c r="D31" i="108"/>
  <c r="E16" i="184"/>
  <c r="H16" i="184" s="1"/>
  <c r="L22" i="37"/>
  <c r="F42" i="34"/>
  <c r="F31" i="108"/>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H15" i="184"/>
  <c r="G33" i="108"/>
  <c r="E17" i="184"/>
  <c r="H17" i="184" s="1"/>
  <c r="B7696" i="106"/>
  <c r="D7696" i="106" s="1"/>
  <c r="E66" i="184"/>
  <c r="N66" i="184" s="1"/>
  <c r="B7153" i="106"/>
  <c r="D7153" i="106" s="1"/>
  <c r="E60" i="184"/>
  <c r="N60" i="184" s="1"/>
  <c r="F72" i="34"/>
  <c r="G30" i="108"/>
  <c r="H12" i="184"/>
  <c r="H19" i="184" s="1"/>
  <c r="L20" i="184" s="1"/>
  <c r="E19" i="184"/>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N57" i="184"/>
  <c r="N68" i="184" s="1"/>
  <c r="E68" i="184"/>
  <c r="E367" i="29"/>
  <c r="B3635" i="106"/>
  <c r="B1381" i="106"/>
  <c r="D1381" i="106" s="1"/>
  <c r="B5527" i="106"/>
  <c r="D5527" i="106" s="1"/>
  <c r="F41" i="108"/>
  <c r="G43" i="108" s="1"/>
  <c r="L16" i="11"/>
  <c r="B2061" i="106" s="1"/>
  <c r="D2061" i="106" s="1"/>
  <c r="D44" i="36"/>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K17"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<sst xmlns="http://schemas.openxmlformats.org/spreadsheetml/2006/main" count="5484" uniqueCount="2178">
  <si>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</si>
  <si>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</si>
  <si>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</si>
  <si>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</si>
  <si>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</si>
  <si>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</si>
  <si>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</si>
  <si>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</si>
  <si>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</si>
  <si>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</si>
  <si>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</si>
  <si>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</si>
  <si>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</si>
  <si>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</si>
  <si>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</si>
  <si>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</si>
  <si>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</si>
  <si>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</si>
  <si>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</si>
  <si>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</si>
  <si>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</si>
  <si>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</si>
  <si>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</si>
  <si>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</si>
  <si>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</si>
  <si>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</si>
  <si>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</si>
  <si>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</si>
  <si>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</si>
  <si>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</si>
  <si>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</si>
  <si>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</si>
  <si>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</si>
  <si>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</si>
  <si>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</si>
  <si>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</si>
  <si>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</si>
  <si>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</si>
  <si>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</si>
  <si>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</si>
  <si>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</si>
  <si>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</si>
  <si>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</si>
  <si>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</si>
  <si>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</si>
  <si>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</si>
  <si>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</si>
  <si>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</si>
  <si>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</si>
  <si>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</si>
  <si>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</si>
  <si>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</si>
  <si>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</si>
  <si>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</si>
  <si>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</si>
  <si>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</si>
  <si>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</si>
  <si>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</si>
  <si>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</si>
  <si>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</si>
  <si>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</si>
  <si>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</si>
  <si>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</si>
  <si>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</si>
  <si>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</si>
  <si>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</si>
  <si>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</si>
  <si>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</si>
  <si>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</si>
  <si>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</si>
  <si>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</si>
  <si>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</si>
  <si>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</si>
  <si>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</si>
  <si>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</si>
  <si>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</si>
  <si>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</si>
  <si>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</si>
  <si>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</si>
  <si>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</si>
  <si>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</si>
  <si>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</si>
  <si>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</si>
  <si>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</si>
  <si>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</si>
  <si>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</si>
  <si>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</si>
  <si>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</si>
  <si>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</si>
  <si>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</si>
  <si>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</si>
  <si>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</si>
  <si>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</si>
  <si>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</si>
  <si>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</si>
  <si>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</si>
  <si>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</si>
  <si>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</si>
  <si>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</si>
  <si>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</si>
  <si>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</si>
  <si>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</si>
  <si>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</si>
  <si>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</si>
  <si>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</si>
  <si>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</si>
  <si>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</si>
  <si>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</si>
  <si>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</si>
  <si>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</si>
  <si>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</si>
  <si>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</si>
  <si>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</si>
  <si>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</si>
  <si>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</si>
  <si>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</si>
  <si>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</si>
  <si>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</si>
  <si>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</si>
  <si>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</si>
  <si>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</si>
  <si>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</si>
  <si>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</si>
  <si>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</si>
  <si>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</si>
  <si>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</si>
  <si>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</si>
  <si>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</si>
  <si>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</si>
  <si>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</si>
  <si>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</si>
  <si>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</si>
  <si>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</si>
  <si>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</si>
  <si>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</si>
  <si>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</si>
  <si>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</si>
  <si>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</si>
  <si>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</si>
  <si>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</si>
  <si>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</si>
  <si>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</si>
  <si>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</si>
  <si>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</si>
  <si>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</si>
  <si>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</si>
  <si>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</si>
  <si>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</si>
  <si>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</si>
  <si>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</si>
  <si>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</si>
  <si>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</si>
  <si>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</si>
  <si>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</si>
  <si>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</si>
  <si>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</si>
  <si>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</si>
  <si>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</si>
  <si>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</si>
  <si>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</si>
  <si>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</si>
  <si>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</si>
  <si>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</si>
  <si>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</si>
  <si>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</si>
  <si>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</si>
  <si>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</si>
  <si>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</si>
  <si>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</si>
  <si>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</si>
  <si>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</si>
  <si>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</si>
  <si>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</si>
  <si>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</si>
  <si>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</si>
  <si>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</si>
  <si>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</si>
  <si>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</si>
  <si>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</si>
  <si>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</si>
  <si>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</si>
  <si>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</si>
  <si>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</si>
  <si>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</si>
  <si>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</si>
  <si>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</si>
  <si>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</si>
  <si>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</si>
  <si>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</si>
  <si>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</si>
  <si>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</si>
  <si>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</si>
  <si>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</si>
  <si>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</si>
  <si>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</si>
  <si>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</si>
  <si>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</si>
  <si>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</si>
  <si>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</si>
  <si>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</si>
  <si>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</si>
  <si>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</si>
  <si>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</si>
  <si>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</si>
  <si>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</si>
  <si>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</si>
  <si>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</si>
  <si>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</si>
  <si>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</si>
  <si>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</si>
  <si>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</si>
  <si>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</si>
  <si>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</si>
  <si>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</si>
  <si>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</si>
  <si>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</si>
  <si>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</si>
  <si>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</si>
  <si>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</si>
  <si>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</si>
  <si>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</si>
  <si>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</si>
  <si>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</si>
  <si>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</si>
  <si>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</si>
  <si>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</si>
  <si>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</si>
  <si>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</si>
  <si>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</si>
  <si>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</si>
  <si>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</si>
  <si>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</si>
  <si>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</si>
  <si>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</si>
  <si>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</si>
  <si>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</si>
  <si>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</si>
  <si>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</si>
  <si>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</si>
  <si>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</si>
  <si>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</si>
  <si>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</si>
  <si>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</si>
  <si>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</si>
  <si>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</si>
  <si>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</si>
  <si>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</si>
  <si>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</si>
  <si>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</si>
  <si>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</si>
  <si>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</si>
  <si>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</si>
  <si>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</si>
  <si>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</si>
  <si>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</si>
  <si>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</si>
  <si>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</si>
  <si>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</si>
  <si>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</si>
  <si>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</si>
  <si>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</si>
  <si>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</si>
  <si>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</si>
  <si>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</si>
  <si>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</si>
  <si>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</si>
  <si>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</si>
  <si>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</si>
  <si>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</si>
  <si>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</si>
  <si>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</si>
  <si>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</si>
  <si>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</si>
  <si>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</si>
  <si>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</si>
  <si>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</si>
  <si>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</si>
  <si>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</si>
  <si>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</si>
  <si>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</si>
  <si>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</si>
  <si>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</si>
  <si>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</si>
  <si>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</si>
  <si>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</si>
  <si>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</si>
  <si>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</si>
  <si>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</si>
  <si>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</si>
  <si>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</si>
  <si>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</si>
  <si>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</si>
  <si>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</si>
  <si>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</si>
  <si>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</si>
  <si>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</si>
  <si>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</si>
  <si>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</si>
  <si>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</si>
  <si>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</si>
  <si>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</si>
  <si>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</si>
  <si>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</si>
  <si>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</si>
  <si>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</si>
  <si>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</si>
  <si>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</si>
  <si>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</si>
  <si>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</si>
  <si>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</si>
  <si>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</si>
  <si>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</si>
  <si>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</si>
  <si>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</si>
  <si>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</si>
  <si>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</si>
  <si>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</si>
  <si>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</si>
  <si>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</si>
  <si>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</si>
  <si>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</si>
  <si>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</si>
  <si>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</si>
  <si>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</si>
  <si>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</si>
  <si>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</si>
  <si>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</si>
  <si>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</si>
  <si>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</si>
  <si>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</si>
  <si>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</si>
  <si>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</si>
  <si>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</si>
  <si>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</si>
  <si>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</si>
  <si>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</si>
  <si>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</si>
  <si>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</si>
  <si>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</si>
  <si>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</si>
  <si>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</si>
  <si>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</si>
  <si>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</si>
  <si>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</si>
  <si>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</si>
  <si>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</si>
  <si>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</si>
  <si>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</si>
  <si>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</si>
  <si>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</si>
  <si>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</si>
  <si>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</si>
  <si>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</si>
  <si>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</si>
  <si>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</si>
  <si>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</si>
  <si>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</si>
  <si>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</si>
  <si>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</si>
  <si>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</si>
  <si>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</si>
  <si>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</si>
  <si>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</si>
  <si>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</si>
  <si>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</si>
  <si>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</si>
  <si>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</si>
  <si>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</si>
  <si>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</si>
  <si>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</si>
  <si>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</si>
  <si>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</si>
  <si>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</si>
  <si>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</si>
  <si>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</si>
  <si>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</si>
  <si>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</si>
  <si>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</si>
  <si>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</si>
  <si>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</si>
  <si>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</si>
  <si>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</si>
  <si>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</si>
  <si>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</si>
  <si>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</si>
  <si>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</si>
  <si>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</si>
  <si>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</si>
  <si>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</si>
  <si>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</si>
  <si>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</si>
  <si>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</si>
  <si>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</si>
  <si>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</si>
  <si>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</si>
  <si>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</si>
  <si>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</si>
  <si>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</si>
  <si>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</si>
  <si>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</si>
  <si>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</si>
  <si>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</si>
  <si>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</si>
  <si>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</si>
  <si>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</si>
  <si>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</si>
  <si>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</si>
  <si>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</si>
  <si>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</si>
  <si>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</si>
  <si>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</si>
  <si>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</si>
  <si>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</si>
  <si>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</si>
  <si>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</si>
  <si>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</si>
  <si>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</si>
  <si>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</si>
  <si>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</si>
  <si>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</si>
  <si>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</si>
  <si>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</si>
  <si>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</si>
  <si>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</si>
  <si>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</si>
  <si>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</si>
  <si>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</si>
  <si>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</si>
  <si>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</si>
  <si>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</si>
  <si>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</si>
  <si>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</si>
  <si>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</si>
  <si>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</si>
  <si>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</si>
  <si>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</si>
  <si>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</si>
  <si>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</si>
  <si>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</si>
  <si>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</si>
  <si>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</si>
  <si>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</si>
  <si>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</si>
  <si>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</si>
  <si>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</si>
  <si>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</si>
  <si>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</si>
  <si>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</si>
  <si>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</si>
  <si>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</si>
  <si>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</si>
  <si>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</si>
  <si>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</si>
  <si>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</si>
  <si>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</si>
  <si>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</si>
  <si>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</si>
  <si>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</si>
  <si>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</si>
  <si>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</si>
  <si>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</si>
  <si>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</si>
  <si>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</si>
  <si>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</si>
  <si>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</si>
  <si>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</si>
  <si>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</si>
  <si>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</si>
  <si>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</si>
  <si>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</si>
  <si>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</si>
  <si>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</si>
  <si>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</si>
  <si>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</si>
  <si>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</si>
  <si>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</si>
  <si>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</si>
  <si>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</si>
  <si>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</si>
  <si>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</si>
  <si>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</si>
  <si>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</si>
  <si>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</si>
  <si>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</si>
  <si>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</si>
  <si>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</si>
  <si>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</si>
  <si>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</si>
  <si>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</si>
  <si>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</si>
  <si>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</si>
  <si>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</si>
  <si>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</si>
  <si>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</si>
  <si>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</si>
  <si>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</si>
  <si>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</si>
  <si>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</si>
  <si>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</si>
  <si>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</si>
  <si>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</si>
  <si>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</si>
  <si>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</si>
  <si>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</si>
  <si>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</si>
  <si>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</si>
  <si>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</si>
  <si>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</si>
  <si>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</si>
  <si>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</si>
  <si>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</si>
  <si>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</si>
  <si>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</si>
  <si>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</si>
  <si>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</si>
  <si>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</si>
  <si>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</si>
  <si>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</si>
  <si>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</si>
  <si>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</si>
  <si>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</si>
  <si>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</si>
  <si>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</si>
  <si>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</si>
  <si>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</si>
  <si>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</si>
  <si>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</si>
  <si>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</si>
  <si>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</si>
  <si>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</si>
  <si>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</si>
  <si>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</si>
  <si>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</si>
  <si>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</si>
  <si>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</si>
  <si>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</si>
  <si>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</si>
  <si>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</si>
  <si>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</si>
  <si>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</si>
  <si>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</si>
  <si>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</si>
  <si>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</si>
  <si>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</si>
  <si>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</si>
  <si>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</si>
  <si>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</si>
  <si>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</si>
  <si>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</si>
  <si>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</si>
  <si>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</si>
  <si>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</si>
  <si>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</si>
  <si>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</si>
  <si>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</si>
  <si>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</si>
  <si>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</si>
  <si>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</si>
  <si>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</si>
  <si>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</si>
  <si>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</si>
  <si>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</si>
  <si>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</si>
  <si>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</si>
  <si>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</si>
  <si>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</si>
  <si>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</si>
  <si>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</si>
  <si>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</si>
  <si>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</si>
  <si>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</si>
  <si>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</si>
  <si>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</si>
  <si>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</si>
  <si>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</si>
  <si>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</si>
  <si>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</si>
  <si>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</si>
  <si>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</si>
  <si>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</si>
  <si>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</si>
  <si>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</si>
  <si>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</si>
  <si>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</si>
  <si>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</si>
  <si>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</si>
  <si>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</si>
  <si>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</si>
  <si>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</si>
  <si>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</si>
  <si>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</si>
  <si>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</si>
  <si>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</si>
  <si>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</si>
  <si>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</si>
  <si>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</si>
  <si>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</si>
  <si>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</si>
  <si>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</si>
  <si>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</si>
  <si>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</si>
  <si>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</si>
  <si>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</si>
  <si>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</si>
  <si>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</si>
  <si>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</si>
  <si>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</si>
  <si>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</si>
  <si>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</si>
  <si>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</si>
  <si>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</si>
  <si>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</si>
  <si>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</si>
  <si>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</si>
  <si>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</si>
  <si>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</si>
  <si>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</si>
  <si>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</si>
  <si>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</si>
  <si>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</si>
  <si>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</si>
  <si>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</si>
  <si>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</si>
  <si>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</si>
  <si>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</si>
  <si>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</si>
  <si>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</si>
  <si>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</si>
  <si>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</si>
  <si>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</si>
  <si>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</si>
  <si>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</si>
  <si>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</si>
  <si>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</si>
  <si>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</si>
  <si>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</si>
  <si>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</si>
  <si>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</si>
  <si>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</si>
  <si>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</si>
  <si>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</si>
  <si>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</si>
  <si>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</si>
  <si>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</si>
  <si>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</si>
  <si>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</si>
  <si>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</si>
  <si>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</si>
  <si>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</si>
  <si>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</si>
  <si>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</si>
  <si>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</si>
  <si>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</si>
  <si>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</si>
  <si>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</si>
  <si>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</si>
  <si>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</si>
  <si>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</si>
  <si>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</si>
  <si>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</si>
  <si>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</si>
  <si>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</si>
  <si>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</si>
  <si>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</si>
  <si>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</si>
  <si>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</si>
  <si>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</si>
  <si>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</si>
  <si>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</si>
  <si>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</si>
  <si>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</si>
  <si>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</si>
  <si>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</si>
  <si>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</si>
  <si>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</si>
  <si>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</si>
  <si>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</si>
  <si>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</si>
  <si>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</si>
  <si>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</si>
  <si>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</si>
  <si>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</si>
  <si>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</si>
  <si>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</si>
  <si>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</si>
  <si>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</si>
  <si>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</si>
  <si>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</si>
  <si>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</si>
  <si>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</si>
  <si>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</si>
  <si>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</si>
  <si>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</si>
  <si>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</si>
  <si>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</si>
  <si>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</si>
  <si>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</si>
  <si>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</si>
  <si>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</si>
  <si>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</si>
  <si>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</si>
  <si>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</si>
  <si>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</si>
  <si>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</si>
  <si>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</si>
  <si>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</si>
  <si>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</si>
  <si>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</si>
  <si>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</si>
  <si>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</si>
  <si>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</si>
  <si>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</si>
  <si>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</si>
  <si>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</si>
  <si>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</si>
  <si>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</si>
  <si>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</si>
  <si>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</si>
  <si>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</si>
  <si>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</si>
  <si>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</si>
  <si>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</si>
  <si>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</si>
  <si>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</si>
  <si>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</si>
  <si>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</si>
  <si>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</si>
  <si>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</si>
  <si>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</si>
  <si>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</si>
  <si>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</si>
  <si>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</si>
  <si>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</si>
  <si>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</si>
  <si>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</si>
  <si>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</si>
  <si>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</si>
  <si>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</si>
  <si>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</si>
  <si>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</si>
  <si>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</si>
  <si>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</si>
  <si>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</si>
  <si>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</si>
  <si>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</si>
  <si>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</si>
  <si>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</si>
  <si>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</si>
  <si>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</si>
  <si>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</si>
  <si>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</si>
  <si>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</si>
  <si>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</si>
  <si>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</si>
  <si>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</si>
  <si>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</si>
  <si>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</si>
  <si>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</si>
  <si>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</si>
  <si>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</si>
  <si>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</si>
  <si>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</si>
  <si>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</si>
  <si>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</si>
  <si>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</si>
  <si>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</si>
  <si>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</si>
  <si>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</si>
  <si>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</si>
  <si>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</si>
  <si>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</si>
  <si>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</si>
  <si>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</si>
  <si>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</si>
  <si>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</si>
  <si>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</si>
  <si>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</si>
  <si>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</si>
  <si>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</si>
  <si>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</si>
  <si>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</si>
  <si>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</si>
  <si>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</si>
  <si>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</si>
  <si>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</si>
  <si>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</si>
  <si>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</si>
  <si>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</si>
  <si>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</si>
  <si>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</si>
  <si>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</si>
  <si>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</si>
  <si>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</si>
  <si>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</si>
  <si>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</si>
  <si>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</si>
  <si>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</si>
  <si>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</si>
  <si>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</si>
  <si>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</si>
  <si>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</si>
  <si>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</si>
  <si>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</si>
  <si>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</si>
  <si>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</si>
  <si>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</si>
  <si>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</si>
  <si>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</si>
  <si>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</si>
  <si>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</si>
  <si>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</si>
  <si>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</si>
  <si>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</si>
  <si>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</si>
  <si>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</si>
  <si>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</si>
  <si>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</si>
  <si>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</si>
  <si>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</si>
  <si>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</si>
  <si>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</si>
  <si>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</si>
  <si>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</si>
  <si>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</si>
  <si>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</si>
  <si>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</si>
  <si>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</si>
  <si>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</si>
  <si>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</si>
  <si>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</si>
  <si>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</si>
  <si>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</si>
  <si>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</si>
  <si>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</si>
  <si>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</si>
  <si>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</si>
  <si>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</si>
  <si>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</si>
  <si>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</si>
  <si>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</si>
  <si>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</si>
  <si>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</si>
  <si>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</si>
  <si>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</si>
  <si>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</si>
  <si>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</si>
  <si>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</si>
  <si>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</si>
  <si>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</si>
  <si>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</si>
  <si>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</si>
  <si>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</si>
  <si>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</si>
  <si>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</si>
  <si>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</si>
  <si>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</si>
  <si>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</si>
  <si>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</si>
  <si>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</si>
  <si>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</si>
  <si>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</si>
  <si>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</si>
  <si>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</si>
  <si>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</si>
  <si>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</si>
  <si>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</si>
  <si>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</si>
  <si>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</si>
  <si>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</si>
  <si>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</si>
  <si>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</si>
  <si>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</si>
  <si>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</si>
  <si>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</si>
  <si>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</si>
  <si>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</si>
  <si>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</si>
  <si>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</si>
  <si>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</si>
  <si>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</si>
  <si>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</si>
  <si>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</si>
  <si>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</si>
  <si>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</si>
  <si>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</si>
  <si>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</si>
  <si>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</si>
  <si>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</si>
  <si>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</si>
  <si>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</si>
  <si>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</si>
  <si>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</si>
  <si>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</si>
  <si>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</si>
  <si>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</si>
  <si>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</si>
  <si>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</si>
  <si>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</si>
  <si>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</si>
  <si>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</si>
  <si>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</si>
  <si>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</si>
  <si>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</si>
  <si>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</si>
  <si>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</si>
  <si>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</si>
  <si>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</si>
  <si>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</si>
  <si>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</si>
  <si>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</si>
  <si>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</si>
  <si>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</si>
  <si>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</si>
  <si>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</si>
  <si>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</si>
  <si>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</si>
  <si>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</si>
  <si>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</si>
  <si>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</si>
  <si>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</si>
  <si>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</si>
  <si>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</si>
  <si>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</si>
  <si>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</si>
  <si>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</si>
  <si>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</si>
  <si>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</si>
  <si>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</si>
  <si>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</si>
  <si>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</si>
  <si>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</si>
  <si>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</si>
  <si>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</si>
  <si>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</si>
  <si>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</si>
  <si>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</si>
  <si>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</si>
  <si>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</si>
  <si>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</si>
  <si>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</si>
  <si>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</si>
  <si>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</si>
  <si>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</si>
  <si>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</si>
  <si>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</si>
  <si>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</si>
  <si>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</si>
  <si>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</si>
  <si>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</si>
  <si>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</si>
  <si>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</si>
  <si>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</si>
  <si>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</si>
  <si>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</si>
  <si>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</si>
  <si>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</si>
  <si>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</si>
  <si>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</si>
  <si>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</si>
  <si>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</si>
  <si>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</si>
  <si>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</si>
  <si>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</si>
  <si>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</si>
  <si>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</si>
  <si>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</si>
  <si>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</si>
  <si>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</si>
  <si>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</si>
  <si>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</si>
  <si>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</si>
  <si>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</si>
  <si>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</si>
  <si>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</si>
  <si>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</si>
  <si>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</si>
  <si>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</si>
  <si>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</si>
  <si>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</si>
  <si>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</si>
  <si>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</si>
  <si>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</si>
  <si>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</si>
  <si>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</si>
  <si>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</si>
  <si>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</si>
  <si>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</si>
  <si>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</si>
  <si>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</si>
  <si>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</si>
  <si>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</si>
  <si>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</si>
  <si>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</si>
  <si>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</si>
  <si>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</si>
  <si>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</si>
  <si>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</si>
  <si>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</si>
  <si>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</si>
  <si>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</si>
  <si>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</si>
  <si>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</si>
  <si>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</si>
  <si>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</si>
  <si>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</si>
  <si>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</si>
  <si>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</si>
  <si>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</si>
  <si>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</si>
  <si>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</si>
  <si>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</si>
  <si>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</si>
  <si>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</si>
  <si>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</si>
  <si>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</si>
  <si>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</si>
  <si>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</si>
  <si>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</si>
  <si>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</si>
  <si>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</si>
  <si>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</si>
  <si>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</si>
  <si>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</si>
  <si>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</si>
  <si>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</si>
  <si>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</si>
  <si>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</si>
  <si>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</si>
  <si>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</si>
  <si>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</si>
  <si>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</si>
  <si>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</si>
  <si>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</si>
  <si>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</si>
  <si>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</si>
  <si>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</si>
  <si>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</si>
  <si>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</si>
  <si>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</si>
  <si>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</si>
  <si>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</si>
  <si>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</si>
  <si>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</si>
  <si>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</si>
  <si>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</si>
  <si>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</si>
  <si>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</si>
  <si>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</si>
  <si>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</si>
  <si>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</si>
  <si>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</si>
  <si>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</si>
  <si>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</si>
  <si>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</si>
  <si>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</si>
  <si>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</si>
  <si>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</si>
  <si>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</si>
  <si>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</si>
  <si>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</si>
  <si>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</si>
  <si>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</si>
  <si>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</si>
  <si>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</si>
  <si>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</si>
  <si>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</si>
  <si>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</si>
  <si>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</si>
  <si>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</si>
  <si>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</si>
  <si>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</si>
  <si>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</si>
  <si>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</si>
  <si>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</si>
  <si>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</si>
  <si>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</si>
  <si>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</si>
  <si>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</si>
  <si>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</si>
  <si>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</si>
  <si>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</si>
  <si>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</si>
  <si>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</si>
  <si>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</si>
  <si>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</si>
  <si>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</si>
  <si>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</si>
  <si>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</si>
  <si>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</si>
  <si>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</si>
  <si>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</si>
  <si>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</si>
  <si>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</si>
  <si>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</si>
  <si>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</si>
  <si>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</si>
  <si>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</si>
  <si>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</si>
  <si>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</si>
  <si>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</si>
  <si>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</si>
  <si>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</si>
  <si>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</si>
  <si>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</si>
  <si>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</si>
  <si>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</si>
  <si>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</si>
  <si>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</si>
  <si>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</si>
  <si>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</si>
  <si>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</si>
  <si>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</si>
  <si>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</si>
  <si>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</si>
  <si>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</si>
  <si>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</si>
  <si>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</si>
  <si>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</si>
  <si>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</si>
  <si>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</si>
  <si>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</si>
  <si>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</si>
  <si>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</si>
  <si>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</si>
  <si>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</si>
  <si>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</si>
  <si>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</si>
  <si>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</si>
  <si>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</si>
  <si>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</si>
  <si>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</si>
  <si>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</si>
  <si>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</si>
  <si>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</si>
  <si>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</si>
  <si>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</si>
  <si>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</si>
  <si>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</si>
  <si>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</si>
  <si>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</si>
  <si>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</si>
  <si>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</si>
  <si>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</si>
  <si>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</si>
  <si>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</si>
  <si>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</si>
  <si>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</si>
  <si>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</si>
  <si>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</si>
  <si>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</si>
  <si>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</si>
  <si>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</si>
  <si>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</si>
  <si>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</si>
  <si>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</si>
  <si>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</si>
  <si>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</si>
  <si>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</si>
  <si>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</si>
  <si>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</si>
  <si>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</si>
  <si>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</si>
  <si>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</si>
  <si>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</si>
  <si>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</si>
  <si>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</si>
  <si>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</si>
  <si>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</si>
  <si>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</si>
  <si>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</si>
  <si>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</si>
  <si>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</si>
  <si>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</si>
  <si>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</si>
  <si>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</si>
  <si>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</si>
  <si>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</si>
  <si>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</si>
  <si>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</si>
  <si>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</si>
  <si>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</si>
  <si>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</si>
  <si>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</si>
  <si>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</si>
  <si>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</si>
  <si>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</si>
  <si>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</si>
  <si>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</si>
  <si>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</si>
  <si>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</si>
  <si>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</si>
  <si>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</si>
  <si>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</si>
  <si>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</si>
  <si>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</si>
  <si>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</si>
  <si>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</si>
  <si>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</si>
  <si>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</si>
  <si>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</si>
  <si>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</si>
  <si>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</si>
  <si>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</si>
  <si>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</si>
  <si>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</si>
  <si>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</si>
  <si>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</si>
  <si>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</si>
  <si>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</si>
  <si>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</si>
  <si>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</si>
  <si>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</si>
  <si>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</si>
  <si>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</si>
  <si>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</si>
  <si>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</si>
  <si>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</si>
  <si>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</si>
  <si>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</si>
  <si>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</si>
  <si>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</si>
  <si>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</si>
  <si>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</si>
  <si>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</si>
  <si>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</si>
  <si>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</si>
  <si>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</si>
  <si>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</si>
  <si>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</si>
  <si>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</si>
  <si>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</si>
  <si>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</si>
  <si>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</si>
  <si>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</si>
  <si>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</si>
  <si>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</si>
  <si>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</si>
  <si>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</si>
  <si>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</si>
  <si>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</si>
  <si>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</si>
  <si>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</si>
  <si>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</si>
  <si>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</si>
  <si>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</si>
  <si>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</si>
  <si>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</si>
  <si>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</si>
  <si>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</si>
  <si>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</si>
  <si>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</si>
  <si>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</si>
  <si>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</si>
  <si>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</si>
  <si>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</si>
  <si>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</si>
  <si>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</si>
  <si>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</si>
  <si>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</si>
  <si>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</si>
  <si>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</si>
  <si>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</si>
  <si>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</si>
  <si>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</si>
  <si>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</si>
  <si>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</si>
  <si>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</si>
  <si>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</si>
  <si>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</si>
  <si>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</si>
  <si>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</si>
  <si>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</si>
  <si>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</si>
  <si>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</si>
  <si>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</si>
  <si>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</si>
  <si>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</si>
  <si>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</si>
  <si>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</si>
  <si>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</si>
  <si>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</si>
  <si>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</si>
  <si>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</si>
  <si>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</si>
  <si>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</si>
  <si>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</si>
  <si>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</si>
  <si>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</si>
  <si>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</si>
  <si>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</si>
  <si>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</si>
  <si>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</si>
  <si>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</si>
  <si>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</si>
  <si>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</si>
  <si>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</si>
  <si>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</si>
  <si>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</si>
  <si>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</si>
  <si>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</si>
  <si>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</si>
  <si>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</si>
  <si>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</si>
  <si>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</si>
  <si>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</si>
  <si>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</si>
  <si>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</si>
  <si>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</si>
  <si>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</si>
  <si>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</si>
  <si>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</si>
  <si>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</si>
  <si>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</si>
  <si>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</si>
  <si>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</si>
  <si>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</si>
  <si>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</si>
  <si>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</si>
  <si>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</si>
  <si>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</si>
  <si>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</si>
  <si>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</si>
  <si>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</si>
  <si>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</si>
  <si>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</si>
  <si>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</si>
  <si>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</si>
  <si>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</si>
  <si>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</si>
  <si>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</si>
  <si>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</si>
  <si>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</si>
  <si>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</si>
  <si>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</si>
  <si>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</si>
  <si>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</si>
  <si>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</si>
  <si>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</si>
  <si>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</si>
  <si>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</si>
  <si>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</si>
  <si>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</si>
  <si>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</si>
  <si>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</si>
  <si>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</si>
  <si>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</si>
  <si>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</si>
  <si>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</si>
  <si>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</si>
  <si>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</si>
  <si>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</si>
  <si>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</si>
  <si>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</si>
  <si>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</si>
  <si>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</si>
  <si>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</si>
  <si>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</si>
  <si>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</si>
  <si>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</si>
  <si>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</si>
  <si>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</si>
  <si>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</si>
  <si>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</si>
  <si>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</si>
  <si>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</si>
  <si>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</si>
  <si>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</si>
  <si>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</si>
  <si>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</si>
  <si>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</si>
  <si>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</si>
  <si>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</si>
  <si>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</si>
  <si>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</si>
  <si>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</si>
  <si>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</si>
  <si>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</si>
  <si>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</si>
  <si>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</si>
  <si>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</si>
  <si>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</si>
  <si>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</si>
  <si>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</si>
  <si>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</si>
  <si>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</si>
  <si>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</si>
  <si>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</si>
  <si>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</si>
  <si>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</si>
  <si>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</si>
  <si>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</si>
  <si>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</si>
  <si>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</si>
  <si>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</si>
  <si>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</si>
  <si>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</si>
  <si>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</si>
  <si>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</si>
  <si>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</si>
  <si>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</si>
  <si>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</si>
  <si>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</si>
  <si>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</si>
  <si>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</si>
  <si>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</si>
  <si>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</si>
  <si>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</si>
  <si>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</si>
  <si>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</si>
  <si>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</si>
  <si>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</si>
  <si>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</si>
  <si>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</si>
  <si>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</si>
  <si>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</si>
  <si>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</si>
  <si>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</si>
  <si>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</si>
  <si>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</si>
  <si>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</si>
  <si>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</si>
  <si>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</si>
  <si>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</si>
  <si>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</si>
  <si>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</si>
  <si>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</si>
  <si>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</si>
  <si>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</si>
  <si>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</si>
  <si>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</si>
  <si>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</si>
  <si>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</si>
  <si>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</si>
  <si>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</si>
  <si>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</si>
  <si>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</si>
  <si>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</si>
  <si>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</si>
  <si>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</si>
  <si>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</si>
  <si>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</si>
  <si>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</si>
  <si>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</si>
  <si>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</si>
  <si>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</si>
  <si>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</si>
  <si>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</si>
  <si>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</si>
  <si>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</si>
  <si>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</si>
  <si>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</si>
  <si>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</si>
  <si>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</si>
  <si>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</si>
  <si>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</si>
  <si>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</si>
  <si>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</si>
  <si>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</si>
  <si>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</si>
  <si>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</si>
  <si>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</si>
  <si>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</si>
  <si>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</si>
  <si>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</si>
  <si>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</si>
  <si>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</si>
  <si>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</si>
  <si>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</si>
  <si>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</si>
  <si>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</si>
  <si>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</si>
  <si>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</si>
  <si>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</si>
  <si>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</si>
  <si>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</si>
  <si>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</si>
  <si>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</si>
  <si>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</si>
  <si>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</si>
  <si>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</si>
  <si>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</si>
  <si>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</si>
  <si>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</si>
  <si>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</si>
  <si>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</si>
  <si>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</si>
  <si>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</si>
  <si>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</si>
  <si>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</si>
  <si>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</si>
  <si>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</si>
  <si>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</si>
  <si>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</si>
  <si>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</si>
  <si>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</si>
  <si>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</si>
  <si>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</si>
  <si>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</si>
  <si>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</si>
  <si>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</si>
  <si>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</si>
  <si>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</si>
  <si>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</si>
  <si>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</si>
  <si>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</si>
  <si>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</si>
  <si>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</si>
  <si>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</si>
  <si>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</si>
  <si>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</si>
  <si>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</si>
  <si>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</si>
  <si>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</si>
  <si>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</si>
  <si>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</si>
  <si>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</si>
  <si>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</si>
  <si>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</si>
  <si>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</si>
  <si>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</si>
  <si>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</si>
  <si>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</si>
  <si>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</si>
  <si>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</si>
  <si>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</si>
  <si>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</si>
  <si>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</si>
  <si>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</si>
  <si>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</si>
  <si>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</si>
  <si>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</si>
  <si>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</si>
  <si>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</si>
  <si>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</si>
  <si>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</si>
  <si>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</si>
  <si>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</si>
  <si>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</si>
  <si>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</si>
  <si>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</si>
  <si>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</si>
  <si>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</si>
  <si>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</si>
  <si>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</si>
  <si>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</si>
  <si>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</si>
  <si>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</si>
  <si>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</si>
  <si>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</si>
  <si>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</si>
  <si>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</si>
  <si>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</si>
  <si>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</si>
  <si>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</si>
  <si>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</si>
  <si>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</si>
  <si>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</si>
  <si>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</si>
  <si>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</si>
  <si>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</si>
  <si>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</si>
  <si>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</si>
  <si>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</si>
  <si>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</si>
  <si>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</si>
  <si>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</si>
  <si>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</si>
  <si>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</si>
  <si>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</si>
  <si>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</si>
  <si>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</si>
  <si>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</si>
  <si>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</si>
  <si>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</si>
  <si>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</si>
  <si>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</si>
  <si>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</si>
  <si>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</si>
  <si>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</si>
  <si>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</si>
  <si>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</si>
  <si>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</si>
  <si>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</si>
  <si>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</si>
  <si>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</si>
  <si>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</si>
  <si>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</si>
  <si>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</si>
  <si>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</si>
  <si>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</si>
  <si>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</si>
  <si>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</si>
  <si>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</si>
  <si>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</si>
  <si>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</si>
  <si>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</si>
  <si>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</si>
  <si>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</si>
  <si>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</si>
  <si>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</si>
  <si>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</si>
  <si>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</si>
  <si>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</si>
  <si>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</si>
  <si>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</si>
  <si>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</si>
  <si>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</si>
  <si>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</si>
  <si>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</si>
  <si>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</si>
  <si>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</si>
  <si>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</si>
  <si>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</si>
  <si>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</si>
  <si>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</si>
  <si>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</si>
  <si>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</si>
  <si>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</si>
  <si>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</si>
  <si>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</si>
  <si>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</si>
  <si>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</si>
  <si>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</si>
  <si>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</si>
  <si>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</si>
  <si>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</si>
  <si>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</si>
  <si>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</si>
  <si>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</si>
  <si>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</si>
  <si>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</si>
  <si>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</si>
  <si>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</si>
  <si>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</si>
  <si>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</si>
  <si>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</si>
  <si>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</si>
  <si>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</si>
  <si>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</si>
  <si>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</si>
  <si>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</si>
  <si>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</si>
  <si>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</si>
  <si>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</si>
  <si>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</si>
  <si>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</si>
  <si>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</si>
  <si>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</si>
  <si>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</si>
  <si>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</si>
  <si>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</si>
  <si>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</si>
  <si>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</si>
  <si>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</si>
  <si>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</si>
  <si>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</si>
  <si>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</si>
  <si>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</si>
  <si>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</si>
  <si>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</si>
  <si>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</si>
  <si>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</si>
  <si>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</si>
  <si>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</si>
  <si>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</si>
  <si>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</si>
  <si>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</si>
  <si>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</si>
  <si>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</si>
  <si>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</si>
  <si>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</si>
  <si>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</si>
  <si>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</si>
  <si>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</si>
  <si>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</si>
  <si>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</si>
  <si>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</si>
  <si>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</si>
  <si>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</si>
  <si>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</si>
  <si>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</si>
  <si>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</si>
  <si>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</si>
  <si>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</si>
  <si>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</si>
  <si>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</si>
  <si>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</si>
  <si>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</si>
  <si>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</si>
  <si>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</si>
  <si>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</si>
  <si>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</si>
  <si>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</si>
  <si>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</si>
  <si>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</si>
  <si>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</si>
  <si>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</si>
  <si>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</si>
  <si>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</si>
  <si>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</si>
  <si>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</si>
  <si>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</si>
  <si>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</si>
  <si>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</si>
  <si>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</si>
  <si>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</si>
  <si>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</si>
  <si>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</si>
  <si>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</si>
  <si>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</si>
  <si>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</si>
  <si>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</si>
  <si>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</si>
  <si>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</si>
  <si>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</si>
  <si>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</si>
  <si>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</si>
  <si>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</si>
  <si>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</si>
  <si>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</si>
  <si>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</si>
  <si>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</si>
  <si>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</si>
  <si>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</si>
  <si>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</si>
  <si>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</si>
  <si>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</si>
  <si>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</si>
  <si>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</si>
  <si>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</si>
  <si>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</si>
  <si>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</si>
  <si>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</si>
  <si>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</si>
  <si>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</si>
  <si>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</si>
  <si>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</si>
  <si>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</si>
  <si>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</si>
  <si>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</si>
  <si>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</si>
  <si>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</si>
  <si>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</si>
  <si>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</si>
  <si>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</si>
  <si>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</si>
  <si>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</si>
  <si>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</si>
  <si>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</si>
  <si>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</si>
  <si>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</si>
  <si>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</si>
  <si>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</si>
  <si>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</si>
  <si>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</si>
  <si>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</si>
  <si>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</si>
  <si>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</si>
  <si>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</si>
  <si>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</si>
  <si>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</si>
  <si>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</si>
  <si>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</si>
  <si>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</si>
  <si>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</si>
  <si>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</si>
  <si>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</si>
  <si>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</si>
  <si>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</si>
  <si>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</si>
  <si>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</si>
  <si>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</si>
  <si>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</si>
  <si>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</si>
  <si>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</si>
  <si>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</si>
  <si>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</si>
  <si>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</si>
  <si>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</si>
  <si>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</si>
  <si>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</si>
  <si>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</si>
  <si>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</si>
  <si>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</si>
  <si>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</si>
  <si>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</si>
  <si>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</si>
  <si>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</si>
  <si>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</si>
  <si>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</si>
  <si>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</si>
  <si>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</si>
  <si>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</si>
  <si>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</si>
  <si>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</si>
  <si>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</si>
  <si>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</si>
  <si>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</si>
  <si>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</si>
  <si>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</si>
  <si>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</si>
  <si>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</si>
  <si>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</si>
  <si>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</si>
  <si>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</si>
  <si>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</si>
  <si>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</si>
  <si>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</si>
  <si>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</si>
  <si>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</si>
  <si>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</si>
  <si>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</si>
  <si>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</si>
  <si>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</si>
  <si>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</si>
  <si>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</si>
  <si>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</si>
  <si>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</si>
  <si>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</si>
  <si>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</si>
  <si>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</si>
  <si>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</si>
  <si>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</si>
  <si>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</si>
  <si>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</si>
  <si>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</si>
  <si>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</si>
  <si>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</si>
  <si>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</si>
  <si>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</si>
  <si>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</si>
  <si>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</si>
  <si>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</si>
  <si>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</si>
  <si>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</si>
  <si>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</si>
  <si>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</si>
  <si>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</si>
  <si>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</si>
  <si>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</si>
  <si>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</si>
  <si>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</si>
  <si>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</si>
  <si>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</si>
  <si>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</si>
  <si>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</si>
  <si>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</si>
  <si>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</si>
  <si>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</si>
  <si>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</si>
  <si>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</si>
  <si>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</si>
  <si>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</si>
  <si>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</si>
  <si>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</si>
  <si>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</si>
  <si>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</si>
  <si>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</si>
  <si>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</si>
  <si>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</si>
  <si>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</si>
  <si>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</si>
  <si>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</si>
  <si>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</si>
  <si>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</si>
  <si>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</si>
  <si>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</si>
  <si>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</si>
  <si>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</si>
  <si>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</si>
  <si>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</si>
  <si>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</si>
  <si>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</si>
  <si>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</si>
  <si>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</si>
  <si>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</si>
  <si>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</si>
  <si>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</si>
  <si>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</si>
  <si>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</si>
  <si>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</si>
  <si>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</si>
  <si>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</si>
  <si>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</si>
  <si>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</si>
  <si>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</si>
  <si>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</si>
  <si>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</si>
  <si>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</si>
  <si>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</si>
  <si>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</si>
  <si>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</si>
  <si>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</si>
  <si>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</si>
  <si>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</si>
  <si>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</si>
  <si>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</si>
  <si>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</si>
  <si>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</si>
  <si>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</si>
  <si>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</si>
  <si>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</si>
  <si>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</si>
  <si>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</si>
  <si>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</si>
  <si>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</si>
  <si>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</si>
  <si>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</si>
  <si>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</si>
  <si>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</si>
  <si>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</si>
  <si>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</si>
  <si>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</si>
  <si>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</si>
  <si>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</si>
  <si>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</si>
  <si>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</si>
  <si>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</si>
  <si>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</si>
  <si>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</si>
  <si>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</si>
  <si>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</si>
  <si>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</si>
  <si>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</si>
  <si>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</si>
  <si>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</si>
  <si>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</si>
  <si>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</si>
  <si>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</si>
  <si>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</si>
  <si>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</si>
  <si>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</si>
  <si>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</si>
  <si>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</si>
  <si>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</si>
  <si>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</si>
  <si>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</si>
  <si>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</si>
  <si>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</si>
  <si>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</si>
  <si>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</si>
  <si>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</si>
  <si>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</si>
  <si>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</si>
  <si>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</si>
  <si>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</si>
  <si>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</si>
  <si>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</si>
  <si>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</si>
  <si>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</si>
  <si>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</si>
  <si>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</si>
  <si>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</si>
  <si>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</si>
  <si>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</si>
  <si>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</si>
  <si>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</si>
  <si>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</si>
  <si>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</si>
  <si>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</si>
  <si>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</si>
  <si>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</si>
  <si>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</si>
  <si>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</si>
  <si>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</si>
  <si>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</si>
  <si>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</si>
  <si>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</si>
  <si>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</si>
  <si>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</si>
  <si>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</si>
  <si>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</si>
  <si>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</si>
  <si>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</si>
  <si>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</si>
  <si>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</si>
  <si>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</si>
  <si>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</si>
  <si>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</si>
  <si>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</si>
  <si>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</si>
  <si>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</si>
  <si>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</si>
  <si>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</si>
  <si>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</si>
  <si>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</si>
  <si>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</si>
  <si>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</si>
  <si>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</si>
  <si>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</si>
  <si>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</si>
  <si>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</si>
  <si>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</si>
  <si>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</si>
  <si>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</si>
  <si>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</si>
  <si>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</si>
  <si>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</si>
  <si>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</si>
  <si>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</si>
  <si>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</si>
  <si>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</si>
  <si>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</si>
  <si>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</si>
  <si>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</si>
  <si>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</si>
  <si>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</si>
  <si>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</si>
  <si>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</si>
  <si>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</si>
  <si>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</si>
  <si>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</si>
  <si>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</si>
  <si>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</si>
  <si>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</si>
  <si>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</si>
  <si>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</si>
  <si>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</si>
  <si>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</si>
  <si>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</si>
  <si>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</si>
  <si>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</si>
  <si>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</si>
  <si>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</si>
  <si>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</si>
  <si>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</si>
  <si>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</si>
  <si>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</si>
  <si>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</si>
  <si>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</si>
  <si>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</si>
  <si>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</si>
  <si>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</si>
  <si>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</si>
  <si>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</si>
  <si>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</si>
  <si>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</si>
  <si>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</si>
  <si>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</si>
  <si>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</si>
  <si>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</si>
  <si>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</si>
  <si>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</si>
  <si>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</si>
  <si>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</si>
  <si>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38 - 46</t>
  </si>
  <si>
    <t>37</t>
  </si>
  <si>
    <t>32-33</t>
  </si>
  <si>
    <t>X</t>
  </si>
  <si>
    <t>LOGAN</t>
  </si>
  <si>
    <t>304 EIGHTH STREET</t>
  </si>
  <si>
    <t>LINCOLN</t>
  </si>
  <si>
    <t>kfroebe@lincoln27.net</t>
  </si>
  <si>
    <t>KENT FROEBE</t>
  </si>
  <si>
    <t>217-732-2522</t>
  </si>
  <si>
    <t>217-732-2198</t>
  </si>
  <si>
    <t>J.M. ABBOTT &amp; ASSOCIATES, LTD.</t>
  </si>
  <si>
    <t>207 S. MCLEAN ST.</t>
  </si>
  <si>
    <t>IL</t>
  </si>
  <si>
    <t>217-735-1576</t>
  </si>
  <si>
    <t>217-735-5866</t>
  </si>
  <si>
    <t>066-005243</t>
  </si>
  <si>
    <t>MARK JONTRY</t>
  </si>
  <si>
    <t>jontrym@roe17.org</t>
  </si>
  <si>
    <t>309-888-5120</t>
  </si>
  <si>
    <t>309-862-0420</t>
  </si>
  <si>
    <t>ED-Instruction-Purchased Services</t>
  </si>
  <si>
    <t>Wendelin</t>
  </si>
  <si>
    <t>ED-Food Services-Purchased Services</t>
  </si>
  <si>
    <t>Beyond Green</t>
  </si>
  <si>
    <t>McLean County Unit #5; ROE #17</t>
  </si>
  <si>
    <t>See Below</t>
  </si>
  <si>
    <t>Tri-County Special Ed Assn.</t>
  </si>
  <si>
    <t>ROE #17</t>
  </si>
  <si>
    <t>Sports - see below</t>
  </si>
  <si>
    <t>Shared Personnel: Both Years: Chester East Lincoln #61; New Holland-Middletown #88; PY only: Lincoln CHSD #404; West Lincoln Broadwell #92; CY only: Hartsburg-Emden #21</t>
  </si>
  <si>
    <t>Shared Sports, both years: West Lincoln Broadwell #92; Chester East Lincoln # 61; Zion Lutheran School, Lincoln.</t>
  </si>
  <si>
    <t>GO Refunding, Alternative Rev Bond, Series 2013</t>
  </si>
  <si>
    <t>3 &amp; 7</t>
  </si>
  <si>
    <t>DEBRA LAST</t>
  </si>
  <si>
    <t>debbie@jmabbott.com</t>
  </si>
  <si>
    <t>The outstanding debt above is alternate revenue bonds, which doesn't count against the debt limit.</t>
  </si>
  <si>
    <t>US DEPARTMENT OF AGRICULTURE</t>
  </si>
  <si>
    <t>PASSED THROUGH IL STATE BOARD OF ED</t>
  </si>
  <si>
    <t>Child Nutrition Cluster (M)</t>
  </si>
  <si>
    <t>National School Lunch Program (M)</t>
  </si>
  <si>
    <t>National School Breakfast Program (M)</t>
  </si>
  <si>
    <t>Special Milk Program for Children (M)</t>
  </si>
  <si>
    <t>Summer Food Service Program for Children (M)</t>
  </si>
  <si>
    <t>Commodities - Noncash Assistance</t>
  </si>
  <si>
    <t>Total Child Nutrition Cluster</t>
  </si>
  <si>
    <t>2019-4210</t>
  </si>
  <si>
    <t>2020-4210</t>
  </si>
  <si>
    <t>2019-4220</t>
  </si>
  <si>
    <t>2020-4220</t>
  </si>
  <si>
    <t>2019-4215</t>
  </si>
  <si>
    <t>2020-4215</t>
  </si>
  <si>
    <t>2019-4225</t>
  </si>
  <si>
    <t>2020-4225</t>
  </si>
  <si>
    <t>N/A</t>
  </si>
  <si>
    <t>Fresh Fruit &amp; Vegetable Program</t>
  </si>
  <si>
    <t>2019-4240-20</t>
  </si>
  <si>
    <t>2020-4240-20</t>
  </si>
  <si>
    <t>TOTAL US DEPARTMENT OF AGRICULTURE</t>
  </si>
  <si>
    <t>US DEPARTMENT OF EDUCATION</t>
  </si>
  <si>
    <t>Title I, Low Income</t>
  </si>
  <si>
    <t>Title I, School Improvement &amp; Accountability</t>
  </si>
  <si>
    <t>Title II, Teacher Quality</t>
  </si>
  <si>
    <t>Title IVA, Student Support &amp; Enrichment</t>
  </si>
  <si>
    <t>Title V, Rural Education</t>
  </si>
  <si>
    <t>2019-4300</t>
  </si>
  <si>
    <t>2020-4300</t>
  </si>
  <si>
    <t>2019-4331-19</t>
  </si>
  <si>
    <t>2020-4331-20</t>
  </si>
  <si>
    <t>2019-4932</t>
  </si>
  <si>
    <t>2020-4932</t>
  </si>
  <si>
    <t>2019-4400</t>
  </si>
  <si>
    <t>2020-4400</t>
  </si>
  <si>
    <t>2019-4107</t>
  </si>
  <si>
    <t>2020-4107</t>
  </si>
  <si>
    <t>SPECIAL EDUCATION CLUSTER (IDEA)</t>
  </si>
  <si>
    <t>PASSED THROUGH TRI-COUNTY SPECIAL EDUCATION ASSOCIATION</t>
  </si>
  <si>
    <t>IDEA Preschool</t>
  </si>
  <si>
    <t>IDEA Flow Through, Part B</t>
  </si>
  <si>
    <t>PASSED THROUGH IL STATE BOARD OF EDUCAITON</t>
  </si>
  <si>
    <t>2019-4600</t>
  </si>
  <si>
    <t>2020-4600</t>
  </si>
  <si>
    <t>2019-4620</t>
  </si>
  <si>
    <t>2020-4620-00</t>
  </si>
  <si>
    <t>2020-4620-EI</t>
  </si>
  <si>
    <t>TOTAL SPECIAL EDUCATION CLUSTER</t>
  </si>
  <si>
    <t>Education Stabilization Fund Grant</t>
  </si>
  <si>
    <t>84.425D</t>
  </si>
  <si>
    <t>2020-4998-ER</t>
  </si>
  <si>
    <t>TOTAL US DEPARTMENT OF EDUCATION</t>
  </si>
  <si>
    <t>US DEPARTMENT OF HEALTH AND HUMAN SERVICES</t>
  </si>
  <si>
    <t>PASSED THROUGH IL DEPT OF HEALTHCARE &amp; FAMILY SERVICES</t>
  </si>
  <si>
    <t>Medical Assistance Program</t>
  </si>
  <si>
    <t>2019-4991</t>
  </si>
  <si>
    <t>2020-4991</t>
  </si>
  <si>
    <t>TOTAL US DEPARTMENT OF HEALTH AND HUMAN SERVICES</t>
  </si>
  <si>
    <t>TOTAL FEDERAL AID</t>
  </si>
  <si>
    <t>The accompanying Schedule of Expenditures of Federal Awards includes the federal grant activity of Lincoln Elementary District #27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</si>
  <si>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Lincoln ESD #27 provided federal awards to subrecipients as follows:</t>
  </si>
  <si>
    <t>NONE</t>
  </si>
  <si>
    <r>
      <t xml:space="preserve">The following amounts were expended in the form of non-cash assistance by Lincoln ESD #27 and </t>
    </r>
    <r>
      <rPr>
        <b/>
        <sz val="9"/>
        <rFont val="Calibri"/>
        <family val="2"/>
        <scheme val="minor"/>
      </rPr>
      <t>should be</t>
    </r>
    <r>
      <rPr>
        <sz val="9"/>
        <rFont val="Calibri"/>
        <family val="2"/>
        <scheme val="minor"/>
      </rPr>
      <t xml:space="preserve"> included in the Schedule of Expenditures of Federal Awards:</t>
    </r>
  </si>
  <si>
    <t>Adverse - GAAP; Unmodified - Regulatory</t>
  </si>
  <si>
    <t>Unmodified</t>
  </si>
  <si>
    <t>Child Nutrition Cluster</t>
  </si>
  <si>
    <t>10.553-10.559</t>
  </si>
  <si>
    <t>NO FINDINGS</t>
  </si>
  <si>
    <t>4% of ILHFS admin assessment witheld from</t>
  </si>
  <si>
    <t xml:space="preserve">  Medical assistance program grants</t>
  </si>
  <si>
    <t>x</t>
  </si>
  <si>
    <t>Adult sales from summer food program</t>
  </si>
  <si>
    <t>P. 11, Line 107, Acct 1999 - Other Local Revenue - Ed Fund</t>
  </si>
  <si>
    <t>P. 10, Line 74, Acct 1690 - Other Food Services - Ed Fund</t>
  </si>
  <si>
    <t>Sale of chairs not in capital outlay</t>
  </si>
  <si>
    <t>Sub reimbursement</t>
  </si>
  <si>
    <t>ROE RSAC Grant</t>
  </si>
  <si>
    <t>p. 12, Line 168, Acct 3999 - Other Restricted Rev - State - Ed Fund</t>
  </si>
  <si>
    <t>Library Grant</t>
  </si>
  <si>
    <t>P. 13, Line 203, Acct 4399 - Title I</t>
  </si>
  <si>
    <t>School Improvement &amp; Accountability Grant 4331</t>
  </si>
  <si>
    <t xml:space="preserve">  Ed Fund</t>
  </si>
  <si>
    <t xml:space="preserve">  Transportation Fund</t>
  </si>
  <si>
    <t>P. 16, Line 83, Acct 4190 - Other Pmts to State Gov'ts - Ed Fund</t>
  </si>
  <si>
    <t>Reading Recovery</t>
  </si>
  <si>
    <t>Crossing Guard</t>
  </si>
  <si>
    <t>School Resource Officer</t>
  </si>
  <si>
    <t>P. 15, Line 41 - Ed Fund and P. 19, Line 237 - IMRF Fund, Function 2190</t>
  </si>
  <si>
    <t>Additional expenses for remote learning setup due to Covid-19</t>
  </si>
  <si>
    <t>P. 18, Line 171, Acct 5400 - Debt Services Other</t>
  </si>
  <si>
    <t>Bond Agent Fee</t>
  </si>
  <si>
    <t>P 3, Line 37 includes $8,445,000 of alternate revenue bonds, which don't count against legal debt margin.</t>
  </si>
  <si>
    <t>Healthy Schools Grant</t>
  </si>
  <si>
    <t>Commodities - Noncash Assistance - Fresh Fruits &amp; Vegetables</t>
  </si>
  <si>
    <t xml:space="preserve">  Lincoln ESD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</si>
</sst>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
      <left/>
      <right/>
      <top style="double">
        <color indexed="64"/>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4"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3" fontId="64" fillId="0" borderId="22" xfId="3" applyNumberFormat="1" applyFont="1" applyBorder="1" applyAlignment="1" applyProtection="1">
      <alignment horizontal="left" vertical="center" wrapText="1" indent="2"/>
      <protection locked="0"/>
    </xf>
    <xf numFmtId="185" fontId="57" fillId="0" borderId="0" xfId="1" applyNumberFormat="1" applyFont="1"/>
    <xf numFmtId="185" fontId="57" fillId="0" borderId="196" xfId="1" applyNumberFormat="1" applyFont="1" applyBorder="1"/>
    <xf numFmtId="185" fontId="57" fillId="0" borderId="197" xfId="1" applyNumberFormat="1" applyFont="1" applyBorder="1"/>
    <xf numFmtId="185" fontId="57" fillId="0" borderId="198" xfId="1" applyNumberFormat="1" applyFont="1" applyBorder="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0</xdr:row>
          <xdr:rowOff>133350</xdr:rowOff>
        </xdr:from>
        <xdr:to>
          <xdr:col>1</xdr:col>
          <xdr:colOff>981075</xdr:colOff>
          <xdr:row>5</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1247775</xdr:colOff>
          <xdr:row>0</xdr:row>
          <xdr:rowOff>133350</xdr:rowOff>
        </xdr:from>
        <xdr:to>
          <xdr:col>1</xdr:col>
          <xdr:colOff>2162175</xdr:colOff>
          <xdr:row>5</xdr:row>
          <xdr:rowOff>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xdr:row>
          <xdr:rowOff>38100</xdr:rowOff>
        </xdr:from>
        <xdr:to>
          <xdr:col>1</xdr:col>
          <xdr:colOff>981075</xdr:colOff>
          <xdr:row>10</xdr:row>
          <xdr:rowOff>76200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6">
        <f>+'AFR20'!E4</f>
        <v>44119</v>
      </c>
      <c r="C1" s="2046"/>
      <c r="D1" s="2047"/>
      <c r="I1" s="2125" t="s">
        <v>402</v>
      </c>
      <c r="J1" s="2126"/>
      <c r="K1" s="2126"/>
      <c r="L1" s="2126"/>
      <c r="M1" s="2126"/>
      <c r="N1" s="2126"/>
      <c r="O1" s="2126"/>
      <c r="P1" s="2126"/>
      <c r="Q1" s="2126"/>
      <c r="R1" s="2126"/>
      <c r="S1" s="2126"/>
    </row>
    <row r="2" spans="1:32" ht="12" customHeight="1" x14ac:dyDescent="0.2">
      <c r="A2" s="1831" t="str">
        <f>"Due to ISBE on "</f>
        <v xml:space="preserve">Due to ISBE on </v>
      </c>
      <c r="B2" s="2048">
        <f>+'AFR20'!F4</f>
        <v>44151</v>
      </c>
      <c r="C2" s="2048"/>
      <c r="D2" s="2049"/>
      <c r="I2" s="2127" t="s">
        <v>2000</v>
      </c>
      <c r="J2" s="2126"/>
      <c r="K2" s="2126"/>
      <c r="L2" s="2126"/>
      <c r="M2" s="2126"/>
      <c r="N2" s="2126"/>
      <c r="O2" s="2126"/>
      <c r="P2" s="2126"/>
      <c r="Q2" s="2126"/>
      <c r="R2" s="2126"/>
      <c r="S2" s="2126"/>
    </row>
    <row r="3" spans="1:32" ht="12" customHeight="1" x14ac:dyDescent="0.2">
      <c r="A3" s="1834" t="str">
        <f>"SD/JA"&amp;MID('AFR20'!E2,3,2)</f>
        <v>SD/JA20</v>
      </c>
      <c r="B3" s="151"/>
      <c r="C3" s="151"/>
      <c r="D3" s="152"/>
      <c r="I3" s="2127" t="s">
        <v>52</v>
      </c>
      <c r="J3" s="2126"/>
      <c r="K3" s="2126"/>
      <c r="L3" s="2126"/>
      <c r="M3" s="2126"/>
      <c r="N3" s="2126"/>
      <c r="O3" s="2126"/>
      <c r="P3" s="2126"/>
      <c r="Q3" s="2126"/>
      <c r="R3" s="2126"/>
      <c r="S3" s="2126"/>
    </row>
    <row r="4" spans="1:32" ht="12" customHeight="1" x14ac:dyDescent="0.2">
      <c r="A4" s="37"/>
      <c r="I4" s="2127" t="s">
        <v>521</v>
      </c>
      <c r="J4" s="2126"/>
      <c r="K4" s="2126"/>
      <c r="L4" s="2126"/>
      <c r="M4" s="2126"/>
      <c r="N4" s="2126"/>
      <c r="O4" s="2126"/>
      <c r="P4" s="2126"/>
      <c r="Q4" s="2126"/>
      <c r="R4" s="2126"/>
      <c r="S4" s="2126"/>
    </row>
    <row r="5" spans="1:32" ht="14.1" customHeight="1" x14ac:dyDescent="0.2">
      <c r="B5" s="101" t="s">
        <v>2048</v>
      </c>
      <c r="C5" s="26" t="s">
        <v>904</v>
      </c>
      <c r="D5" s="81"/>
      <c r="E5" s="81"/>
      <c r="H5" s="38"/>
      <c r="I5" s="2134" t="s">
        <v>675</v>
      </c>
      <c r="J5" s="2079"/>
      <c r="K5" s="2079"/>
      <c r="L5" s="2079"/>
      <c r="M5" s="2079"/>
      <c r="N5" s="2079"/>
      <c r="O5" s="2079"/>
      <c r="P5" s="2079"/>
      <c r="Q5" s="2079"/>
      <c r="R5" s="2079"/>
      <c r="S5" s="2079"/>
      <c r="AF5" s="1827"/>
    </row>
    <row r="6" spans="1:32" ht="14.1" customHeight="1" x14ac:dyDescent="0.2">
      <c r="B6" s="101"/>
      <c r="C6" s="26" t="s">
        <v>905</v>
      </c>
      <c r="D6" s="81"/>
      <c r="E6" s="81"/>
      <c r="I6" s="2133" t="s">
        <v>877</v>
      </c>
      <c r="J6" s="2079"/>
      <c r="K6" s="2079"/>
      <c r="L6" s="2079"/>
      <c r="M6" s="2079"/>
      <c r="N6" s="2079"/>
      <c r="O6" s="2079"/>
      <c r="P6" s="2079"/>
      <c r="Q6" s="2079"/>
      <c r="R6" s="2079"/>
      <c r="S6" s="2079"/>
    </row>
    <row r="7" spans="1:32" ht="12.2" customHeight="1" x14ac:dyDescent="0.2">
      <c r="I7" s="2128" t="str">
        <f>"June 30, "&amp;'AFR20'!E2</f>
        <v>June 30, 2020</v>
      </c>
      <c r="J7" s="2129"/>
      <c r="K7" s="2129"/>
      <c r="L7" s="2129"/>
      <c r="M7" s="2129"/>
      <c r="N7" s="2129"/>
      <c r="O7" s="2129"/>
      <c r="P7" s="2129"/>
      <c r="Q7" s="2129"/>
      <c r="R7" s="2129"/>
      <c r="S7" s="212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0" t="s">
        <v>669</v>
      </c>
      <c r="J9" s="2131"/>
      <c r="K9" s="2131"/>
      <c r="L9" s="2131"/>
      <c r="M9" s="2131"/>
      <c r="N9" s="2131"/>
      <c r="O9" s="2131"/>
      <c r="P9" s="2131"/>
      <c r="Q9" s="2131"/>
      <c r="R9" s="2131"/>
      <c r="S9" s="2132"/>
      <c r="T9" s="2075" t="s">
        <v>530</v>
      </c>
      <c r="U9" s="2076"/>
      <c r="V9" s="2076"/>
      <c r="W9" s="2076"/>
      <c r="X9" s="2076"/>
      <c r="Y9" s="2076"/>
      <c r="Z9" s="2076"/>
      <c r="AA9" s="2077"/>
    </row>
    <row r="10" spans="1:32" ht="13.5" customHeight="1" x14ac:dyDescent="0.2">
      <c r="A10" s="2084" t="s">
        <v>670</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x14ac:dyDescent="0.2">
      <c r="A11" s="2087" t="s">
        <v>949</v>
      </c>
      <c r="B11" s="2088"/>
      <c r="C11" s="2088"/>
      <c r="D11" s="2088"/>
      <c r="E11" s="2088"/>
      <c r="F11" s="2088"/>
      <c r="G11" s="2088"/>
      <c r="H11" s="2089"/>
      <c r="I11" s="27"/>
      <c r="J11" s="71"/>
      <c r="K11" s="27"/>
      <c r="O11" s="144" t="s">
        <v>2048</v>
      </c>
      <c r="P11" s="97" t="s">
        <v>199</v>
      </c>
      <c r="Q11" s="30"/>
      <c r="R11" s="28"/>
      <c r="S11" s="27"/>
      <c r="T11" s="2081"/>
      <c r="U11" s="2082"/>
      <c r="V11" s="2082"/>
      <c r="W11" s="2082"/>
      <c r="X11" s="2082"/>
      <c r="Y11" s="2082"/>
      <c r="Z11" s="2082"/>
      <c r="AA11" s="208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5">
        <v>17054027002</v>
      </c>
      <c r="B13" s="2096"/>
      <c r="C13" s="2096"/>
      <c r="D13" s="2096"/>
      <c r="E13" s="2096"/>
      <c r="F13" s="2096"/>
      <c r="G13" s="2096"/>
      <c r="H13" s="2097"/>
      <c r="I13" s="31"/>
      <c r="J13" s="30"/>
      <c r="K13" s="28"/>
      <c r="L13" s="30"/>
      <c r="M13" s="30"/>
      <c r="N13" s="30"/>
      <c r="O13" s="30"/>
      <c r="P13" s="30"/>
      <c r="Q13" s="30"/>
      <c r="R13" s="30"/>
      <c r="S13" s="30"/>
      <c r="T13" s="2100" t="s">
        <v>2056</v>
      </c>
      <c r="U13" s="2101"/>
      <c r="V13" s="2101"/>
      <c r="W13" s="2101"/>
      <c r="X13" s="2101"/>
      <c r="Y13" s="2102"/>
      <c r="Z13" s="2102"/>
      <c r="AA13" s="210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3" t="s">
        <v>2049</v>
      </c>
      <c r="B15" s="2098"/>
      <c r="C15" s="2098"/>
      <c r="D15" s="2098"/>
      <c r="E15" s="2098"/>
      <c r="F15" s="2098"/>
      <c r="G15" s="2098"/>
      <c r="H15" s="2099"/>
      <c r="T15" s="2061" t="s">
        <v>2079</v>
      </c>
      <c r="U15" s="2062"/>
      <c r="V15" s="2062"/>
      <c r="W15" s="2062"/>
      <c r="X15" s="2062"/>
      <c r="Y15" s="2104"/>
      <c r="Z15" s="2104"/>
      <c r="AA15" s="210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3" t="s">
        <v>2177</v>
      </c>
      <c r="B17" s="2123"/>
      <c r="C17" s="2123"/>
      <c r="D17" s="2123"/>
      <c r="E17" s="2123"/>
      <c r="F17" s="2123"/>
      <c r="G17" s="2123"/>
      <c r="H17" s="2124"/>
      <c r="T17" s="2110" t="s">
        <v>2057</v>
      </c>
      <c r="U17" s="2111"/>
      <c r="V17" s="2111"/>
      <c r="W17" s="2111"/>
      <c r="X17" s="2111"/>
      <c r="Y17" s="2111"/>
      <c r="Z17" s="2111"/>
      <c r="AA17" s="2112"/>
    </row>
    <row r="18" spans="1:27" ht="13.5" customHeight="1" x14ac:dyDescent="0.2">
      <c r="A18" s="82" t="s">
        <v>527</v>
      </c>
      <c r="B18" s="73"/>
      <c r="C18" s="69"/>
      <c r="D18" s="73"/>
      <c r="E18" s="73"/>
      <c r="F18" s="73"/>
      <c r="G18" s="73"/>
      <c r="H18" s="53"/>
      <c r="I18" s="2120" t="s">
        <v>671</v>
      </c>
      <c r="J18" s="2121"/>
      <c r="K18" s="2121"/>
      <c r="L18" s="2121"/>
      <c r="M18" s="2121"/>
      <c r="N18" s="2121"/>
      <c r="O18" s="2121"/>
      <c r="P18" s="2121"/>
      <c r="Q18" s="2121"/>
      <c r="R18" s="2121"/>
      <c r="S18" s="2122"/>
      <c r="T18" s="82" t="s">
        <v>706</v>
      </c>
      <c r="U18" s="48"/>
      <c r="V18" s="69"/>
      <c r="W18" s="47"/>
      <c r="X18" s="82" t="s">
        <v>264</v>
      </c>
      <c r="Y18" s="78"/>
      <c r="Z18" s="154" t="s">
        <v>672</v>
      </c>
      <c r="AA18" s="44"/>
    </row>
    <row r="19" spans="1:27" ht="13.5" customHeight="1" x14ac:dyDescent="0.2">
      <c r="A19" s="2093" t="s">
        <v>2050</v>
      </c>
      <c r="B19" s="2094"/>
      <c r="C19" s="2094"/>
      <c r="D19" s="2094"/>
      <c r="E19" s="2094"/>
      <c r="F19" s="2094"/>
      <c r="G19" s="2094"/>
      <c r="H19" s="2092"/>
      <c r="I19" s="30"/>
      <c r="J19" s="96"/>
      <c r="K19" s="40"/>
      <c r="L19" s="38"/>
      <c r="M19" s="109" t="s">
        <v>312</v>
      </c>
      <c r="P19" s="27"/>
      <c r="Q19" s="27"/>
      <c r="R19" s="27"/>
      <c r="S19" s="31"/>
      <c r="T19" s="2093" t="s">
        <v>2051</v>
      </c>
      <c r="U19" s="2091"/>
      <c r="V19" s="2091"/>
      <c r="W19" s="2092"/>
      <c r="X19" s="2108" t="s">
        <v>2058</v>
      </c>
      <c r="Y19" s="2109"/>
      <c r="Z19" s="2106">
        <v>62656</v>
      </c>
      <c r="AA19" s="210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0" t="s">
        <v>2051</v>
      </c>
      <c r="B21" s="2091"/>
      <c r="C21" s="2091"/>
      <c r="D21" s="2091"/>
      <c r="E21" s="2091"/>
      <c r="F21" s="2091"/>
      <c r="G21" s="2091"/>
      <c r="H21" s="2092"/>
      <c r="I21" s="2116" t="s">
        <v>673</v>
      </c>
      <c r="J21" s="2079"/>
      <c r="K21" s="2079"/>
      <c r="L21" s="2079"/>
      <c r="M21" s="2079"/>
      <c r="N21" s="2079"/>
      <c r="O21" s="2079"/>
      <c r="P21" s="2079"/>
      <c r="Q21" s="2079"/>
      <c r="R21" s="2079"/>
      <c r="S21" s="2080"/>
      <c r="T21" s="2058" t="s">
        <v>2059</v>
      </c>
      <c r="U21" s="2059"/>
      <c r="V21" s="2059"/>
      <c r="W21" s="2059"/>
      <c r="X21" s="2072" t="s">
        <v>2060</v>
      </c>
      <c r="Y21" s="2073"/>
      <c r="Z21" s="2073"/>
      <c r="AA21" s="2074"/>
    </row>
    <row r="22" spans="1:27" ht="13.5" customHeight="1" x14ac:dyDescent="0.2">
      <c r="A22" s="84" t="s">
        <v>528</v>
      </c>
      <c r="B22" s="56"/>
      <c r="C22" s="56"/>
      <c r="D22" s="56"/>
      <c r="E22" s="56"/>
      <c r="F22" s="56"/>
      <c r="G22" s="56"/>
      <c r="H22" s="57"/>
      <c r="I22" s="2117" t="s">
        <v>1412</v>
      </c>
      <c r="J22" s="2118"/>
      <c r="K22" s="2118"/>
      <c r="L22" s="2118"/>
      <c r="M22" s="2118"/>
      <c r="N22" s="2118"/>
      <c r="O22" s="2118"/>
      <c r="P22" s="2118"/>
      <c r="Q22" s="2118"/>
      <c r="R22" s="2118"/>
      <c r="S22" s="2119"/>
      <c r="T22" s="82" t="s">
        <v>1499</v>
      </c>
      <c r="U22" s="48"/>
      <c r="V22" s="69"/>
      <c r="W22" s="48"/>
      <c r="X22" s="155" t="s">
        <v>1307</v>
      </c>
      <c r="Z22" s="43"/>
      <c r="AA22" s="44"/>
    </row>
    <row r="23" spans="1:27" ht="13.5" customHeight="1" x14ac:dyDescent="0.2">
      <c r="A23" s="2113" t="s">
        <v>2052</v>
      </c>
      <c r="B23" s="2114"/>
      <c r="C23" s="2114"/>
      <c r="D23" s="2114"/>
      <c r="E23" s="2114"/>
      <c r="F23" s="2114"/>
      <c r="G23" s="2114"/>
      <c r="H23" s="2115"/>
      <c r="T23" s="2053" t="s">
        <v>2061</v>
      </c>
      <c r="U23" s="2054"/>
      <c r="V23" s="2054"/>
      <c r="W23" s="2054"/>
      <c r="X23" s="2069">
        <v>44530</v>
      </c>
      <c r="Y23" s="2070"/>
      <c r="Z23" s="2070"/>
      <c r="AA23" s="2071"/>
    </row>
    <row r="24" spans="1:27" ht="14.1" customHeight="1" x14ac:dyDescent="0.2">
      <c r="A24" s="85" t="s">
        <v>672</v>
      </c>
      <c r="B24" s="46"/>
      <c r="C24" s="46"/>
      <c r="D24" s="46"/>
      <c r="E24" s="46"/>
      <c r="F24" s="46"/>
      <c r="G24" s="46"/>
      <c r="H24" s="58"/>
      <c r="J24" s="2150">
        <f>IF(B5="x",IF(AUDITCHECK!D29="AFR form Incomplete.","",IF(AUDITCHECK!D29="Deficit reduction plan is required.","School District must complete a deficit reduction plan in the 2019-2020 Budget",)),"")</f>
        <v>0</v>
      </c>
      <c r="K24" s="2150"/>
      <c r="L24" s="2150"/>
      <c r="M24" s="2150"/>
      <c r="N24" s="2150"/>
      <c r="O24" s="2150"/>
      <c r="P24" s="2150"/>
      <c r="Q24" s="2150"/>
      <c r="R24" s="2150"/>
      <c r="S24" s="2151"/>
      <c r="T24" s="102" t="s">
        <v>528</v>
      </c>
      <c r="U24" s="103"/>
      <c r="V24" s="103"/>
      <c r="W24" s="103"/>
      <c r="X24" s="104"/>
      <c r="Y24" s="104"/>
      <c r="Z24" s="104"/>
      <c r="AA24" s="105"/>
    </row>
    <row r="25" spans="1:27" ht="14.1" customHeight="1" x14ac:dyDescent="0.2">
      <c r="A25" s="2090">
        <v>62656</v>
      </c>
      <c r="B25" s="2091"/>
      <c r="C25" s="2091"/>
      <c r="D25" s="2091"/>
      <c r="E25" s="2091"/>
      <c r="F25" s="2091"/>
      <c r="G25" s="2091"/>
      <c r="H25" s="2092"/>
      <c r="I25" s="110"/>
      <c r="J25" s="2152"/>
      <c r="K25" s="2152"/>
      <c r="L25" s="2152"/>
      <c r="M25" s="2152"/>
      <c r="N25" s="2152"/>
      <c r="O25" s="2152"/>
      <c r="P25" s="2152"/>
      <c r="Q25" s="2152"/>
      <c r="R25" s="2152"/>
      <c r="S25" s="2153"/>
      <c r="T25" s="2050" t="s">
        <v>2080</v>
      </c>
      <c r="U25" s="2051"/>
      <c r="V25" s="2051"/>
      <c r="W25" s="2051"/>
      <c r="X25" s="2051"/>
      <c r="Y25" s="2051"/>
      <c r="Z25" s="2051"/>
      <c r="AA25" s="20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8" t="s">
        <v>1494</v>
      </c>
      <c r="J27" s="2121"/>
      <c r="K27" s="2121"/>
      <c r="L27" s="2121"/>
      <c r="M27" s="2121"/>
      <c r="N27" s="2121"/>
      <c r="O27" s="2121"/>
      <c r="P27" s="2121"/>
      <c r="Q27" s="2121"/>
      <c r="R27" s="2121"/>
      <c r="S27" s="212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4"/>
      <c r="Q35" s="2091"/>
      <c r="R35" s="20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3" t="s">
        <v>2053</v>
      </c>
      <c r="B38" s="2123"/>
      <c r="C38" s="2123"/>
      <c r="D38" s="2123"/>
      <c r="E38" s="2123"/>
      <c r="F38" s="2091"/>
      <c r="G38" s="2091"/>
      <c r="H38" s="2092"/>
      <c r="I38" s="2142"/>
      <c r="J38" s="2062"/>
      <c r="K38" s="2062"/>
      <c r="L38" s="2062"/>
      <c r="M38" s="2062"/>
      <c r="N38" s="2062"/>
      <c r="O38" s="2062"/>
      <c r="P38" s="2063"/>
      <c r="Q38" s="2063"/>
      <c r="R38" s="2063"/>
      <c r="S38" s="2064"/>
      <c r="T38" s="2061" t="s">
        <v>2062</v>
      </c>
      <c r="U38" s="2062"/>
      <c r="V38" s="2062"/>
      <c r="W38" s="2062"/>
      <c r="X38" s="2063"/>
      <c r="Y38" s="2063"/>
      <c r="Z38" s="2063"/>
      <c r="AA38" s="2064"/>
    </row>
    <row r="39" spans="1:27" ht="12" customHeight="1" x14ac:dyDescent="0.2">
      <c r="A39" s="2146" t="s">
        <v>528</v>
      </c>
      <c r="B39" s="2147"/>
      <c r="C39" s="69"/>
      <c r="D39" s="66"/>
      <c r="E39" s="66"/>
      <c r="F39" s="76"/>
      <c r="G39" s="66"/>
      <c r="H39" s="53"/>
      <c r="I39" s="2146" t="s">
        <v>528</v>
      </c>
      <c r="J39" s="2147"/>
      <c r="K39" s="2147"/>
      <c r="L39" s="2147"/>
      <c r="M39" s="2147"/>
      <c r="N39" s="64"/>
      <c r="O39" s="69"/>
      <c r="P39" s="69"/>
      <c r="Q39" s="75"/>
      <c r="R39" s="69"/>
      <c r="S39" s="53"/>
      <c r="T39" s="69" t="s">
        <v>528</v>
      </c>
      <c r="U39" s="48"/>
      <c r="V39" s="69"/>
      <c r="W39" s="47"/>
      <c r="X39" s="75"/>
      <c r="Y39" s="43"/>
      <c r="Z39" s="43"/>
      <c r="AA39" s="44"/>
    </row>
    <row r="40" spans="1:27" ht="13.5" customHeight="1" x14ac:dyDescent="0.2">
      <c r="A40" s="2113" t="s">
        <v>2052</v>
      </c>
      <c r="B40" s="2114"/>
      <c r="C40" s="2114"/>
      <c r="D40" s="2114"/>
      <c r="E40" s="2114"/>
      <c r="F40" s="2114"/>
      <c r="G40" s="2114"/>
      <c r="H40" s="2115"/>
      <c r="I40" s="2065"/>
      <c r="J40" s="2067"/>
      <c r="K40" s="2067"/>
      <c r="L40" s="2067"/>
      <c r="M40" s="2067"/>
      <c r="N40" s="2067"/>
      <c r="O40" s="2067"/>
      <c r="P40" s="2067"/>
      <c r="Q40" s="2067"/>
      <c r="R40" s="2067"/>
      <c r="S40" s="2068"/>
      <c r="T40" s="2065" t="s">
        <v>2063</v>
      </c>
      <c r="U40" s="2066"/>
      <c r="V40" s="2067"/>
      <c r="W40" s="2067"/>
      <c r="X40" s="2067"/>
      <c r="Y40" s="2067"/>
      <c r="Z40" s="2067"/>
      <c r="AA40" s="206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9" t="s">
        <v>2054</v>
      </c>
      <c r="B42" s="2140"/>
      <c r="C42" s="2141"/>
      <c r="D42" s="2149" t="s">
        <v>2055</v>
      </c>
      <c r="E42" s="2140"/>
      <c r="F42" s="2140"/>
      <c r="G42" s="2140"/>
      <c r="H42" s="2141"/>
      <c r="I42" s="2060"/>
      <c r="J42" s="2056"/>
      <c r="K42" s="2056"/>
      <c r="L42" s="2056"/>
      <c r="M42" s="2056"/>
      <c r="N42" s="2056"/>
      <c r="O42" s="2057"/>
      <c r="P42" s="2055"/>
      <c r="Q42" s="2056"/>
      <c r="R42" s="2056"/>
      <c r="S42" s="2057"/>
      <c r="T42" s="2060" t="s">
        <v>2064</v>
      </c>
      <c r="U42" s="2056"/>
      <c r="V42" s="2056"/>
      <c r="W42" s="2057"/>
      <c r="X42" s="2055" t="s">
        <v>2065</v>
      </c>
      <c r="Y42" s="2056"/>
      <c r="Z42" s="2056"/>
      <c r="AA42" s="205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3"/>
      <c r="B44" s="2144"/>
      <c r="C44" s="2144"/>
      <c r="D44" s="2144"/>
      <c r="E44" s="2144"/>
      <c r="F44" s="2144"/>
      <c r="G44" s="2144"/>
      <c r="H44" s="2145"/>
      <c r="I44" s="2135"/>
      <c r="J44" s="2137"/>
      <c r="K44" s="2137"/>
      <c r="L44" s="2137"/>
      <c r="M44" s="2137"/>
      <c r="N44" s="2137"/>
      <c r="O44" s="2137"/>
      <c r="P44" s="2137"/>
      <c r="Q44" s="2137"/>
      <c r="R44" s="2137"/>
      <c r="S44" s="2138"/>
      <c r="T44" s="2135"/>
      <c r="U44" s="2136"/>
      <c r="V44" s="2136"/>
      <c r="W44" s="2136"/>
      <c r="X44" s="2136"/>
      <c r="Y44" s="2136"/>
      <c r="Z44" s="2137"/>
      <c r="AA44" s="213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3"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2"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3"/>
      <c r="B3" s="1294"/>
      <c r="C3" s="1295"/>
      <c r="D3" s="1296" t="s">
        <v>254</v>
      </c>
      <c r="E3" s="1295"/>
      <c r="F3" s="1296" t="s">
        <v>255</v>
      </c>
    </row>
    <row r="4" spans="1:8" ht="13.7" customHeight="1" x14ac:dyDescent="0.2">
      <c r="A4" s="579" t="s">
        <v>1145</v>
      </c>
      <c r="B4" s="1721">
        <f>'Revenues 9-14'!C5</f>
        <v>3242045</v>
      </c>
      <c r="C4" s="1722"/>
      <c r="D4" s="1723">
        <f>B4-C4</f>
        <v>3242045</v>
      </c>
      <c r="E4" s="1722">
        <v>3355740</v>
      </c>
      <c r="F4" s="1723">
        <f>E4-C4</f>
        <v>3355740</v>
      </c>
    </row>
    <row r="5" spans="1:8" ht="13.7" customHeight="1" x14ac:dyDescent="0.2">
      <c r="A5" s="579" t="s">
        <v>865</v>
      </c>
      <c r="B5" s="1724">
        <f>'Revenues 9-14'!D5</f>
        <v>421154</v>
      </c>
      <c r="C5" s="1664"/>
      <c r="D5" s="1725">
        <f t="shared" ref="D5:D18" si="0">B5-C5</f>
        <v>421154</v>
      </c>
      <c r="E5" s="1664">
        <v>414572</v>
      </c>
      <c r="F5" s="1725">
        <f>E5-C5</f>
        <v>414572</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103938</v>
      </c>
      <c r="C7" s="1664"/>
      <c r="D7" s="1725">
        <f t="shared" si="0"/>
        <v>103938</v>
      </c>
      <c r="E7" s="1664">
        <v>105358</v>
      </c>
      <c r="F7" s="1725">
        <f t="shared" si="1"/>
        <v>105358</v>
      </c>
    </row>
    <row r="8" spans="1:8" ht="13.7" customHeight="1" x14ac:dyDescent="0.2">
      <c r="A8" s="579" t="s">
        <v>1169</v>
      </c>
      <c r="B8" s="1724">
        <f>'Revenues 9-14'!G5</f>
        <v>148470</v>
      </c>
      <c r="C8" s="1664"/>
      <c r="D8" s="1725">
        <f t="shared" si="0"/>
        <v>148470</v>
      </c>
      <c r="E8" s="1664">
        <v>160963</v>
      </c>
      <c r="F8" s="1725">
        <f t="shared" si="1"/>
        <v>160963</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v>0</v>
      </c>
      <c r="F11" s="1725">
        <f t="shared" si="1"/>
        <v>0</v>
      </c>
    </row>
    <row r="12" spans="1:8" ht="13.7" customHeight="1" x14ac:dyDescent="0.2">
      <c r="A12" s="579" t="s">
        <v>156</v>
      </c>
      <c r="B12" s="1724">
        <f>'Revenues 9-14'!K5</f>
        <v>44545</v>
      </c>
      <c r="C12" s="1664"/>
      <c r="D12" s="1725">
        <f t="shared" si="0"/>
        <v>44545</v>
      </c>
      <c r="E12" s="1664">
        <v>43901</v>
      </c>
      <c r="F12" s="1725">
        <f t="shared" si="1"/>
        <v>43901</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22772</v>
      </c>
      <c r="C14" s="1664"/>
      <c r="D14" s="1725">
        <f t="shared" si="0"/>
        <v>22772</v>
      </c>
      <c r="E14" s="1664">
        <v>23662</v>
      </c>
      <c r="F14" s="1725">
        <f t="shared" si="1"/>
        <v>23662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148470</v>
      </c>
      <c r="C16" s="1664"/>
      <c r="D16" s="1725">
        <f t="shared" si="0"/>
        <v>148470</v>
      </c>
      <c r="E16" s="1664">
        <v>170724</v>
      </c>
      <c r="F16" s="1725">
        <f t="shared" si="1"/>
        <v>170724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4131394</v>
      </c>
      <c r="C19" s="1726">
        <f>SUM(C4:C18)</f>
        <v>0</v>
      </c>
      <c r="D19" s="1726">
        <f>SUM(D4:D18)</f>
        <v>4131394</v>
      </c>
      <c r="E19" s="1726">
        <f>SUM(E4:E18)</f>
        <v>4274920</v>
      </c>
      <c r="F19" s="1726">
        <f>SUM(F4:F18)</f>
        <v>4274920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3" right="0.15" top="1.65" bottom="0.52" header="0.94" footer="0.2"/>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8" t="s">
        <v>625</v>
      </c>
      <c r="B1" s="2299"/>
      <c r="C1" s="585"/>
    </row>
    <row r="2" spans="1:7" ht="33.75" x14ac:dyDescent="0.2">
      <c r="A2" s="2307" t="s">
        <v>1776</v>
      </c>
      <c r="B2" s="230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1" t="s">
        <v>1104</v>
      </c>
      <c r="B3" s="2312"/>
      <c r="C3" s="2300"/>
      <c r="D3" s="2301"/>
      <c r="E3" s="2301"/>
      <c r="F3" s="2302"/>
    </row>
    <row r="4" spans="1:7" ht="12.75" customHeight="1" thickBot="1" x14ac:dyDescent="0.25">
      <c r="A4" s="2309" t="s">
        <v>626</v>
      </c>
      <c r="B4" s="2310"/>
      <c r="C4" s="1656"/>
      <c r="D4" s="1656"/>
      <c r="E4" s="1656"/>
      <c r="F4" s="1732">
        <f>SUM(C4+D4)-E4</f>
        <v>0</v>
      </c>
    </row>
    <row r="5" spans="1:7" ht="15.75" customHeight="1" thickTop="1" x14ac:dyDescent="0.2">
      <c r="A5" s="2294" t="s">
        <v>1101</v>
      </c>
      <c r="B5" s="2295"/>
      <c r="C5" s="2303"/>
      <c r="D5" s="2304"/>
      <c r="E5" s="2304"/>
      <c r="F5" s="2305"/>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6" t="s">
        <v>627</v>
      </c>
      <c r="B15" s="2297"/>
      <c r="C15" s="1732">
        <f>SUM(C6:C14)</f>
        <v>0</v>
      </c>
      <c r="D15" s="1732">
        <f>SUM(D6:D14)</f>
        <v>0</v>
      </c>
      <c r="E15" s="1732">
        <f>SUM(E6:E14)</f>
        <v>0</v>
      </c>
      <c r="F15" s="1732">
        <f>SUM(F6:F14)</f>
        <v>0</v>
      </c>
      <c r="G15" s="473"/>
    </row>
    <row r="16" spans="1:7" s="197" customFormat="1" ht="15.75" customHeight="1" thickTop="1" x14ac:dyDescent="0.2">
      <c r="A16" s="2306" t="s">
        <v>1102</v>
      </c>
      <c r="B16" s="2295"/>
      <c r="C16" s="2303"/>
      <c r="D16" s="2304"/>
      <c r="E16" s="2304"/>
      <c r="F16" s="2305"/>
    </row>
    <row r="17" spans="1:11" ht="12.75" customHeight="1" thickBot="1" x14ac:dyDescent="0.25">
      <c r="A17" s="2319" t="s">
        <v>64</v>
      </c>
      <c r="B17" s="2320"/>
      <c r="C17" s="1733"/>
      <c r="D17" s="1664"/>
      <c r="E17" s="1733"/>
      <c r="F17" s="1732">
        <f>SUM(C17+D17)-E17</f>
        <v>0</v>
      </c>
    </row>
    <row r="18" spans="1:11" ht="12.75" customHeight="1" thickTop="1" thickBot="1" x14ac:dyDescent="0.25">
      <c r="A18" s="2319" t="s">
        <v>6</v>
      </c>
      <c r="B18" s="2320"/>
      <c r="C18" s="1733"/>
      <c r="D18" s="1664"/>
      <c r="E18" s="1733"/>
      <c r="F18" s="1732">
        <f>SUM(C18+D18)-E18</f>
        <v>0</v>
      </c>
    </row>
    <row r="19" spans="1:11" ht="12.75" customHeight="1" thickTop="1" thickBot="1" x14ac:dyDescent="0.25">
      <c r="A19" s="2319" t="s">
        <v>385</v>
      </c>
      <c r="B19" s="2320"/>
      <c r="C19" s="1733"/>
      <c r="D19" s="1664"/>
      <c r="E19" s="1733"/>
      <c r="F19" s="1732">
        <f>SUM(C19+D19)-E19</f>
        <v>0</v>
      </c>
    </row>
    <row r="20" spans="1:11" ht="12.75" customHeight="1" thickTop="1" thickBot="1" x14ac:dyDescent="0.25">
      <c r="A20" s="2319" t="s">
        <v>445</v>
      </c>
      <c r="B20" s="2320"/>
      <c r="C20" s="1733"/>
      <c r="D20" s="1664"/>
      <c r="E20" s="1733"/>
      <c r="F20" s="1732">
        <f>SUM(C20+D20)-E20</f>
        <v>0</v>
      </c>
    </row>
    <row r="21" spans="1:11" ht="14.25" thickTop="1" thickBot="1" x14ac:dyDescent="0.25">
      <c r="A21" s="2296" t="s">
        <v>628</v>
      </c>
      <c r="B21" s="2297"/>
      <c r="C21" s="1732">
        <f>SUM(C17:C20)</f>
        <v>0</v>
      </c>
      <c r="D21" s="1732">
        <f>SUM(D17:D20)</f>
        <v>0</v>
      </c>
      <c r="E21" s="1732">
        <f>SUM(E17:E20)</f>
        <v>0</v>
      </c>
      <c r="F21" s="1732">
        <f>SUM(F17:F20)</f>
        <v>0</v>
      </c>
      <c r="G21" s="473"/>
    </row>
    <row r="22" spans="1:11" ht="15.75" customHeight="1" thickTop="1" x14ac:dyDescent="0.2">
      <c r="A22" s="2321" t="s">
        <v>1103</v>
      </c>
      <c r="B22" s="2295"/>
      <c r="C22" s="2303"/>
      <c r="D22" s="2304"/>
      <c r="E22" s="2304"/>
      <c r="F22" s="2305"/>
    </row>
    <row r="23" spans="1:11" ht="13.5" thickBot="1" x14ac:dyDescent="0.25">
      <c r="A23" s="2309" t="s">
        <v>629</v>
      </c>
      <c r="B23" s="2310"/>
      <c r="C23" s="1656"/>
      <c r="D23" s="1656"/>
      <c r="E23" s="1656"/>
      <c r="F23" s="1732">
        <f>SUM(C23+D23)-E23</f>
        <v>0</v>
      </c>
      <c r="G23" s="473"/>
    </row>
    <row r="24" spans="1:11" ht="15.75" customHeight="1" thickTop="1" x14ac:dyDescent="0.2">
      <c r="A24" s="2321" t="s">
        <v>2003</v>
      </c>
      <c r="B24" s="2295"/>
      <c r="C24" s="2303"/>
      <c r="D24" s="2304"/>
      <c r="E24" s="2304"/>
      <c r="F24" s="2305"/>
    </row>
    <row r="25" spans="1:11" ht="13.5" thickBot="1" x14ac:dyDescent="0.25">
      <c r="A25" s="2309" t="s">
        <v>2004</v>
      </c>
      <c r="B25" s="2310"/>
      <c r="C25" s="1656"/>
      <c r="D25" s="1656"/>
      <c r="E25" s="1656"/>
      <c r="F25" s="1732">
        <f>SUM(C25+D25)-E25</f>
        <v>0</v>
      </c>
      <c r="G25" s="473"/>
    </row>
    <row r="26" spans="1:11" ht="15.75" customHeight="1" thickTop="1" x14ac:dyDescent="0.2">
      <c r="A26" s="2294" t="s">
        <v>652</v>
      </c>
      <c r="B26" s="2295"/>
      <c r="C26" s="589"/>
      <c r="D26" s="589"/>
      <c r="E26" s="589"/>
      <c r="F26" s="590"/>
    </row>
    <row r="27" spans="1:11" ht="13.5" thickBot="1" x14ac:dyDescent="0.25">
      <c r="A27" s="2296" t="s">
        <v>1061</v>
      </c>
      <c r="B27" s="2297"/>
      <c r="C27" s="1664"/>
      <c r="D27" s="1664"/>
      <c r="E27" s="1664"/>
      <c r="F27" s="1732">
        <f>SUM(C27+D27)-E27</f>
        <v>0</v>
      </c>
      <c r="G27" s="473"/>
    </row>
    <row r="28" spans="1:11" ht="7.5" customHeight="1" thickTop="1" x14ac:dyDescent="0.2">
      <c r="A28" s="489"/>
    </row>
    <row r="29" spans="1:11" ht="23.25" customHeight="1" x14ac:dyDescent="0.2">
      <c r="A29" s="2322" t="s">
        <v>578</v>
      </c>
      <c r="B29" s="229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2077</v>
      </c>
      <c r="B31" s="595">
        <v>41518</v>
      </c>
      <c r="C31" s="1734">
        <v>9785000</v>
      </c>
      <c r="D31" s="1735" t="s">
        <v>2078</v>
      </c>
      <c r="E31" s="1734">
        <v>8730000</v>
      </c>
      <c r="F31" s="1734"/>
      <c r="G31" s="1734"/>
      <c r="H31" s="1734">
        <v>285000</v>
      </c>
      <c r="I31" s="1736">
        <f>((E31+F31)-H31)+G31</f>
        <v>8445000</v>
      </c>
      <c r="J31" s="1734">
        <f>8445000-156400</f>
        <v>8288600</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9785000</v>
      </c>
      <c r="D49" s="1742"/>
      <c r="E49" s="1736">
        <f t="shared" ref="E49:J49" si="2">SUM(E31:E48)</f>
        <v>8730000</v>
      </c>
      <c r="F49" s="1736">
        <f t="shared" si="2"/>
        <v>0</v>
      </c>
      <c r="G49" s="1736">
        <f t="shared" si="2"/>
        <v>0</v>
      </c>
      <c r="H49" s="1736">
        <f t="shared" si="2"/>
        <v>285000</v>
      </c>
      <c r="I49" s="1736">
        <f t="shared" si="2"/>
        <v>8445000</v>
      </c>
      <c r="J49" s="1736">
        <f t="shared" si="2"/>
        <v>8288600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3" t="s">
        <v>580</v>
      </c>
      <c r="C52" s="2314"/>
      <c r="D52" s="2314"/>
      <c r="E52" s="603" t="s">
        <v>840</v>
      </c>
      <c r="F52" s="2315" t="s">
        <v>434</v>
      </c>
      <c r="G52" s="2316"/>
      <c r="H52" s="596"/>
      <c r="I52" s="596"/>
      <c r="J52" s="600"/>
    </row>
    <row r="53" spans="1:11" ht="11.25" customHeight="1" x14ac:dyDescent="0.2">
      <c r="A53" s="604" t="s">
        <v>907</v>
      </c>
      <c r="B53" s="605" t="s">
        <v>945</v>
      </c>
      <c r="C53" s="600"/>
      <c r="D53" s="597"/>
      <c r="E53" s="603" t="s">
        <v>494</v>
      </c>
      <c r="F53" s="2317"/>
      <c r="G53" s="2318"/>
      <c r="H53" s="596"/>
      <c r="I53" s="596"/>
      <c r="J53" s="600"/>
    </row>
    <row r="54" spans="1:11" ht="11.25" customHeight="1" x14ac:dyDescent="0.2">
      <c r="A54" s="606" t="s">
        <v>908</v>
      </c>
      <c r="B54" s="601" t="s">
        <v>946</v>
      </c>
      <c r="C54" s="600"/>
      <c r="D54" s="597"/>
      <c r="E54" s="603" t="s">
        <v>495</v>
      </c>
      <c r="F54" s="2317"/>
      <c r="G54" s="231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 bottom="0" header="0.35" footer="0.05"/>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topLeftCell="A22" colorId="8" zoomScale="110" zoomScaleNormal="110" workbookViewId="0">
      <selection activeCell="F31" sqref="F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9" t="s">
        <v>851</v>
      </c>
      <c r="B1" s="2350"/>
      <c r="C1" s="2350"/>
      <c r="D1" s="2350"/>
      <c r="E1" s="2350"/>
      <c r="F1" s="2350"/>
      <c r="G1" s="2351"/>
      <c r="H1" s="1298"/>
      <c r="I1" s="614"/>
      <c r="J1" s="400"/>
    </row>
    <row r="2" spans="1:11" ht="26.25" x14ac:dyDescent="0.2">
      <c r="A2" s="2326" t="s">
        <v>1658</v>
      </c>
      <c r="B2" s="2327"/>
      <c r="C2" s="2327"/>
      <c r="D2" s="2327"/>
      <c r="E2" s="2328"/>
      <c r="F2" s="615" t="s">
        <v>898</v>
      </c>
      <c r="G2" s="616" t="s">
        <v>1655</v>
      </c>
      <c r="H2" s="616" t="s">
        <v>407</v>
      </c>
      <c r="I2" s="616" t="s">
        <v>1148</v>
      </c>
      <c r="J2" s="616" t="s">
        <v>1786</v>
      </c>
      <c r="K2" s="616" t="s">
        <v>137</v>
      </c>
    </row>
    <row r="3" spans="1:11" x14ac:dyDescent="0.2">
      <c r="A3" s="2329" t="str">
        <f>"Cash Basis Fund Balance as of July 1, "&amp;'AFR20'!E2-1</f>
        <v>Cash Basis Fund Balance as of July 1, 2019</v>
      </c>
      <c r="B3" s="2330"/>
      <c r="C3" s="2330"/>
      <c r="D3" s="2330"/>
      <c r="E3" s="2331"/>
      <c r="F3" s="617"/>
      <c r="G3" s="1744"/>
      <c r="H3" s="1744"/>
      <c r="I3" s="1744"/>
      <c r="J3" s="1745"/>
      <c r="K3" s="1745"/>
    </row>
    <row r="4" spans="1:11" x14ac:dyDescent="0.2">
      <c r="A4" s="2332" t="s">
        <v>366</v>
      </c>
      <c r="B4" s="2333"/>
      <c r="C4" s="2333"/>
      <c r="D4" s="2333"/>
      <c r="E4" s="2314"/>
      <c r="F4" s="620"/>
      <c r="G4" s="1746"/>
      <c r="H4" s="1747"/>
      <c r="I4" s="1746"/>
      <c r="J4" s="1748"/>
      <c r="K4" s="1748"/>
    </row>
    <row r="5" spans="1:11" x14ac:dyDescent="0.2">
      <c r="A5" s="2352" t="s">
        <v>1060</v>
      </c>
      <c r="B5" s="2323"/>
      <c r="C5" s="2323"/>
      <c r="D5" s="2323"/>
      <c r="E5" s="2353"/>
      <c r="F5" s="622" t="s">
        <v>843</v>
      </c>
      <c r="G5" s="1749"/>
      <c r="H5" s="1744">
        <v>22773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547725</v>
      </c>
      <c r="K8" s="1748"/>
    </row>
    <row r="9" spans="1:11" x14ac:dyDescent="0.2">
      <c r="A9" s="629" t="s">
        <v>137</v>
      </c>
      <c r="B9" s="630"/>
      <c r="C9" s="630"/>
      <c r="D9" s="630"/>
      <c r="E9" s="631"/>
      <c r="F9" s="628" t="s">
        <v>848</v>
      </c>
      <c r="G9" s="1753"/>
      <c r="H9" s="1749"/>
      <c r="I9" s="1749"/>
      <c r="J9" s="1752"/>
      <c r="K9" s="1745"/>
    </row>
    <row r="10" spans="1:11" x14ac:dyDescent="0.2">
      <c r="A10" s="2352" t="s">
        <v>1787</v>
      </c>
      <c r="B10" s="2323"/>
      <c r="C10" s="2323"/>
      <c r="D10" s="2323"/>
      <c r="E10" s="2354"/>
      <c r="F10" s="633" t="s">
        <v>857</v>
      </c>
      <c r="G10" s="1753"/>
      <c r="H10" s="1754"/>
      <c r="I10" s="1744"/>
      <c r="J10" s="1745"/>
      <c r="K10" s="1745"/>
    </row>
    <row r="11" spans="1:11" x14ac:dyDescent="0.2">
      <c r="A11" s="2352" t="s">
        <v>159</v>
      </c>
      <c r="B11" s="2323"/>
      <c r="C11" s="2323"/>
      <c r="D11" s="2323"/>
      <c r="E11" s="2353"/>
      <c r="F11" s="622" t="s">
        <v>847</v>
      </c>
      <c r="G11" s="1749"/>
      <c r="H11" s="1744"/>
      <c r="I11" s="1744"/>
      <c r="J11" s="1745"/>
      <c r="K11" s="1751"/>
    </row>
    <row r="12" spans="1:11" ht="13.5" thickBot="1" x14ac:dyDescent="0.25">
      <c r="A12" s="2340" t="s">
        <v>899</v>
      </c>
      <c r="B12" s="2341"/>
      <c r="C12" s="2341"/>
      <c r="D12" s="2341"/>
      <c r="E12" s="2342"/>
      <c r="F12" s="1433"/>
      <c r="G12" s="1755">
        <f>SUM(G5:G11)</f>
        <v>0</v>
      </c>
      <c r="H12" s="1755">
        <f>SUM(H5:H11)</f>
        <v>22773</v>
      </c>
      <c r="I12" s="1755">
        <f>SUM(I5:I11)</f>
        <v>0</v>
      </c>
      <c r="J12" s="1755">
        <f>SUM(J5:J11)</f>
        <v>547725</v>
      </c>
      <c r="K12" s="1755">
        <f>SUM(K5:K11)</f>
        <v>0</v>
      </c>
    </row>
    <row r="13" spans="1:11" ht="13.5" thickTop="1" x14ac:dyDescent="0.2">
      <c r="A13" s="2334" t="s">
        <v>367</v>
      </c>
      <c r="B13" s="2335"/>
      <c r="C13" s="2335"/>
      <c r="D13" s="2335"/>
      <c r="E13" s="2336"/>
      <c r="F13" s="634"/>
      <c r="G13" s="1756"/>
      <c r="H13" s="1757"/>
      <c r="I13" s="1758"/>
      <c r="J13" s="1758"/>
      <c r="K13" s="1758"/>
    </row>
    <row r="14" spans="1:11" x14ac:dyDescent="0.2">
      <c r="A14" s="2358" t="s">
        <v>453</v>
      </c>
      <c r="B14" s="2358"/>
      <c r="C14" s="2358"/>
      <c r="D14" s="2358"/>
      <c r="E14" s="2359"/>
      <c r="F14" s="635" t="s">
        <v>849</v>
      </c>
      <c r="G14" s="1753"/>
      <c r="H14" s="1744">
        <v>22773</v>
      </c>
      <c r="I14" s="1749"/>
      <c r="J14" s="1751"/>
      <c r="K14" s="1745"/>
    </row>
    <row r="15" spans="1:11" x14ac:dyDescent="0.2">
      <c r="A15" s="2323" t="s">
        <v>4</v>
      </c>
      <c r="B15" s="2323"/>
      <c r="C15" s="2323"/>
      <c r="D15" s="2323"/>
      <c r="E15" s="2353"/>
      <c r="F15" s="635" t="s">
        <v>850</v>
      </c>
      <c r="G15" s="1749"/>
      <c r="H15" s="1744"/>
      <c r="I15" s="1744"/>
      <c r="J15" s="1745"/>
      <c r="K15" s="1745"/>
    </row>
    <row r="16" spans="1:11" x14ac:dyDescent="0.2">
      <c r="A16" s="2323" t="s">
        <v>295</v>
      </c>
      <c r="B16" s="2323"/>
      <c r="C16" s="2323"/>
      <c r="D16" s="2323"/>
      <c r="E16" s="2353"/>
      <c r="F16" s="635" t="s">
        <v>917</v>
      </c>
      <c r="G16" s="1750"/>
      <c r="H16" s="1746"/>
      <c r="I16" s="1746"/>
      <c r="J16" s="1748"/>
      <c r="K16" s="1748"/>
    </row>
    <row r="17" spans="1:15" x14ac:dyDescent="0.2">
      <c r="A17" s="2347" t="s">
        <v>929</v>
      </c>
      <c r="B17" s="2347"/>
      <c r="C17" s="2347"/>
      <c r="D17" s="2347"/>
      <c r="E17" s="2348"/>
      <c r="F17" s="636"/>
      <c r="G17" s="1759"/>
      <c r="H17" s="1760"/>
      <c r="I17" s="1760"/>
      <c r="J17" s="1761"/>
      <c r="K17" s="1762"/>
    </row>
    <row r="18" spans="1:15" x14ac:dyDescent="0.2">
      <c r="A18" s="2337" t="s">
        <v>365</v>
      </c>
      <c r="B18" s="2338"/>
      <c r="C18" s="2338"/>
      <c r="D18" s="2338"/>
      <c r="E18" s="2339"/>
      <c r="F18" s="635" t="s">
        <v>926</v>
      </c>
      <c r="G18" s="1753"/>
      <c r="H18" s="1753"/>
      <c r="I18" s="1753"/>
      <c r="J18" s="1745">
        <v>262725</v>
      </c>
      <c r="K18" s="1763"/>
    </row>
    <row r="19" spans="1:15" ht="21.75" customHeight="1" x14ac:dyDescent="0.2">
      <c r="A19" s="2360" t="s">
        <v>1783</v>
      </c>
      <c r="B19" s="2360"/>
      <c r="C19" s="2360"/>
      <c r="D19" s="2360"/>
      <c r="E19" s="2361"/>
      <c r="F19" s="635" t="s">
        <v>927</v>
      </c>
      <c r="G19" s="1753"/>
      <c r="H19" s="1753"/>
      <c r="I19" s="1753"/>
      <c r="J19" s="1745">
        <v>285000</v>
      </c>
      <c r="K19" s="1763"/>
    </row>
    <row r="20" spans="1:15" x14ac:dyDescent="0.2">
      <c r="A20" s="2337" t="s">
        <v>1788</v>
      </c>
      <c r="B20" s="2338"/>
      <c r="C20" s="2338"/>
      <c r="D20" s="2338"/>
      <c r="E20" s="2339"/>
      <c r="F20" s="635" t="s">
        <v>928</v>
      </c>
      <c r="G20" s="1753"/>
      <c r="H20" s="1753"/>
      <c r="I20" s="1753"/>
      <c r="J20" s="1745"/>
      <c r="K20" s="1763"/>
    </row>
    <row r="21" spans="1:15" ht="13.5" thickBot="1" x14ac:dyDescent="0.25">
      <c r="A21" s="2343" t="s">
        <v>633</v>
      </c>
      <c r="B21" s="2343"/>
      <c r="C21" s="2343"/>
      <c r="D21" s="2343"/>
      <c r="E21" s="2343"/>
      <c r="F21" s="1434"/>
      <c r="G21" s="1760"/>
      <c r="H21" s="1764"/>
      <c r="I21" s="1764"/>
      <c r="J21" s="1765">
        <f>SUM(J18:J20)</f>
        <v>547725</v>
      </c>
      <c r="K21" s="1761"/>
    </row>
    <row r="22" spans="1:15" ht="13.5" thickTop="1" x14ac:dyDescent="0.2">
      <c r="A22" s="2323" t="s">
        <v>1789</v>
      </c>
      <c r="B22" s="2323"/>
      <c r="C22" s="2323"/>
      <c r="D22" s="2323"/>
      <c r="E22" s="2353"/>
      <c r="F22" s="635" t="s">
        <v>857</v>
      </c>
      <c r="G22" s="1753"/>
      <c r="H22" s="1744"/>
      <c r="I22" s="1744"/>
      <c r="J22" s="1766"/>
      <c r="K22" s="1745"/>
    </row>
    <row r="23" spans="1:15" ht="13.5" thickBot="1" x14ac:dyDescent="0.25">
      <c r="A23" s="2344" t="s">
        <v>900</v>
      </c>
      <c r="B23" s="2343"/>
      <c r="C23" s="2343"/>
      <c r="D23" s="2343"/>
      <c r="E23" s="2343"/>
      <c r="F23" s="1436"/>
      <c r="G23" s="1755">
        <f>SUM(G14:G16,G21,G22)</f>
        <v>0</v>
      </c>
      <c r="H23" s="1755">
        <f>SUM(H14:H16,H21,H22)</f>
        <v>22773</v>
      </c>
      <c r="I23" s="1755">
        <f>SUM(I14:I16,I21,I22)</f>
        <v>0</v>
      </c>
      <c r="J23" s="1755">
        <f>SUM(J14:J16,J21,J22)</f>
        <v>547725</v>
      </c>
      <c r="K23" s="1755">
        <f>SUM(K14:K16,K21,K22)</f>
        <v>0</v>
      </c>
      <c r="M23" s="1846"/>
      <c r="N23" s="1846"/>
      <c r="O23" s="1846"/>
    </row>
    <row r="24" spans="1:15" ht="14.25" thickTop="1" thickBot="1" x14ac:dyDescent="0.25">
      <c r="A24" s="2345" t="str">
        <f>"Ending Cash Basis Fund Balance as of June 30, "&amp;'AFR20'!E2</f>
        <v>Ending Cash Basis Fund Balance as of June 30, 2020</v>
      </c>
      <c r="B24" s="2346"/>
      <c r="C24" s="2346"/>
      <c r="D24" s="2346"/>
      <c r="E24" s="234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2153</v>
      </c>
      <c r="E30" s="648" t="s">
        <v>763</v>
      </c>
      <c r="F30" s="197"/>
      <c r="G30" s="645"/>
    </row>
    <row r="31" spans="1:15" x14ac:dyDescent="0.2">
      <c r="A31" s="649"/>
      <c r="D31" s="232"/>
      <c r="E31" s="650" t="s">
        <v>764</v>
      </c>
      <c r="F31" s="651" t="s">
        <v>536</v>
      </c>
      <c r="G31" s="618"/>
      <c r="H31" s="2355"/>
      <c r="I31" s="2356"/>
      <c r="J31" s="2356"/>
      <c r="K31" s="2356"/>
    </row>
    <row r="32" spans="1:15" x14ac:dyDescent="0.2">
      <c r="A32" s="649"/>
      <c r="B32" s="232"/>
      <c r="C32" s="232"/>
      <c r="D32" s="232"/>
      <c r="E32" s="645"/>
      <c r="F32" s="651" t="s">
        <v>537</v>
      </c>
      <c r="G32" s="618"/>
      <c r="H32" s="2357"/>
      <c r="I32" s="2356"/>
      <c r="J32" s="2356"/>
      <c r="K32" s="2356"/>
    </row>
    <row r="33" spans="1:11" ht="1.5" customHeight="1" x14ac:dyDescent="0.2">
      <c r="A33" s="652" t="s">
        <v>1159</v>
      </c>
      <c r="B33" s="341"/>
      <c r="C33" s="341"/>
      <c r="D33" s="341"/>
      <c r="E33" s="341"/>
      <c r="F33" s="341"/>
      <c r="G33" s="653"/>
      <c r="H33" s="2357"/>
      <c r="I33" s="2356"/>
      <c r="J33" s="2356"/>
      <c r="K33" s="2356"/>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24"/>
      <c r="C41" s="2324"/>
      <c r="D41" s="2324"/>
      <c r="E41" s="2324"/>
      <c r="F41" s="232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25" right="0.25" top="0.75" bottom="0.5" header="0.45" footer="0.1"/>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4" t="s">
        <v>1872</v>
      </c>
      <c r="B1" s="2365"/>
      <c r="C1" s="2366"/>
      <c r="D1" s="666"/>
      <c r="E1" s="667"/>
      <c r="F1" s="667"/>
      <c r="G1" s="668"/>
      <c r="H1" s="669"/>
      <c r="I1" s="670"/>
      <c r="J1" s="2362"/>
      <c r="K1" s="2363"/>
      <c r="L1" s="2363"/>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92931</v>
      </c>
      <c r="D5" s="1770"/>
      <c r="E5" s="1770"/>
      <c r="F5" s="1765">
        <f>(C5+D5)-E5</f>
        <v>92931</v>
      </c>
      <c r="G5" s="676"/>
      <c r="H5" s="680"/>
      <c r="I5" s="680"/>
      <c r="J5" s="680"/>
      <c r="K5" s="637"/>
      <c r="L5" s="1442">
        <f>F5-K5</f>
        <v>92931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28408732</v>
      </c>
      <c r="D8" s="1771">
        <v>265642</v>
      </c>
      <c r="E8" s="1771"/>
      <c r="F8" s="1765">
        <f>(C8+D8)-E8</f>
        <v>28674374</v>
      </c>
      <c r="G8" s="681">
        <v>50</v>
      </c>
      <c r="H8" s="619">
        <v>9622201</v>
      </c>
      <c r="I8" s="619">
        <v>499117</v>
      </c>
      <c r="J8" s="619"/>
      <c r="K8" s="1442">
        <f>(H8+I8)-J8</f>
        <v>10121318</v>
      </c>
      <c r="L8" s="1442">
        <f>F8-K8</f>
        <v>18553056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450302</v>
      </c>
      <c r="D10" s="1772">
        <v>19203</v>
      </c>
      <c r="E10" s="1772"/>
      <c r="F10" s="1773">
        <f>(C10+D10)-E10</f>
        <v>469505</v>
      </c>
      <c r="G10" s="681">
        <v>20</v>
      </c>
      <c r="H10" s="683">
        <v>187243</v>
      </c>
      <c r="I10" s="683">
        <v>23133</v>
      </c>
      <c r="J10" s="683"/>
      <c r="K10" s="1442">
        <f>(H10+I10)-J10</f>
        <v>210376</v>
      </c>
      <c r="L10" s="1442">
        <f>F10-K10</f>
        <v>259129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4479500</v>
      </c>
      <c r="D12" s="1771">
        <v>47502</v>
      </c>
      <c r="E12" s="1771"/>
      <c r="F12" s="1765">
        <f>(C12+D12)-E12</f>
        <v>4527002</v>
      </c>
      <c r="G12" s="681">
        <v>10</v>
      </c>
      <c r="H12" s="619">
        <v>4146989</v>
      </c>
      <c r="I12" s="619">
        <v>91031</v>
      </c>
      <c r="J12" s="619"/>
      <c r="K12" s="1442">
        <f>(H12+I12)-J12</f>
        <v>4238020</v>
      </c>
      <c r="L12" s="1442">
        <f>F12-K12</f>
        <v>288982</v>
      </c>
    </row>
    <row r="13" spans="1:14" ht="14.25" thickTop="1" thickBot="1" x14ac:dyDescent="0.25">
      <c r="A13" s="684" t="s">
        <v>1112</v>
      </c>
      <c r="B13" s="679">
        <v>252</v>
      </c>
      <c r="C13" s="1771">
        <v>214068</v>
      </c>
      <c r="D13" s="1771">
        <v>2764</v>
      </c>
      <c r="E13" s="1771"/>
      <c r="F13" s="1765">
        <f>(C13+D13)-E13</f>
        <v>216832</v>
      </c>
      <c r="G13" s="681">
        <v>5</v>
      </c>
      <c r="H13" s="619">
        <v>192567</v>
      </c>
      <c r="I13" s="619">
        <v>7404</v>
      </c>
      <c r="J13" s="619"/>
      <c r="K13" s="1442">
        <f>(H13+I13)-J13</f>
        <v>199971</v>
      </c>
      <c r="L13" s="1442">
        <f>F13-K13</f>
        <v>16861</v>
      </c>
    </row>
    <row r="14" spans="1:14" ht="14.25" thickTop="1" thickBot="1" x14ac:dyDescent="0.25">
      <c r="A14" s="684" t="s">
        <v>1113</v>
      </c>
      <c r="B14" s="679">
        <v>253</v>
      </c>
      <c r="C14" s="1745">
        <v>6324</v>
      </c>
      <c r="D14" s="1745"/>
      <c r="E14" s="1745"/>
      <c r="F14" s="1765">
        <f>(C14+D14)-E14</f>
        <v>6324</v>
      </c>
      <c r="G14" s="681">
        <v>3</v>
      </c>
      <c r="H14" s="619">
        <v>5241</v>
      </c>
      <c r="I14" s="619">
        <v>1082</v>
      </c>
      <c r="J14" s="619"/>
      <c r="K14" s="1442">
        <f>(H14+I14)-J14</f>
        <v>6323</v>
      </c>
      <c r="L14" s="1442">
        <f>F14-K14</f>
        <v>1</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33651857</v>
      </c>
      <c r="D16" s="1765">
        <f>SUM(D3,D5:D6,D8:D10,D12:D15)</f>
        <v>335111</v>
      </c>
      <c r="E16" s="1765">
        <f>SUM(E3,E5:E6,E8:E10,E12:E15)</f>
        <v>0</v>
      </c>
      <c r="F16" s="1765">
        <f>SUM(F3,F5:F6,F8:F10,F12:F15)</f>
        <v>33986968</v>
      </c>
      <c r="G16" s="681"/>
      <c r="H16" s="1435">
        <f>SUM(H3,H6,H8:H10,H12:H14,)</f>
        <v>14154241</v>
      </c>
      <c r="I16" s="1435">
        <f>SUM(I3,I6,I8:I10,I12:I14,)</f>
        <v>621767</v>
      </c>
      <c r="J16" s="1435">
        <f>SUM(J3,J6,J8:J10,J12:J14,)</f>
        <v>0</v>
      </c>
      <c r="K16" s="1435">
        <f>(H16+I16)-J16</f>
        <v>14776008</v>
      </c>
      <c r="L16" s="1435">
        <f>F16-K16</f>
        <v>19210960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621767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0.9" bottom="0.75" header="0.5" footer="0.3"/>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1"/>
      <c r="I1" s="701"/>
    </row>
    <row r="2" spans="1:9" ht="15" customHeight="1" thickBot="1" x14ac:dyDescent="0.25">
      <c r="A2" s="2373" t="s">
        <v>474</v>
      </c>
      <c r="B2" s="2374"/>
      <c r="C2" s="2374"/>
      <c r="D2" s="2374"/>
      <c r="E2" s="2374"/>
      <c r="F2" s="237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6"/>
      <c r="B5" s="2377"/>
      <c r="C5" s="2377"/>
      <c r="D5" s="2377"/>
      <c r="E5" s="2377"/>
      <c r="F5" s="2377"/>
    </row>
    <row r="6" spans="1:9" ht="13.5" customHeight="1" thickBot="1" x14ac:dyDescent="0.25">
      <c r="A6" s="2367" t="s">
        <v>1095</v>
      </c>
      <c r="B6" s="2368"/>
      <c r="C6" s="2368"/>
      <c r="D6" s="2368"/>
      <c r="E6" s="2368"/>
      <c r="F6" s="2369"/>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11590156</v>
      </c>
      <c r="G8" s="701"/>
    </row>
    <row r="9" spans="1:9" x14ac:dyDescent="0.2">
      <c r="A9" s="705" t="s">
        <v>457</v>
      </c>
      <c r="B9" s="706" t="s">
        <v>1845</v>
      </c>
      <c r="C9" s="707"/>
      <c r="D9" s="705" t="s">
        <v>498</v>
      </c>
      <c r="E9" s="704"/>
      <c r="F9" s="1775">
        <f>'Expenditures 15-22'!K151</f>
        <v>786982</v>
      </c>
      <c r="G9" s="708"/>
    </row>
    <row r="10" spans="1:9" x14ac:dyDescent="0.2">
      <c r="A10" s="705" t="s">
        <v>496</v>
      </c>
      <c r="B10" s="706" t="s">
        <v>1846</v>
      </c>
      <c r="C10" s="707"/>
      <c r="D10" s="705" t="s">
        <v>498</v>
      </c>
      <c r="E10" s="704"/>
      <c r="F10" s="1775">
        <f>'Expenditures 15-22'!K174</f>
        <v>698483</v>
      </c>
      <c r="G10" s="708"/>
    </row>
    <row r="11" spans="1:9" x14ac:dyDescent="0.2">
      <c r="A11" s="705" t="s">
        <v>458</v>
      </c>
      <c r="B11" s="706" t="s">
        <v>1847</v>
      </c>
      <c r="C11" s="707"/>
      <c r="D11" s="705" t="s">
        <v>498</v>
      </c>
      <c r="E11" s="704"/>
      <c r="F11" s="1775">
        <f>'Expenditures 15-22'!K210</f>
        <v>297094</v>
      </c>
      <c r="G11" s="708"/>
    </row>
    <row r="12" spans="1:9" x14ac:dyDescent="0.2">
      <c r="A12" s="705" t="s">
        <v>459</v>
      </c>
      <c r="B12" s="706" t="s">
        <v>1848</v>
      </c>
      <c r="C12" s="707"/>
      <c r="D12" s="705" t="s">
        <v>498</v>
      </c>
      <c r="E12" s="704"/>
      <c r="F12" s="1775">
        <f>'Expenditures 15-22'!K295</f>
        <v>407638</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13780353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135834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246474</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6655</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34837</v>
      </c>
      <c r="G52" s="701"/>
    </row>
    <row r="53" spans="1:7" x14ac:dyDescent="0.2">
      <c r="A53" s="705" t="s">
        <v>456</v>
      </c>
      <c r="B53" s="705" t="s">
        <v>1458</v>
      </c>
      <c r="C53" s="724">
        <f>'Expenditures 15-22'!B102</f>
        <v>4000</v>
      </c>
      <c r="D53" s="723" t="str">
        <f>'Expenditures 15-22'!A102</f>
        <v>Total Payments to Other Govt Units</v>
      </c>
      <c r="E53" s="704"/>
      <c r="F53" s="1782">
        <f>'Expenditures 15-22'!K102</f>
        <v>346140</v>
      </c>
      <c r="G53" s="701"/>
    </row>
    <row r="54" spans="1:7" x14ac:dyDescent="0.2">
      <c r="A54" s="705" t="s">
        <v>456</v>
      </c>
      <c r="B54" s="705" t="s">
        <v>1459</v>
      </c>
      <c r="C54" s="724" t="s">
        <v>975</v>
      </c>
      <c r="D54" s="720" t="s">
        <v>1086</v>
      </c>
      <c r="E54" s="704"/>
      <c r="F54" s="1782">
        <f>'Expenditures 15-22'!G114</f>
        <v>42310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278727</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285000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4430</v>
      </c>
      <c r="G67" s="701"/>
    </row>
    <row r="68" spans="1:9" x14ac:dyDescent="0.2">
      <c r="A68" s="705" t="s">
        <v>459</v>
      </c>
      <c r="B68" s="705" t="s">
        <v>1462</v>
      </c>
      <c r="C68" s="721" t="str">
        <f>'Expenditures 15-22'!B218</f>
        <v>1225</v>
      </c>
      <c r="D68" s="727" t="str">
        <f>'Expenditures 15-22'!A218</f>
        <v>Special Education Programs - Pre-K</v>
      </c>
      <c r="E68" s="704"/>
      <c r="F68" s="1782">
        <f>'Expenditures 15-22'!K218</f>
        <v>16197</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212</v>
      </c>
      <c r="G71" s="701"/>
    </row>
    <row r="72" spans="1:9" x14ac:dyDescent="0.2">
      <c r="A72" s="705" t="s">
        <v>459</v>
      </c>
      <c r="B72" s="705" t="s">
        <v>1864</v>
      </c>
      <c r="C72" s="721">
        <f>'Expenditures 15-22'!B280</f>
        <v>3000</v>
      </c>
      <c r="D72" s="712" t="s">
        <v>446</v>
      </c>
      <c r="E72" s="704"/>
      <c r="F72" s="1782">
        <f>'Expenditures 15-22'!K280</f>
        <v>2452</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1399268</v>
      </c>
      <c r="G77" s="701"/>
    </row>
    <row r="78" spans="1:9" s="728" customFormat="1" ht="12" customHeight="1" thickTop="1" thickBot="1" x14ac:dyDescent="0.25">
      <c r="A78" s="1450"/>
      <c r="B78" s="1448"/>
      <c r="C78" s="1445"/>
      <c r="D78" s="1449" t="s">
        <v>2009</v>
      </c>
      <c r="E78" s="1447"/>
      <c r="F78" s="1788">
        <f>(F14-F77)</f>
        <v>12381085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1105.0999999999999</v>
      </c>
      <c r="G79" s="733"/>
      <c r="H79" s="705"/>
      <c r="I79" s="705"/>
    </row>
    <row r="80" spans="1:9" s="728" customFormat="1" ht="12" customHeight="1" thickBot="1" x14ac:dyDescent="0.25">
      <c r="A80" s="1452"/>
      <c r="B80" s="1448"/>
      <c r="C80" s="1445"/>
      <c r="D80" s="1449" t="s">
        <v>2010</v>
      </c>
      <c r="E80" s="1447" t="s">
        <v>952</v>
      </c>
      <c r="F80" s="1790">
        <f>IF(F79&gt;0,F78/F79," Complete Line 79")</f>
        <v>11203.587910596327</v>
      </c>
      <c r="G80" s="705"/>
    </row>
    <row r="81" spans="1:7" s="728" customFormat="1" ht="8.25" customHeight="1" thickTop="1" x14ac:dyDescent="0.2">
      <c r="A81" s="734"/>
      <c r="B81" s="705"/>
      <c r="C81" s="707"/>
      <c r="D81" s="735"/>
      <c r="E81" s="704"/>
      <c r="F81" s="1791"/>
      <c r="G81" s="705"/>
    </row>
    <row r="82" spans="1:7" s="728" customFormat="1" ht="12" thickBot="1" x14ac:dyDescent="0.25">
      <c r="A82" s="2367" t="s">
        <v>1096</v>
      </c>
      <c r="B82" s="2368"/>
      <c r="C82" s="2368"/>
      <c r="D82" s="2368"/>
      <c r="E82" s="2368"/>
      <c r="F82" s="236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7924</v>
      </c>
      <c r="G95" s="745"/>
    </row>
    <row r="96" spans="1:7" x14ac:dyDescent="0.2">
      <c r="A96" s="741" t="s">
        <v>139</v>
      </c>
      <c r="B96" s="741" t="s">
        <v>174</v>
      </c>
      <c r="C96" s="743">
        <v>1700</v>
      </c>
      <c r="D96" s="751" t="str">
        <f>'Revenues 9-14'!A82</f>
        <v>Total District/School Activity Income</v>
      </c>
      <c r="E96" s="739"/>
      <c r="F96" s="1793">
        <f>SUM('Revenues 9-14'!C82,'Revenues 9-14'!D82)</f>
        <v>22632</v>
      </c>
      <c r="G96" s="745"/>
    </row>
    <row r="97" spans="1:7" x14ac:dyDescent="0.2">
      <c r="A97" s="741" t="s">
        <v>456</v>
      </c>
      <c r="B97" s="741" t="s">
        <v>175</v>
      </c>
      <c r="C97" s="743">
        <f>'Revenues 9-14'!B84</f>
        <v>1811</v>
      </c>
      <c r="D97" s="744" t="str">
        <f>'Revenues 9-14'!A84</f>
        <v>Rentals - Regular Textbooks</v>
      </c>
      <c r="E97" s="739"/>
      <c r="F97" s="1793">
        <f>'Revenues 9-14'!C84</f>
        <v>21308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25605</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168941</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10307</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117367</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45261</v>
      </c>
      <c r="G121" s="763"/>
    </row>
    <row r="122" spans="1:7" x14ac:dyDescent="0.2">
      <c r="A122" s="760" t="s">
        <v>497</v>
      </c>
      <c r="B122" s="760" t="s">
        <v>1923</v>
      </c>
      <c r="C122" s="761">
        <f>'Revenues 9-14'!B168</f>
        <v>3999</v>
      </c>
      <c r="D122" s="762" t="s">
        <v>540</v>
      </c>
      <c r="E122" s="764"/>
      <c r="F122" s="1793">
        <f>SUM('Revenues 9-14'!C168:G168,'Revenues 9-14'!J168)</f>
        <v>3144</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11668</v>
      </c>
      <c r="G125" s="763"/>
    </row>
    <row r="126" spans="1:7" x14ac:dyDescent="0.2">
      <c r="A126" s="760" t="s">
        <v>659</v>
      </c>
      <c r="B126" s="760" t="s">
        <v>1927</v>
      </c>
      <c r="C126" s="765">
        <v>4200</v>
      </c>
      <c r="D126" s="762" t="str">
        <f>'Revenues 9-14'!A198</f>
        <v>Total Food Service</v>
      </c>
      <c r="E126" s="739"/>
      <c r="F126" s="1793">
        <f>SUM('Revenues 9-14'!C198,'Revenues 9-14'!G198)</f>
        <v>849393</v>
      </c>
      <c r="G126" s="763"/>
    </row>
    <row r="127" spans="1:7" x14ac:dyDescent="0.2">
      <c r="A127" s="760" t="s">
        <v>663</v>
      </c>
      <c r="B127" s="760" t="s">
        <v>1928</v>
      </c>
      <c r="C127" s="765">
        <v>4300</v>
      </c>
      <c r="D127" s="766" t="str">
        <f>'Revenues 9-14'!A204</f>
        <v>Total Title I</v>
      </c>
      <c r="E127" s="739"/>
      <c r="F127" s="1793">
        <f>SUM('Revenues 9-14'!C204,'Revenues 9-14'!D204,'Revenues 9-14'!F204,'Revenues 9-14'!G204)</f>
        <v>486477</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40241</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261678</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69717</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23041</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49851</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522043</v>
      </c>
      <c r="G172" s="760"/>
    </row>
    <row r="173" spans="1:7" x14ac:dyDescent="0.2">
      <c r="A173" s="1529" t="s">
        <v>659</v>
      </c>
      <c r="B173" s="1530" t="s">
        <v>1882</v>
      </c>
      <c r="C173" s="1531">
        <v>3300</v>
      </c>
      <c r="D173" s="1532" t="s">
        <v>1885</v>
      </c>
      <c r="E173" s="739"/>
      <c r="F173" s="1794">
        <v>514187</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3251235</v>
      </c>
    </row>
    <row r="176" spans="1:7" ht="12" customHeight="1" x14ac:dyDescent="0.2">
      <c r="A176" s="1443"/>
      <c r="B176" s="1453"/>
      <c r="C176" s="1454"/>
      <c r="D176" s="1455" t="s">
        <v>2011</v>
      </c>
      <c r="E176" s="1456"/>
      <c r="F176" s="1793">
        <f>'PCTC-OEPP 27-28'!F78-F175</f>
        <v>9129850</v>
      </c>
    </row>
    <row r="177" spans="1:9" ht="12" customHeight="1" x14ac:dyDescent="0.2">
      <c r="A177" s="1443"/>
      <c r="B177" s="1453"/>
      <c r="C177" s="1454"/>
      <c r="D177" s="1455" t="s">
        <v>1791</v>
      </c>
      <c r="E177" s="1456"/>
      <c r="F177" s="1793">
        <f>'Cap Outlay Deprec 26'!I18</f>
        <v>621767</v>
      </c>
    </row>
    <row r="178" spans="1:9" ht="12" customHeight="1" x14ac:dyDescent="0.2">
      <c r="A178" s="1443"/>
      <c r="B178" s="1453"/>
      <c r="C178" s="1454"/>
      <c r="D178" s="1455" t="s">
        <v>2012</v>
      </c>
      <c r="E178" s="1456"/>
      <c r="F178" s="1793">
        <f>F176+F177</f>
        <v>9751617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1105.0999999999999</v>
      </c>
      <c r="G179" s="763"/>
      <c r="I179" s="701"/>
    </row>
    <row r="180" spans="1:9" ht="12" customHeight="1" thickBot="1" x14ac:dyDescent="0.25">
      <c r="A180" s="1443"/>
      <c r="B180" s="1457"/>
      <c r="C180" s="1454"/>
      <c r="D180" s="1455" t="s">
        <v>2014</v>
      </c>
      <c r="E180" s="1456" t="s">
        <v>1528</v>
      </c>
      <c r="F180" s="1798">
        <f>F178/F179</f>
        <v>8824.19419057099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7"/>
  <sheetViews>
    <sheetView showGridLines="0" zoomScaleNormal="100" workbookViewId="0">
      <selection activeCell="D20" sqref="D20"/>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1804</v>
      </c>
      <c r="B1" s="1860"/>
      <c r="C1" s="1861"/>
      <c r="D1" s="1861"/>
      <c r="E1" s="1861"/>
      <c r="F1" s="1861"/>
    </row>
    <row r="2" spans="1:6" x14ac:dyDescent="0.25">
      <c r="A2" s="1863"/>
      <c r="B2" s="1864"/>
      <c r="C2" s="1912" t="s">
        <v>2000</v>
      </c>
      <c r="D2" s="1863"/>
      <c r="E2" s="1863"/>
      <c r="F2" s="1863"/>
    </row>
    <row r="3" spans="1:6" ht="5.25" customHeight="1" x14ac:dyDescent="0.25">
      <c r="A3" s="1865"/>
      <c r="B3" s="1866"/>
      <c r="C3" s="1865"/>
      <c r="D3" s="1865"/>
      <c r="E3" s="1865"/>
      <c r="F3" s="1865"/>
    </row>
    <row r="4" spans="1:6" ht="18.75" customHeight="1" x14ac:dyDescent="0.25">
      <c r="A4" s="2381" t="s">
        <v>1792</v>
      </c>
      <c r="B4" s="2382"/>
      <c r="C4" s="2382"/>
      <c r="D4" s="2382"/>
      <c r="E4" s="2382"/>
      <c r="F4" s="2383"/>
    </row>
    <row r="5" spans="1:6" x14ac:dyDescent="0.25">
      <c r="A5" s="2384"/>
      <c r="B5" s="2385"/>
      <c r="C5" s="2385"/>
      <c r="D5" s="2385"/>
      <c r="E5" s="2385"/>
      <c r="F5" s="2386"/>
    </row>
    <row r="6" spans="1:6" ht="18.75" x14ac:dyDescent="0.25">
      <c r="A6" s="1867" t="s">
        <v>1793</v>
      </c>
      <c r="B6" s="1868"/>
      <c r="C6" s="1869"/>
      <c r="D6" s="1869"/>
      <c r="E6" s="1869"/>
      <c r="F6" s="1870"/>
    </row>
    <row r="7" spans="1:6" ht="47.25" customHeight="1" x14ac:dyDescent="0.25">
      <c r="A7" s="2387" t="s">
        <v>1982</v>
      </c>
      <c r="B7" s="2388"/>
      <c r="C7" s="2388"/>
      <c r="D7" s="2388"/>
      <c r="E7" s="2388"/>
      <c r="F7" s="2389"/>
    </row>
    <row r="8" spans="1:6" ht="20.25" customHeight="1" x14ac:dyDescent="0.25">
      <c r="A8" s="1901" t="s">
        <v>1984</v>
      </c>
      <c r="B8" s="1902"/>
      <c r="C8" s="1902"/>
      <c r="D8" s="1902"/>
      <c r="E8" s="1871"/>
      <c r="F8" s="1872"/>
    </row>
    <row r="9" spans="1:6" ht="18" customHeight="1" x14ac:dyDescent="0.25">
      <c r="A9" s="1873" t="s">
        <v>1981</v>
      </c>
      <c r="B9" s="1875"/>
      <c r="C9" s="1875"/>
      <c r="D9" s="1875"/>
      <c r="E9" s="1871"/>
      <c r="F9" s="1872"/>
    </row>
    <row r="10" spans="1:6" ht="15.75" customHeight="1" x14ac:dyDescent="0.25">
      <c r="A10" s="2390" t="s">
        <v>1978</v>
      </c>
      <c r="B10" s="2391"/>
      <c r="C10" s="2391"/>
      <c r="D10" s="2391"/>
      <c r="E10" s="2391"/>
      <c r="F10" s="2392"/>
    </row>
    <row r="11" spans="1:6" ht="33" customHeight="1" x14ac:dyDescent="0.25">
      <c r="A11" s="2387" t="s">
        <v>1983</v>
      </c>
      <c r="B11" s="2388"/>
      <c r="C11" s="2388"/>
      <c r="D11" s="2388"/>
      <c r="E11" s="2388"/>
      <c r="F11" s="2389"/>
    </row>
    <row r="12" spans="1:6" ht="15" customHeight="1" x14ac:dyDescent="0.25">
      <c r="A12" s="1873" t="s">
        <v>1979</v>
      </c>
      <c r="B12" s="1874"/>
      <c r="C12" s="1875"/>
      <c r="D12" s="1875"/>
      <c r="E12" s="1875"/>
      <c r="F12" s="1876"/>
    </row>
    <row r="13" spans="1:6" ht="17.25" customHeight="1" x14ac:dyDescent="0.25">
      <c r="A13" s="2387" t="s">
        <v>1980</v>
      </c>
      <c r="B13" s="2388"/>
      <c r="C13" s="2388"/>
      <c r="D13" s="2388"/>
      <c r="E13" s="2388"/>
      <c r="F13" s="2389"/>
    </row>
    <row r="14" spans="1:6" ht="15" customHeight="1" x14ac:dyDescent="0.25">
      <c r="A14" s="1873" t="s">
        <v>1797</v>
      </c>
      <c r="B14" s="1874"/>
      <c r="C14" s="1875"/>
      <c r="D14" s="1875"/>
      <c r="E14" s="1875"/>
      <c r="F14" s="1876"/>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6" t="s">
        <v>1796</v>
      </c>
      <c r="C17" s="1881" t="s">
        <v>1794</v>
      </c>
      <c r="D17" s="1882">
        <v>500000</v>
      </c>
      <c r="E17" s="1882" t="str">
        <f>IF(D17&lt;25000,D17,"25,000")</f>
        <v>25,000</v>
      </c>
      <c r="F17" s="1883">
        <f>IF(D17&gt;=25000,(D17-E17),"0")</f>
        <v>475000</v>
      </c>
    </row>
    <row r="18" spans="1:7" x14ac:dyDescent="0.25">
      <c r="A18" s="2034" t="s">
        <v>2066</v>
      </c>
      <c r="B18" s="1907">
        <v>101000300</v>
      </c>
      <c r="C18" s="2035" t="s">
        <v>2067</v>
      </c>
      <c r="D18" s="1885">
        <v>38400</v>
      </c>
      <c r="E18" s="1905" t="str">
        <f t="shared" ref="E18:E33" si="0">IF(D18&lt;25000,D18,"25,000")</f>
        <v>25,000</v>
      </c>
      <c r="F18" s="1905">
        <f t="shared" ref="F18:F33" si="1">IF(D18&gt;=25000,(D18-E18),"0")</f>
        <v>13400</v>
      </c>
      <c r="G18" s="1886"/>
    </row>
    <row r="19" spans="1:7" x14ac:dyDescent="0.25">
      <c r="A19" s="2034" t="s">
        <v>2068</v>
      </c>
      <c r="B19" s="1907">
        <v>102560300</v>
      </c>
      <c r="C19" s="2035" t="s">
        <v>2069</v>
      </c>
      <c r="D19" s="1885">
        <v>187575</v>
      </c>
      <c r="E19" s="1905" t="str">
        <f t="shared" si="0"/>
        <v>25,000</v>
      </c>
      <c r="F19" s="1905">
        <f t="shared" si="1"/>
        <v>162575</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8"/>
      <c r="C34" s="1888"/>
      <c r="D34" s="1885"/>
      <c r="E34" s="1905">
        <f t="shared" ref="E34:E36" si="2">IF(D34&lt;25000,D34,"25,000")</f>
        <v>0</v>
      </c>
      <c r="F34" s="1905" t="str">
        <f t="shared" ref="F34:F36" si="3">IF(D34&gt;=25000,(D34-E34),"0")</f>
        <v>0</v>
      </c>
    </row>
    <row r="35" spans="1:6" x14ac:dyDescent="0.25">
      <c r="A35" s="1887"/>
      <c r="B35" s="1908"/>
      <c r="C35" s="1888"/>
      <c r="D35" s="1885"/>
      <c r="E35" s="1905">
        <f t="shared" si="2"/>
        <v>0</v>
      </c>
      <c r="F35" s="1905" t="str">
        <f t="shared" si="3"/>
        <v>0</v>
      </c>
    </row>
    <row r="36" spans="1:6" x14ac:dyDescent="0.25">
      <c r="A36" s="1887"/>
      <c r="B36" s="1909"/>
      <c r="C36" s="1888"/>
      <c r="D36" s="1885"/>
      <c r="E36" s="1905">
        <f t="shared" si="2"/>
        <v>0</v>
      </c>
      <c r="F36" s="1905" t="str">
        <f t="shared" si="3"/>
        <v>0</v>
      </c>
    </row>
    <row r="37" spans="1:6" x14ac:dyDescent="0.25">
      <c r="A37" s="1889" t="s">
        <v>155</v>
      </c>
      <c r="B37" s="1910"/>
      <c r="C37" s="1890"/>
      <c r="D37" s="1891">
        <f>SUM(D18:D36)</f>
        <v>225975</v>
      </c>
      <c r="E37" s="1892">
        <f>SUM(E18:E36)</f>
        <v>0</v>
      </c>
      <c r="F37" s="1893">
        <f>SUM(F18:F36)</f>
        <v>175975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9" sqref="E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3" t="s">
        <v>1660</v>
      </c>
      <c r="B5" s="2394"/>
      <c r="C5" s="2394"/>
      <c r="D5" s="2394"/>
      <c r="E5" s="2394"/>
      <c r="F5" s="2394"/>
      <c r="G5" s="239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v>500</v>
      </c>
      <c r="F8" s="805"/>
      <c r="G8" s="806"/>
      <c r="H8" s="157"/>
      <c r="I8" s="157"/>
    </row>
    <row r="9" spans="1:13" s="542" customFormat="1" ht="12" customHeight="1" x14ac:dyDescent="0.2">
      <c r="A9" s="802" t="s">
        <v>130</v>
      </c>
      <c r="B9" s="803"/>
      <c r="C9" s="803"/>
      <c r="D9" s="804"/>
      <c r="E9" s="1800">
        <v>7823</v>
      </c>
      <c r="F9" s="805"/>
      <c r="G9" s="806"/>
      <c r="H9" s="157"/>
      <c r="I9" s="157"/>
    </row>
    <row r="10" spans="1:13" s="542" customFormat="1" ht="12" customHeight="1" x14ac:dyDescent="0.2">
      <c r="A10" s="802" t="s">
        <v>1891</v>
      </c>
      <c r="B10" s="803"/>
      <c r="C10" s="807"/>
      <c r="D10" s="804"/>
      <c r="E10" s="1800">
        <v>643525</v>
      </c>
      <c r="F10" s="805"/>
      <c r="G10" s="806"/>
      <c r="H10" s="157"/>
      <c r="I10" s="157"/>
    </row>
    <row r="11" spans="1:13" s="542"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801">
        <v>65930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7594113</v>
      </c>
      <c r="F19" s="1802"/>
      <c r="G19" s="1804">
        <f>'Expenditures 15-22'!K33-SUM('Expenditures 15-22'!G33,'Expenditures 15-22'!I33)+'Expenditures 15-22'!D229</f>
        <v>7594113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515703</v>
      </c>
      <c r="F21" s="1805"/>
      <c r="G21" s="1808">
        <f>'Expenditures 15-22'!K42-SUM('Expenditures 15-22'!G42,'Expenditures 15-22'!I42)+'Expenditures 15-22'!K120-SUM('Expenditures 15-22'!G120,'Expenditures 15-22'!I120)+'Expenditures 15-22'!K180-SUM('Expenditures 15-22'!G180,'Expenditures 15-22'!I180)+'Expenditures 15-22'!D238</f>
        <v>515703</v>
      </c>
      <c r="H21" s="817"/>
      <c r="I21" s="157"/>
    </row>
    <row r="22" spans="1:9" s="542" customFormat="1" ht="12" customHeight="1" x14ac:dyDescent="0.2">
      <c r="A22" s="824" t="s">
        <v>560</v>
      </c>
      <c r="B22" s="825"/>
      <c r="C22" s="823">
        <v>2200</v>
      </c>
      <c r="D22" s="1805"/>
      <c r="E22" s="1807">
        <f>'Expenditures 15-22'!K47-SUM('Expenditures 15-22'!G47,'Expenditures 15-22'!I47)+'Expenditures 15-22'!D243</f>
        <v>664595</v>
      </c>
      <c r="F22" s="1805"/>
      <c r="G22" s="1808">
        <f>'Expenditures 15-22'!K47-SUM('Expenditures 15-22'!G47,'Expenditures 15-22'!I47)+'Expenditures 15-22'!D243</f>
        <v>664595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607728</v>
      </c>
      <c r="F23" s="1805"/>
      <c r="G23" s="1807">
        <f>'Expenditures 15-22'!K53-SUM('Expenditures 15-22'!G53,'Expenditures 15-22'!I53)+'Expenditures 15-22'!D257+'Expenditures 15-22'!K330-SUM('Expenditures 15-22'!G330,'Expenditures 15-22'!I330)</f>
        <v>607728</v>
      </c>
      <c r="H23" s="817"/>
      <c r="I23" s="157"/>
    </row>
    <row r="24" spans="1:9" s="542" customFormat="1" ht="12" customHeight="1" x14ac:dyDescent="0.2">
      <c r="A24" s="824" t="s">
        <v>562</v>
      </c>
      <c r="B24" s="825"/>
      <c r="C24" s="823">
        <v>2400</v>
      </c>
      <c r="D24" s="1805"/>
      <c r="E24" s="1807">
        <f>'Expenditures 15-22'!K57-SUM('Expenditures 15-22'!G57,'Expenditures 15-22'!I57)+'Expenditures 15-22'!D261</f>
        <v>637421</v>
      </c>
      <c r="F24" s="1805"/>
      <c r="G24" s="1808">
        <f>'Expenditures 15-22'!K57-SUM('Expenditures 15-22'!G57,'Expenditures 15-22'!I57)+'Expenditures 15-22'!D261</f>
        <v>637421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131929</v>
      </c>
      <c r="E27" s="1807">
        <f>E8</f>
        <v>500</v>
      </c>
      <c r="F27" s="1807">
        <f>'Expenditures 15-22'!K60-SUM('Expenditures 15-22'!G60,'Expenditures 15-22'!I60)+'Expenditures 15-22'!D264-E8</f>
        <v>131929</v>
      </c>
      <c r="G27" s="1808">
        <f>E8</f>
        <v>500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929044</v>
      </c>
      <c r="F28" s="1809">
        <f>'Expenditures 15-22'!K61-SUM('Expenditures 15-22'!G61,'Expenditures 15-22'!I61)+'Expenditures 15-22'!K124-SUM('Expenditures 15-22'!G124,'Expenditures 15-22'!I124)+'Expenditures 15-22'!D266-E9</f>
        <v>921221</v>
      </c>
      <c r="G28" s="1808">
        <f>E9</f>
        <v>7823</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300644</v>
      </c>
      <c r="F29" s="1805"/>
      <c r="G29" s="1808">
        <f>'Expenditures 15-22'!K62-SUM('Expenditures 15-22'!G62,'Expenditures 15-22'!I62)+'Expenditures 15-22'!K125-SUM('Expenditures 15-22'!G125,'Expenditures 15-22'!I125)+'Expenditures 15-22'!K182-SUM('Expenditures 15-22'!G182,'Expenditures 15-22'!I182)+'Expenditures 15-22'!D267</f>
        <v>300644</v>
      </c>
      <c r="H29" s="815"/>
    </row>
    <row r="30" spans="1:9" ht="12" customHeight="1" x14ac:dyDescent="0.2">
      <c r="A30" s="824" t="s">
        <v>100</v>
      </c>
      <c r="B30" s="827"/>
      <c r="C30" s="823">
        <v>2560</v>
      </c>
      <c r="D30" s="1805"/>
      <c r="E30" s="1807">
        <f>'Expenditures 15-22'!K63-SUM('Expenditures 15-22'!G63,'Expenditures 15-22'!I63)+'Expenditures 15-22'!D268-E10</f>
        <v>352202</v>
      </c>
      <c r="F30" s="1805"/>
      <c r="G30" s="1807">
        <f>'Expenditures 15-22'!K63-SUM('Expenditures 15-22'!G63,'Expenditures 15-22'!I63)+'Expenditures 15-22'!D268-E10</f>
        <v>352202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37289</v>
      </c>
      <c r="F39" s="1805"/>
      <c r="G39" s="1807">
        <f>'Expenditures 15-22'!K75-SUM('Expenditures 15-22'!G75,'Expenditures 15-22'!I75)+'Expenditures 15-22'!K130-SUM('Expenditures 15-22'!G130,'Expenditures 15-22'!I130)+'Expenditures 15-22'!K185-SUM('Expenditures 15-22'!G185,'Expenditures 15-22'!I185)+'Expenditures 15-22'!D280</f>
        <v>37289</v>
      </c>
    </row>
    <row r="40" spans="1:7" ht="12" customHeight="1" x14ac:dyDescent="0.2">
      <c r="A40" s="820" t="s">
        <v>1795</v>
      </c>
      <c r="B40" s="821"/>
      <c r="C40" s="823"/>
      <c r="D40" s="1805"/>
      <c r="E40" s="1809">
        <f>-'Contracts Paid in CY 29'!F37</f>
        <v>-175975</v>
      </c>
      <c r="F40" s="1805"/>
      <c r="G40" s="1809">
        <f>-'Contracts Paid in CY 29'!F37</f>
        <v>-175975</v>
      </c>
    </row>
    <row r="41" spans="1:7" ht="12" customHeight="1" x14ac:dyDescent="0.2">
      <c r="A41" s="828" t="s">
        <v>155</v>
      </c>
      <c r="B41" s="829"/>
      <c r="C41" s="830"/>
      <c r="D41" s="1809">
        <f>SUM(D19:D39)</f>
        <v>131929</v>
      </c>
      <c r="E41" s="1809">
        <f>SUM(E19:E40)</f>
        <v>11463264</v>
      </c>
      <c r="F41" s="1809">
        <f>SUM(F19:F39)</f>
        <v>1053150</v>
      </c>
      <c r="G41" s="1809">
        <f>SUM(G19:G40)</f>
        <v>10542043</v>
      </c>
    </row>
    <row r="42" spans="1:7" x14ac:dyDescent="0.2">
      <c r="A42" s="817"/>
      <c r="B42" s="157"/>
      <c r="C42" s="831"/>
      <c r="D42" s="2396" t="s">
        <v>519</v>
      </c>
      <c r="E42" s="2397"/>
      <c r="F42" s="832" t="s">
        <v>520</v>
      </c>
      <c r="G42" s="833"/>
    </row>
    <row r="43" spans="1:7" ht="12" customHeight="1" x14ac:dyDescent="0.2">
      <c r="A43" s="817"/>
      <c r="B43" s="157"/>
      <c r="C43" s="831"/>
      <c r="D43" s="1458" t="s">
        <v>470</v>
      </c>
      <c r="E43" s="1810">
        <f>D41</f>
        <v>131929</v>
      </c>
      <c r="F43" s="1458" t="s">
        <v>470</v>
      </c>
      <c r="G43" s="1810">
        <f>F41</f>
        <v>1053150</v>
      </c>
    </row>
    <row r="44" spans="1:7" ht="12" customHeight="1" x14ac:dyDescent="0.2">
      <c r="A44" s="817"/>
      <c r="B44" s="157"/>
      <c r="C44" s="831"/>
      <c r="D44" s="1458" t="s">
        <v>471</v>
      </c>
      <c r="E44" s="1810">
        <f>E41</f>
        <v>11463264</v>
      </c>
      <c r="F44" s="1458" t="s">
        <v>471</v>
      </c>
      <c r="G44" s="1810">
        <f>G41</f>
        <v>10542043</v>
      </c>
    </row>
    <row r="45" spans="1:7" ht="12" customHeight="1" x14ac:dyDescent="0.2">
      <c r="A45" s="817"/>
      <c r="B45" s="157"/>
      <c r="C45" s="157"/>
      <c r="D45" s="1459" t="s">
        <v>999</v>
      </c>
      <c r="E45" s="1811">
        <f>(E43/E44)</f>
        <v>1.1508851231202561E-2</v>
      </c>
      <c r="F45" s="1459" t="s">
        <v>999</v>
      </c>
      <c r="G45" s="1811">
        <f>(G43/G44)</f>
        <v>9.9899990922063212E-2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8" bottom="0.3" header="0.5" footer="0.05"/>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3" zoomScale="110" zoomScaleNormal="110" workbookViewId="0">
      <selection activeCell="A43" sqref="A43: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4" t="s">
        <v>1363</v>
      </c>
      <c r="B1" s="2404"/>
      <c r="C1" s="2404"/>
      <c r="D1" s="2404"/>
      <c r="E1" s="2404"/>
      <c r="F1" s="2404"/>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5" t="s">
        <v>1529</v>
      </c>
      <c r="B5" s="2406"/>
      <c r="C5" s="2407"/>
      <c r="D5" s="2407"/>
      <c r="E5" s="2407"/>
      <c r="F5" s="2407"/>
      <c r="G5" s="1507"/>
      <c r="L5" s="1507"/>
      <c r="M5" s="1855"/>
      <c r="N5" s="1855"/>
      <c r="O5" s="1855"/>
    </row>
    <row r="6" spans="1:15" ht="12" customHeight="1" x14ac:dyDescent="0.25">
      <c r="A6" s="1480"/>
      <c r="B6" s="1481"/>
      <c r="C6" s="2408" t="str">
        <f>COVER!A17</f>
        <v xml:space="preserve">  Lincoln ESD 27</v>
      </c>
      <c r="D6" s="2408"/>
      <c r="E6" s="2408"/>
      <c r="F6" s="1482"/>
      <c r="G6" s="1507"/>
      <c r="L6" s="1507"/>
      <c r="M6" s="1855"/>
      <c r="N6" s="1855"/>
      <c r="O6" s="1855"/>
    </row>
    <row r="7" spans="1:15" ht="11.25" customHeight="1" thickBot="1" x14ac:dyDescent="0.3">
      <c r="A7" s="1480"/>
      <c r="B7" s="1481"/>
      <c r="C7" s="2409">
        <f>COVER!A13</f>
        <v>17054027002</v>
      </c>
      <c r="D7" s="2409"/>
      <c r="E7" s="2409"/>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2048</v>
      </c>
      <c r="D24" s="1495" t="s">
        <v>2048</v>
      </c>
      <c r="E24" s="1498"/>
      <c r="F24" s="1497" t="s">
        <v>2070</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2048</v>
      </c>
      <c r="D25" s="1495" t="s">
        <v>2048</v>
      </c>
      <c r="E25" s="1498"/>
      <c r="F25" s="1497" t="s">
        <v>2071</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2048</v>
      </c>
      <c r="D26" s="1495" t="s">
        <v>2048</v>
      </c>
      <c r="E26" s="1498"/>
      <c r="F26" s="1497" t="s">
        <v>2072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2048</v>
      </c>
      <c r="D28" s="1495" t="s">
        <v>2048</v>
      </c>
      <c r="E28" s="1498"/>
      <c r="F28" s="1497" t="s">
        <v>2073</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2048</v>
      </c>
      <c r="D33" s="1495" t="s">
        <v>2048</v>
      </c>
      <c r="E33" s="1498"/>
      <c r="F33" s="1497" t="s">
        <v>2074</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0"/>
      <c r="D35" s="2410"/>
      <c r="E35" s="2410"/>
      <c r="F35" s="2411"/>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15"/>
      <c r="B38" s="2416"/>
      <c r="C38" s="2416"/>
      <c r="D38" s="2416"/>
      <c r="E38" s="2416"/>
      <c r="F38" s="2417"/>
    </row>
    <row r="39" spans="1:15" ht="4.5" hidden="1" customHeight="1" x14ac:dyDescent="0.2">
      <c r="A39" s="1502"/>
      <c r="B39" s="1502"/>
      <c r="C39" s="1502"/>
      <c r="D39" s="1502"/>
      <c r="E39" s="1502"/>
      <c r="F39" s="1502"/>
    </row>
    <row r="40" spans="1:15" s="1499" customFormat="1" ht="12" customHeight="1" x14ac:dyDescent="0.25">
      <c r="A40" s="1503" t="s">
        <v>1375</v>
      </c>
      <c r="B40" s="1504"/>
      <c r="C40" s="2418"/>
      <c r="D40" s="2418"/>
      <c r="E40" s="2418"/>
      <c r="F40" s="2419"/>
      <c r="H40" s="1508"/>
      <c r="I40" s="1508"/>
      <c r="J40" s="1508"/>
      <c r="K40" s="1508"/>
    </row>
    <row r="41" spans="1:15" s="1499" customFormat="1" ht="12" customHeight="1" x14ac:dyDescent="0.25">
      <c r="A41" s="2420" t="s">
        <v>2075</v>
      </c>
      <c r="B41" s="2421"/>
      <c r="C41" s="2421"/>
      <c r="D41" s="2421"/>
      <c r="E41" s="2421"/>
      <c r="F41" s="2422"/>
      <c r="H41" s="1508"/>
      <c r="I41" s="1508"/>
      <c r="J41" s="1508"/>
      <c r="K41" s="1508"/>
    </row>
    <row r="42" spans="1:15" s="1499" customFormat="1" ht="12" customHeight="1" x14ac:dyDescent="0.25">
      <c r="A42" s="2420" t="s">
        <v>2076</v>
      </c>
      <c r="B42" s="2421"/>
      <c r="C42" s="2421"/>
      <c r="D42" s="2421"/>
      <c r="E42" s="2421"/>
      <c r="F42" s="2422"/>
      <c r="H42" s="1508"/>
      <c r="I42" s="1508"/>
      <c r="J42" s="1508"/>
      <c r="K42" s="1508"/>
    </row>
    <row r="43" spans="1:15" s="1499" customFormat="1" ht="15" x14ac:dyDescent="0.25">
      <c r="A43" s="2412"/>
      <c r="B43" s="2413"/>
      <c r="C43" s="2413"/>
      <c r="D43" s="2413"/>
      <c r="E43" s="2413"/>
      <c r="F43" s="2414"/>
      <c r="H43" s="1508"/>
      <c r="I43" s="1508"/>
      <c r="J43" s="1508"/>
      <c r="K43" s="1508"/>
    </row>
    <row r="44" spans="1:15" s="1499" customFormat="1" ht="12" hidden="1" customHeight="1" x14ac:dyDescent="0.25">
      <c r="A44" s="2412"/>
      <c r="B44" s="2413"/>
      <c r="C44" s="2413"/>
      <c r="D44" s="2413"/>
      <c r="E44" s="2413"/>
      <c r="F44" s="241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 right="0.2" top="0.9" bottom="0.37" header="0.17" footer="0.25"/>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3" zoomScaleNormal="100" workbookViewId="0">
      <selection activeCell="M21" sqref="M21"/>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1999</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24" t="str">
        <f>COVER!A17</f>
        <v xml:space="preserve">  Lincoln ESD 27</v>
      </c>
      <c r="K6" s="2424"/>
      <c r="L6" s="2425"/>
      <c r="M6" s="838"/>
      <c r="N6" s="1997"/>
    </row>
    <row r="7" spans="1:14" x14ac:dyDescent="0.2">
      <c r="A7" s="2426" t="s">
        <v>864</v>
      </c>
      <c r="B7" s="2427"/>
      <c r="C7" s="2427"/>
      <c r="D7" s="2427"/>
      <c r="E7" s="2428"/>
      <c r="F7" s="839"/>
      <c r="G7" s="838"/>
      <c r="H7" s="838"/>
      <c r="I7" s="1923" t="s">
        <v>369</v>
      </c>
      <c r="J7" s="2429">
        <f>COVER!A13</f>
        <v>17054027002</v>
      </c>
      <c r="K7" s="2429"/>
      <c r="L7" s="2429"/>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2015</v>
      </c>
      <c r="F9" s="1857"/>
      <c r="G9" s="1857"/>
      <c r="H9" s="1857"/>
      <c r="I9" s="1928" t="s">
        <v>2016</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30" t="s">
        <v>478</v>
      </c>
      <c r="B11" s="2431"/>
      <c r="C11" s="2432"/>
      <c r="D11" s="1936" t="s">
        <v>866</v>
      </c>
      <c r="E11" s="1936" t="s">
        <v>64</v>
      </c>
      <c r="F11" s="1936" t="s">
        <v>6</v>
      </c>
      <c r="G11" s="1937" t="s">
        <v>2017</v>
      </c>
      <c r="H11" s="1938" t="s">
        <v>155</v>
      </c>
      <c r="I11" s="1936" t="s">
        <v>64</v>
      </c>
      <c r="J11" s="1936" t="s">
        <v>6</v>
      </c>
      <c r="K11" s="1937" t="s">
        <v>1998</v>
      </c>
      <c r="L11" s="1938" t="s">
        <v>155</v>
      </c>
      <c r="M11" s="838"/>
      <c r="N11" s="1997"/>
    </row>
    <row r="12" spans="1:14" x14ac:dyDescent="0.2">
      <c r="A12" s="2002">
        <v>1</v>
      </c>
      <c r="B12" s="1939" t="s">
        <v>813</v>
      </c>
      <c r="C12" s="842"/>
      <c r="D12" s="1940">
        <v>2320</v>
      </c>
      <c r="E12" s="1943">
        <f>'Expenditures 15-22'!K50</f>
        <v>243208</v>
      </c>
      <c r="F12" s="1941"/>
      <c r="G12" s="1967">
        <f>G68</f>
        <v>0</v>
      </c>
      <c r="H12" s="1943">
        <f t="shared" ref="H12:H18" si="0">SUM(E12:G12)</f>
        <v>243208</v>
      </c>
      <c r="I12" s="1942">
        <v>252850</v>
      </c>
      <c r="J12" s="1941"/>
      <c r="K12" s="1942"/>
      <c r="L12" s="1943">
        <f t="shared" ref="L12:L18" si="1">SUM(I12:K12)</f>
        <v>252850</v>
      </c>
      <c r="M12" s="838"/>
      <c r="N12" s="1997"/>
    </row>
    <row r="13" spans="1:14" x14ac:dyDescent="0.2">
      <c r="A13" s="2002">
        <v>2</v>
      </c>
      <c r="B13" s="1939" t="s">
        <v>42</v>
      </c>
      <c r="C13" s="842"/>
      <c r="D13" s="1940">
        <v>2330</v>
      </c>
      <c r="E13" s="1943">
        <f>'Expenditures 15-22'!K51</f>
        <v>66804</v>
      </c>
      <c r="F13" s="1941"/>
      <c r="G13" s="1967">
        <f>H68</f>
        <v>0</v>
      </c>
      <c r="H13" s="1943">
        <f t="shared" si="0"/>
        <v>66804</v>
      </c>
      <c r="I13" s="1942">
        <v>70055</v>
      </c>
      <c r="J13" s="1941"/>
      <c r="K13" s="1942"/>
      <c r="L13" s="1943">
        <f t="shared" si="1"/>
        <v>70055</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33" t="s">
        <v>7</v>
      </c>
      <c r="C18" s="2434"/>
      <c r="D18" s="2435"/>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310012</v>
      </c>
      <c r="F19" s="1949">
        <f t="shared" si="2"/>
        <v>0</v>
      </c>
      <c r="G19" s="1949">
        <f t="shared" ref="G19" si="3">SUM(G12:G17)-G18</f>
        <v>0</v>
      </c>
      <c r="H19" s="1949">
        <f t="shared" si="2"/>
        <v>310012</v>
      </c>
      <c r="I19" s="1949">
        <f t="shared" si="2"/>
        <v>322905</v>
      </c>
      <c r="J19" s="1949">
        <f t="shared" si="2"/>
        <v>0</v>
      </c>
      <c r="K19" s="1949">
        <f t="shared" si="2"/>
        <v>0</v>
      </c>
      <c r="L19" s="1949">
        <f t="shared" si="2"/>
        <v>322905</v>
      </c>
      <c r="M19" s="838"/>
      <c r="N19" s="1997"/>
    </row>
    <row r="20" spans="1:14" ht="13.5" thickTop="1" x14ac:dyDescent="0.2">
      <c r="A20" s="2002">
        <v>9</v>
      </c>
      <c r="B20" s="2436" t="s">
        <v>2018</v>
      </c>
      <c r="C20" s="2436"/>
      <c r="D20" s="2437"/>
      <c r="E20" s="1950"/>
      <c r="F20" s="1950"/>
      <c r="G20" s="1950"/>
      <c r="H20" s="1950"/>
      <c r="I20" s="1950"/>
      <c r="J20" s="1950"/>
      <c r="K20" s="1950"/>
      <c r="L20" s="1951">
        <f>IF(AND(H19&gt;0,L19&gt;0),(((L19-H19)/H19)),"Enter Budget Data")</f>
        <v>4.1588712694992452E-2</v>
      </c>
      <c r="M20" s="838"/>
      <c r="N20" s="1997"/>
    </row>
    <row r="21" spans="1:14" x14ac:dyDescent="0.2">
      <c r="A21" s="2004" t="s">
        <v>194</v>
      </c>
      <c r="B21" s="2005" t="s">
        <v>2043</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2019</v>
      </c>
      <c r="B24" s="2009"/>
      <c r="C24" s="2010"/>
      <c r="D24" s="2010"/>
      <c r="E24" s="2010"/>
      <c r="F24" s="2010"/>
      <c r="G24" s="2010"/>
      <c r="H24" s="2010"/>
      <c r="I24" s="2010"/>
      <c r="J24" s="2010"/>
      <c r="K24" s="2010"/>
      <c r="L24" s="838"/>
      <c r="M24" s="838"/>
      <c r="N24" s="1997"/>
    </row>
    <row r="25" spans="1:14" x14ac:dyDescent="0.2">
      <c r="A25" s="2008" t="s">
        <v>2020</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38"/>
      <c r="D27" s="2438"/>
      <c r="E27" s="843"/>
      <c r="F27" s="2439"/>
      <c r="G27" s="2439"/>
      <c r="H27" s="2439"/>
      <c r="I27" s="838"/>
      <c r="J27" s="838"/>
      <c r="K27" s="838"/>
      <c r="L27" s="838"/>
      <c r="M27" s="838"/>
      <c r="N27" s="1997"/>
    </row>
    <row r="28" spans="1:14" x14ac:dyDescent="0.2">
      <c r="A28" s="1996"/>
      <c r="B28" s="2006"/>
      <c r="C28" s="1956" t="s">
        <v>1026</v>
      </c>
      <c r="D28" s="844"/>
      <c r="E28" s="1957"/>
      <c r="F28" s="2440" t="s">
        <v>1492</v>
      </c>
      <c r="G28" s="2440"/>
      <c r="H28" s="2440"/>
      <c r="I28" s="838"/>
      <c r="J28" s="838"/>
      <c r="K28" s="838"/>
      <c r="L28" s="838"/>
      <c r="M28" s="838"/>
      <c r="N28" s="1997"/>
    </row>
    <row r="29" spans="1:14" x14ac:dyDescent="0.2">
      <c r="A29" s="1996"/>
      <c r="B29" s="2006"/>
      <c r="C29" s="2441"/>
      <c r="D29" s="2441"/>
      <c r="E29" s="845"/>
      <c r="F29" s="2441"/>
      <c r="G29" s="2441"/>
      <c r="H29" s="2441"/>
      <c r="I29" s="838"/>
      <c r="J29" s="838"/>
      <c r="K29" s="838"/>
      <c r="L29" s="838"/>
      <c r="M29" s="838"/>
      <c r="N29" s="1997"/>
    </row>
    <row r="30" spans="1:14" x14ac:dyDescent="0.2">
      <c r="A30" s="1996"/>
      <c r="B30" s="2006"/>
      <c r="C30" s="1959" t="s">
        <v>1544</v>
      </c>
      <c r="D30" s="838"/>
      <c r="E30" s="1958"/>
      <c r="F30" s="2423" t="s">
        <v>1493</v>
      </c>
      <c r="G30" s="2423"/>
      <c r="H30" s="2423"/>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44" t="s">
        <v>2021</v>
      </c>
      <c r="D34" s="2445"/>
      <c r="E34" s="2445"/>
      <c r="F34" s="2445"/>
      <c r="G34" s="2445"/>
      <c r="H34" s="2445"/>
      <c r="I34" s="2445"/>
      <c r="J34" s="2445"/>
      <c r="K34" s="2015"/>
      <c r="L34" s="838"/>
      <c r="M34" s="838"/>
      <c r="N34" s="1997"/>
    </row>
    <row r="35" spans="1:14" x14ac:dyDescent="0.2">
      <c r="A35" s="1996"/>
      <c r="B35" s="838"/>
      <c r="C35" s="2445"/>
      <c r="D35" s="2445"/>
      <c r="E35" s="2445"/>
      <c r="F35" s="2445"/>
      <c r="G35" s="2445"/>
      <c r="H35" s="2445"/>
      <c r="I35" s="2445"/>
      <c r="J35" s="2445"/>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44" t="s">
        <v>2022</v>
      </c>
      <c r="D37" s="2445"/>
      <c r="E37" s="2445"/>
      <c r="F37" s="2445"/>
      <c r="G37" s="2445"/>
      <c r="H37" s="2445"/>
      <c r="I37" s="2445"/>
      <c r="J37" s="2445"/>
      <c r="K37" s="2015"/>
      <c r="L37" s="2017"/>
      <c r="M37" s="838"/>
      <c r="N37" s="1997"/>
    </row>
    <row r="38" spans="1:14" x14ac:dyDescent="0.2">
      <c r="A38" s="1996"/>
      <c r="B38" s="838"/>
      <c r="C38" s="2445"/>
      <c r="D38" s="2445"/>
      <c r="E38" s="2445"/>
      <c r="F38" s="2445"/>
      <c r="G38" s="2445"/>
      <c r="H38" s="2445"/>
      <c r="I38" s="2445"/>
      <c r="J38" s="2445"/>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6" t="s">
        <v>2023</v>
      </c>
      <c r="D40" s="2447"/>
      <c r="E40" s="2447"/>
      <c r="F40" s="2447"/>
      <c r="G40" s="2447"/>
      <c r="H40" s="2447"/>
      <c r="I40" s="2447"/>
      <c r="J40" s="2447"/>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8" t="s">
        <v>2024</v>
      </c>
      <c r="B43" s="2449"/>
      <c r="C43" s="2449"/>
      <c r="D43" s="2449"/>
      <c r="E43" s="2449"/>
      <c r="F43" s="2449"/>
      <c r="G43" s="2449"/>
      <c r="H43" s="2449"/>
      <c r="I43" s="2449"/>
      <c r="J43" s="2449"/>
      <c r="K43" s="2449"/>
      <c r="L43" s="2449"/>
      <c r="M43" s="2449"/>
      <c r="N43" s="2450"/>
    </row>
    <row r="44" spans="1:14" x14ac:dyDescent="0.2">
      <c r="A44" s="1981"/>
      <c r="B44" s="1982"/>
      <c r="C44" s="1982"/>
      <c r="D44" s="1982"/>
      <c r="E44" s="1982"/>
      <c r="F44" s="1982"/>
      <c r="G44" s="1982"/>
      <c r="H44" s="1982"/>
      <c r="I44" s="1982"/>
      <c r="J44" s="1982"/>
      <c r="K44" s="1982"/>
      <c r="L44" s="1982"/>
      <c r="M44" s="1982"/>
      <c r="N44" s="1983"/>
    </row>
    <row r="45" spans="1:14" x14ac:dyDescent="0.2">
      <c r="A45" s="1981" t="s">
        <v>2025</v>
      </c>
      <c r="B45" s="1982"/>
      <c r="C45" s="1982"/>
      <c r="D45" s="1982"/>
      <c r="E45" s="1982"/>
      <c r="F45" s="1982"/>
      <c r="G45" s="1982"/>
      <c r="H45" s="1982"/>
      <c r="I45" s="1982"/>
      <c r="J45" s="1982"/>
      <c r="K45" s="1982"/>
      <c r="L45" s="1982"/>
      <c r="M45" s="1982"/>
      <c r="N45" s="1983"/>
    </row>
    <row r="46" spans="1:14" x14ac:dyDescent="0.2">
      <c r="A46" s="2451" t="s">
        <v>2026</v>
      </c>
      <c r="B46" s="2452"/>
      <c r="C46" s="2452"/>
      <c r="D46" s="2452"/>
      <c r="E46" s="2452"/>
      <c r="F46" s="2452"/>
      <c r="G46" s="2452"/>
      <c r="H46" s="2452"/>
      <c r="I46" s="2452"/>
      <c r="J46" s="2452"/>
      <c r="K46" s="2452"/>
      <c r="L46" s="2452"/>
      <c r="M46" s="2452"/>
      <c r="N46" s="2453"/>
    </row>
    <row r="47" spans="1:14" x14ac:dyDescent="0.2">
      <c r="A47" s="2451"/>
      <c r="B47" s="2452"/>
      <c r="C47" s="2452"/>
      <c r="D47" s="2452"/>
      <c r="E47" s="2452"/>
      <c r="F47" s="2452"/>
      <c r="G47" s="2452"/>
      <c r="H47" s="2452"/>
      <c r="I47" s="2452"/>
      <c r="J47" s="2452"/>
      <c r="K47" s="2452"/>
      <c r="L47" s="2452"/>
      <c r="M47" s="2452"/>
      <c r="N47" s="2453"/>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2042</v>
      </c>
      <c r="B49" s="2023"/>
      <c r="C49" s="2023"/>
      <c r="D49" s="2024"/>
      <c r="E49" s="2024"/>
      <c r="F49" s="2024"/>
      <c r="G49" s="2024"/>
      <c r="H49" s="2024"/>
      <c r="I49" s="2024"/>
      <c r="J49" s="2024"/>
      <c r="K49" s="2024"/>
      <c r="L49" s="2024"/>
      <c r="M49" s="2024"/>
      <c r="N49" s="2025"/>
    </row>
    <row r="50" spans="1:14" ht="15" x14ac:dyDescent="0.25">
      <c r="A50" s="2027" t="s">
        <v>2041</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24" t="str">
        <f>J6</f>
        <v xml:space="preserve">  Lincoln ESD 27</v>
      </c>
      <c r="M52" s="2424"/>
      <c r="N52" s="2454"/>
    </row>
    <row r="53" spans="1:14" x14ac:dyDescent="0.2">
      <c r="A53" s="1981"/>
      <c r="B53" s="1982"/>
      <c r="C53" s="1982"/>
      <c r="D53" s="1982"/>
      <c r="E53" s="1982"/>
      <c r="F53" s="1982"/>
      <c r="G53" s="1982"/>
      <c r="H53" s="1982"/>
      <c r="I53" s="1982"/>
      <c r="J53" s="1982"/>
      <c r="K53" s="1923" t="s">
        <v>369</v>
      </c>
      <c r="L53" s="2429">
        <f>J7</f>
        <v>17054027002</v>
      </c>
      <c r="M53" s="2429"/>
      <c r="N53" s="2455"/>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6"/>
      <c r="B55" s="2457"/>
      <c r="C55" s="2457"/>
      <c r="D55" s="1969"/>
      <c r="E55" s="1969"/>
      <c r="F55" s="1969"/>
      <c r="G55" s="2458" t="s">
        <v>2027</v>
      </c>
      <c r="H55" s="2458"/>
      <c r="I55" s="2458"/>
      <c r="J55" s="2458"/>
      <c r="K55" s="2458"/>
      <c r="L55" s="2458"/>
      <c r="M55" s="2458"/>
      <c r="N55" s="2459"/>
    </row>
    <row r="56" spans="1:14" ht="63.75" x14ac:dyDescent="0.2">
      <c r="A56" s="2460" t="s">
        <v>2028</v>
      </c>
      <c r="B56" s="2461"/>
      <c r="C56" s="2462"/>
      <c r="D56" s="1963" t="s">
        <v>2029</v>
      </c>
      <c r="E56" s="1963" t="s">
        <v>2030</v>
      </c>
      <c r="F56" s="1970"/>
      <c r="G56" s="1963" t="s">
        <v>2031</v>
      </c>
      <c r="H56" s="1963" t="s">
        <v>2032</v>
      </c>
      <c r="I56" s="1963" t="s">
        <v>2033</v>
      </c>
      <c r="J56" s="1963" t="s">
        <v>2034</v>
      </c>
      <c r="K56" s="1963" t="s">
        <v>2035</v>
      </c>
      <c r="L56" s="1963" t="s">
        <v>2036</v>
      </c>
      <c r="M56" s="1963" t="s">
        <v>2037</v>
      </c>
      <c r="N56" s="1964" t="s">
        <v>2044</v>
      </c>
    </row>
    <row r="57" spans="1:14" ht="24.75" customHeight="1" x14ac:dyDescent="0.2">
      <c r="A57" s="2463" t="s">
        <v>296</v>
      </c>
      <c r="B57" s="2464"/>
      <c r="C57" s="2464"/>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42" t="s">
        <v>2038</v>
      </c>
      <c r="B58" s="2443"/>
      <c r="C58" s="2443"/>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65" t="s">
        <v>297</v>
      </c>
      <c r="B59" s="2466"/>
      <c r="C59" s="2466"/>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65" t="s">
        <v>236</v>
      </c>
      <c r="B60" s="2466"/>
      <c r="C60" s="2466"/>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65" t="s">
        <v>697</v>
      </c>
      <c r="B61" s="2466"/>
      <c r="C61" s="2466"/>
      <c r="D61" s="1966">
        <v>2365</v>
      </c>
      <c r="E61" s="1976">
        <f>'Expenditures 15-22'!K323</f>
        <v>0</v>
      </c>
      <c r="F61" s="1971"/>
      <c r="G61" s="2030"/>
      <c r="H61" s="2031"/>
      <c r="I61" s="2031"/>
      <c r="J61" s="2031"/>
      <c r="K61" s="2031"/>
      <c r="L61" s="2031"/>
      <c r="M61" s="2031"/>
      <c r="N61" s="1974">
        <f t="shared" si="4"/>
        <v>0</v>
      </c>
    </row>
    <row r="62" spans="1:14" ht="24" customHeight="1" x14ac:dyDescent="0.2">
      <c r="A62" s="2465" t="s">
        <v>237</v>
      </c>
      <c r="B62" s="2466"/>
      <c r="C62" s="2466"/>
      <c r="D62" s="1966">
        <v>2366</v>
      </c>
      <c r="E62" s="1976">
        <f>'Expenditures 15-22'!K324</f>
        <v>0</v>
      </c>
      <c r="F62" s="1971"/>
      <c r="G62" s="2030"/>
      <c r="H62" s="2031"/>
      <c r="I62" s="2031"/>
      <c r="J62" s="2031"/>
      <c r="K62" s="2031"/>
      <c r="L62" s="2031"/>
      <c r="M62" s="2031"/>
      <c r="N62" s="1974">
        <f t="shared" si="4"/>
        <v>0</v>
      </c>
    </row>
    <row r="63" spans="1:14" ht="24" customHeight="1" x14ac:dyDescent="0.2">
      <c r="A63" s="2442" t="s">
        <v>1022</v>
      </c>
      <c r="B63" s="2443"/>
      <c r="C63" s="2443"/>
      <c r="D63" s="1966">
        <v>2367</v>
      </c>
      <c r="E63" s="1976">
        <f>'Expenditures 15-22'!K325</f>
        <v>0</v>
      </c>
      <c r="F63" s="1971"/>
      <c r="G63" s="2030"/>
      <c r="H63" s="2031"/>
      <c r="I63" s="2031"/>
      <c r="J63" s="2031"/>
      <c r="K63" s="2031"/>
      <c r="L63" s="2031"/>
      <c r="M63" s="2031"/>
      <c r="N63" s="1974">
        <f t="shared" si="4"/>
        <v>0</v>
      </c>
    </row>
    <row r="64" spans="1:14" ht="24" customHeight="1" x14ac:dyDescent="0.2">
      <c r="A64" s="2465" t="s">
        <v>1023</v>
      </c>
      <c r="B64" s="2466"/>
      <c r="C64" s="2466"/>
      <c r="D64" s="1966">
        <v>2368</v>
      </c>
      <c r="E64" s="1976">
        <f>'Expenditures 15-22'!K326</f>
        <v>0</v>
      </c>
      <c r="F64" s="1971"/>
      <c r="G64" s="2030"/>
      <c r="H64" s="2031"/>
      <c r="I64" s="2031"/>
      <c r="J64" s="2031"/>
      <c r="K64" s="2031"/>
      <c r="L64" s="2031"/>
      <c r="M64" s="2031"/>
      <c r="N64" s="1974">
        <f t="shared" si="4"/>
        <v>0</v>
      </c>
    </row>
    <row r="65" spans="1:14" ht="24" customHeight="1" x14ac:dyDescent="0.2">
      <c r="A65" s="2465" t="s">
        <v>965</v>
      </c>
      <c r="B65" s="2466"/>
      <c r="C65" s="2466"/>
      <c r="D65" s="1966">
        <v>2369</v>
      </c>
      <c r="E65" s="1976">
        <f>'Expenditures 15-22'!K327</f>
        <v>0</v>
      </c>
      <c r="F65" s="1971"/>
      <c r="G65" s="2030"/>
      <c r="H65" s="2031"/>
      <c r="I65" s="2031"/>
      <c r="J65" s="2031"/>
      <c r="K65" s="2031"/>
      <c r="L65" s="2031"/>
      <c r="M65" s="2031"/>
      <c r="N65" s="1974">
        <f t="shared" si="4"/>
        <v>0</v>
      </c>
    </row>
    <row r="66" spans="1:14" ht="24" customHeight="1" x14ac:dyDescent="0.2">
      <c r="A66" s="2465" t="s">
        <v>469</v>
      </c>
      <c r="B66" s="2466"/>
      <c r="C66" s="2466"/>
      <c r="D66" s="1966">
        <v>2371</v>
      </c>
      <c r="E66" s="1976">
        <f>'Expenditures 15-22'!K328</f>
        <v>0</v>
      </c>
      <c r="F66" s="1971"/>
      <c r="G66" s="2030"/>
      <c r="H66" s="2031"/>
      <c r="I66" s="2031"/>
      <c r="J66" s="2031"/>
      <c r="K66" s="2031"/>
      <c r="L66" s="2031"/>
      <c r="M66" s="2031"/>
      <c r="N66" s="1974">
        <f t="shared" si="4"/>
        <v>0</v>
      </c>
    </row>
    <row r="67" spans="1:14" ht="24.75" customHeight="1" x14ac:dyDescent="0.2">
      <c r="A67" s="2467" t="s">
        <v>2039</v>
      </c>
      <c r="B67" s="2468"/>
      <c r="C67" s="2468"/>
      <c r="D67" s="1968">
        <v>2372</v>
      </c>
      <c r="E67" s="1977">
        <f>'Expenditures 15-22'!K329</f>
        <v>0</v>
      </c>
      <c r="F67" s="1971"/>
      <c r="G67" s="2032"/>
      <c r="H67" s="2033"/>
      <c r="I67" s="2033"/>
      <c r="J67" s="2033"/>
      <c r="K67" s="2033"/>
      <c r="L67" s="2033"/>
      <c r="M67" s="2033"/>
      <c r="N67" s="1974">
        <f t="shared" si="4"/>
        <v>0</v>
      </c>
    </row>
    <row r="68" spans="1:14" x14ac:dyDescent="0.2">
      <c r="A68" s="2469" t="s">
        <v>1151</v>
      </c>
      <c r="B68" s="2470"/>
      <c r="C68" s="2470"/>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2040</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25" top="0.7" bottom="0.25" header="0.4" footer="0.25"/>
  <pageSetup scale="76"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6"/>
  <sheetViews>
    <sheetView showGridLines="0" topLeftCell="A8" zoomScale="110" zoomScaleNormal="110" workbookViewId="0">
      <selection activeCell="C17" sqref="C17"/>
    </sheetView>
  </sheetViews>
  <sheetFormatPr defaultRowHeight="12.75" x14ac:dyDescent="0.2"/>
  <cols>
    <col min="1" max="1" width="3" style="307" customWidth="1"/>
    <col min="2" max="2" width="3.5703125" style="307" customWidth="1"/>
    <col min="3" max="3" width="71.7109375" style="307" customWidth="1"/>
    <col min="4" max="4" width="14.5703125" style="2042" customWidth="1"/>
    <col min="5" max="16384" width="9.140625" style="307"/>
  </cols>
  <sheetData>
    <row r="2" spans="1:4" x14ac:dyDescent="0.2">
      <c r="A2" s="366" t="s">
        <v>256</v>
      </c>
    </row>
    <row r="3" spans="1:4" x14ac:dyDescent="0.2">
      <c r="A3" s="307" t="s">
        <v>257</v>
      </c>
    </row>
    <row r="5" spans="1:4" x14ac:dyDescent="0.2">
      <c r="A5" s="848">
        <v>1</v>
      </c>
      <c r="B5" s="307" t="s">
        <v>2156</v>
      </c>
    </row>
    <row r="6" spans="1:4" ht="13.5" thickBot="1" x14ac:dyDescent="0.25">
      <c r="A6" s="848"/>
      <c r="C6" s="307" t="s">
        <v>2154</v>
      </c>
      <c r="D6" s="2043">
        <v>938</v>
      </c>
    </row>
    <row r="7" spans="1:4" ht="13.5" thickTop="1" x14ac:dyDescent="0.2">
      <c r="A7" s="847"/>
    </row>
    <row r="8" spans="1:4" x14ac:dyDescent="0.2">
      <c r="A8" s="848">
        <v>2</v>
      </c>
      <c r="B8" s="307" t="s">
        <v>2155</v>
      </c>
    </row>
    <row r="9" spans="1:4" x14ac:dyDescent="0.2">
      <c r="A9" s="847"/>
      <c r="C9" s="307" t="s">
        <v>2157</v>
      </c>
      <c r="D9" s="2042">
        <v>50</v>
      </c>
    </row>
    <row r="10" spans="1:4" x14ac:dyDescent="0.2">
      <c r="A10" s="848"/>
      <c r="C10" s="307" t="s">
        <v>2158</v>
      </c>
      <c r="D10" s="2042">
        <v>85</v>
      </c>
    </row>
    <row r="11" spans="1:4" x14ac:dyDescent="0.2">
      <c r="A11" s="848"/>
      <c r="C11" s="307" t="s">
        <v>2159</v>
      </c>
      <c r="D11" s="2042">
        <v>1629</v>
      </c>
    </row>
    <row r="12" spans="1:4" ht="13.5" thickBot="1" x14ac:dyDescent="0.25">
      <c r="A12" s="848"/>
      <c r="D12" s="2044">
        <f>SUM(D9:D11)</f>
        <v>1764</v>
      </c>
    </row>
    <row r="13" spans="1:4" ht="13.5" thickTop="1" x14ac:dyDescent="0.2">
      <c r="A13" s="848"/>
    </row>
    <row r="14" spans="1:4" x14ac:dyDescent="0.2">
      <c r="A14" s="848">
        <v>3</v>
      </c>
      <c r="B14" s="307" t="s">
        <v>2160</v>
      </c>
    </row>
    <row r="15" spans="1:4" x14ac:dyDescent="0.2">
      <c r="A15" s="848"/>
      <c r="C15" s="307" t="s">
        <v>2175</v>
      </c>
      <c r="D15" s="2042">
        <v>2340</v>
      </c>
    </row>
    <row r="16" spans="1:4" x14ac:dyDescent="0.2">
      <c r="A16" s="848"/>
      <c r="C16" s="307" t="s">
        <v>2161</v>
      </c>
      <c r="D16" s="2042">
        <v>804</v>
      </c>
    </row>
    <row r="17" spans="1:4" ht="13.5" thickBot="1" x14ac:dyDescent="0.25">
      <c r="A17" s="848"/>
      <c r="D17" s="2044">
        <f>SUM(D15:D16)</f>
        <v>3144</v>
      </c>
    </row>
    <row r="18" spans="1:4" ht="13.5" thickTop="1" x14ac:dyDescent="0.2">
      <c r="A18" s="848"/>
    </row>
    <row r="19" spans="1:4" x14ac:dyDescent="0.2">
      <c r="A19" s="848">
        <v>4</v>
      </c>
      <c r="B19" s="307" t="s">
        <v>2162</v>
      </c>
    </row>
    <row r="20" spans="1:4" x14ac:dyDescent="0.2">
      <c r="A20" s="848"/>
      <c r="C20" s="307" t="s">
        <v>2163</v>
      </c>
    </row>
    <row r="21" spans="1:4" ht="13.5" thickBot="1" x14ac:dyDescent="0.25">
      <c r="A21" s="848"/>
      <c r="C21" s="307" t="s">
        <v>2164</v>
      </c>
      <c r="D21" s="2043">
        <v>38252</v>
      </c>
    </row>
    <row r="22" spans="1:4" ht="14.25" thickTop="1" thickBot="1" x14ac:dyDescent="0.25">
      <c r="A22" s="848"/>
      <c r="C22" s="307" t="s">
        <v>2165</v>
      </c>
      <c r="D22" s="2045">
        <v>3427</v>
      </c>
    </row>
    <row r="23" spans="1:4" ht="13.5" thickTop="1" x14ac:dyDescent="0.2">
      <c r="A23" s="848"/>
    </row>
    <row r="24" spans="1:4" x14ac:dyDescent="0.2">
      <c r="A24" s="848">
        <v>5</v>
      </c>
      <c r="B24" s="307" t="s">
        <v>2166</v>
      </c>
    </row>
    <row r="25" spans="1:4" x14ac:dyDescent="0.2">
      <c r="A25" s="848"/>
      <c r="C25" s="307" t="s">
        <v>2167</v>
      </c>
      <c r="D25" s="2042">
        <v>3000</v>
      </c>
    </row>
    <row r="26" spans="1:4" x14ac:dyDescent="0.2">
      <c r="A26" s="848"/>
      <c r="C26" s="307" t="s">
        <v>2168</v>
      </c>
      <c r="D26" s="2042">
        <v>2095</v>
      </c>
    </row>
    <row r="27" spans="1:4" x14ac:dyDescent="0.2">
      <c r="A27" s="848"/>
      <c r="C27" s="307" t="s">
        <v>2169</v>
      </c>
      <c r="D27" s="2042">
        <v>36620</v>
      </c>
    </row>
    <row r="28" spans="1:4" ht="13.5" thickBot="1" x14ac:dyDescent="0.25">
      <c r="A28" s="848"/>
      <c r="D28" s="2044">
        <f>SUM(D25:D27)</f>
        <v>41715</v>
      </c>
    </row>
    <row r="29" spans="1:4" ht="13.5" thickTop="1" x14ac:dyDescent="0.2">
      <c r="A29" s="848">
        <v>6</v>
      </c>
      <c r="B29" s="307" t="s">
        <v>2170</v>
      </c>
    </row>
    <row r="30" spans="1:4" x14ac:dyDescent="0.2">
      <c r="A30" s="848"/>
      <c r="C30" s="307" t="s">
        <v>2171</v>
      </c>
    </row>
    <row r="31" spans="1:4" x14ac:dyDescent="0.2">
      <c r="A31" s="848"/>
    </row>
    <row r="32" spans="1:4" x14ac:dyDescent="0.2">
      <c r="A32" s="848">
        <v>7</v>
      </c>
      <c r="B32" s="307" t="s">
        <v>2172</v>
      </c>
    </row>
    <row r="33" spans="1:4" ht="13.5" thickBot="1" x14ac:dyDescent="0.25">
      <c r="A33" s="848"/>
      <c r="C33" s="307" t="s">
        <v>2173</v>
      </c>
      <c r="D33" s="2043">
        <v>500</v>
      </c>
    </row>
    <row r="34" spans="1:4" ht="13.5" thickTop="1" x14ac:dyDescent="0.2">
      <c r="A34" s="848"/>
    </row>
    <row r="35" spans="1:4" x14ac:dyDescent="0.2">
      <c r="A35" s="848">
        <v>8</v>
      </c>
      <c r="B35" s="307" t="s">
        <v>2174</v>
      </c>
    </row>
    <row r="36" spans="1:4" x14ac:dyDescent="0.2">
      <c r="A36" s="848"/>
    </row>
    <row r="37" spans="1:4" x14ac:dyDescent="0.2">
      <c r="A37" s="848"/>
    </row>
    <row r="38" spans="1:4" x14ac:dyDescent="0.2">
      <c r="A38" s="848"/>
    </row>
    <row r="39" spans="1:4" x14ac:dyDescent="0.2">
      <c r="A39" s="848"/>
    </row>
    <row r="40" spans="1:4" x14ac:dyDescent="0.2">
      <c r="A40" s="848"/>
    </row>
    <row r="41" spans="1:4" x14ac:dyDescent="0.2">
      <c r="A41" s="848"/>
    </row>
    <row r="42" spans="1:4" x14ac:dyDescent="0.2">
      <c r="A42" s="848"/>
    </row>
    <row r="43" spans="1:4" x14ac:dyDescent="0.2">
      <c r="A43" s="848"/>
    </row>
    <row r="44" spans="1:4" x14ac:dyDescent="0.2">
      <c r="A44" s="848"/>
    </row>
    <row r="45" spans="1:4" x14ac:dyDescent="0.2">
      <c r="A45" s="848"/>
    </row>
    <row r="46" spans="1:4" x14ac:dyDescent="0.2">
      <c r="A46" s="848"/>
    </row>
    <row r="47" spans="1:4" x14ac:dyDescent="0.2">
      <c r="A47" s="848"/>
    </row>
    <row r="48" spans="1:4"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Lincoln ESD 27</v>
      </c>
    </row>
    <row r="66" spans="1:2" x14ac:dyDescent="0.2">
      <c r="B66" s="849">
        <f>COVER!A13</f>
        <v>17054027002</v>
      </c>
    </row>
  </sheetData>
  <phoneticPr fontId="15" type="noConversion"/>
  <pageMargins left="0.6" right="0.25" top="0.75" bottom="0.75" header="0.3" footer="0.3"/>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25" sqref="D2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2047</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2045</v>
      </c>
    </row>
    <row r="33" spans="1:5" x14ac:dyDescent="0.2">
      <c r="A33" s="167"/>
      <c r="D33" s="164"/>
      <c r="E33" s="166"/>
    </row>
    <row r="34" spans="1:5" x14ac:dyDescent="0.2">
      <c r="A34" s="167"/>
      <c r="D34" s="164"/>
      <c r="E34" s="166"/>
    </row>
    <row r="35" spans="1:5" ht="15.75" customHeight="1" thickBot="1" x14ac:dyDescent="0.25">
      <c r="A35" s="2157" t="s">
        <v>1056</v>
      </c>
      <c r="B35" s="2157"/>
      <c r="C35" s="2157"/>
      <c r="D35" s="2157"/>
      <c r="E35" s="215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4" t="s">
        <v>686</v>
      </c>
      <c r="B40" s="2154"/>
      <c r="C40" s="2154"/>
      <c r="D40" s="2154"/>
      <c r="E40" s="2154"/>
    </row>
    <row r="41" spans="1:5" x14ac:dyDescent="0.2">
      <c r="A41" s="2155" t="s">
        <v>1591</v>
      </c>
      <c r="B41" s="2155"/>
      <c r="C41" s="2155"/>
      <c r="D41" s="2155"/>
      <c r="E41" s="2155"/>
    </row>
    <row r="42" spans="1:5" ht="12.75" customHeight="1" x14ac:dyDescent="0.2">
      <c r="A42" s="2156" t="s">
        <v>1015</v>
      </c>
      <c r="B42" s="2156"/>
      <c r="C42" s="2156"/>
      <c r="D42" s="2156"/>
      <c r="E42" s="2156"/>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5"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4" sqref="D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1" t="s">
        <v>1665</v>
      </c>
      <c r="B18" s="247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66675</xdr:colOff>
                <xdr:row>0</xdr:row>
                <xdr:rowOff>133350</xdr:rowOff>
              </from>
              <to>
                <xdr:col>1</xdr:col>
                <xdr:colOff>981075</xdr:colOff>
                <xdr:row>5</xdr:row>
                <xdr:rowOff>9525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1247775</xdr:colOff>
                <xdr:row>0</xdr:row>
                <xdr:rowOff>133350</xdr:rowOff>
              </from>
              <to>
                <xdr:col>1</xdr:col>
                <xdr:colOff>2162175</xdr:colOff>
                <xdr:row>5</xdr:row>
                <xdr:rowOff>9525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66675</xdr:colOff>
                <xdr:row>6</xdr:row>
                <xdr:rowOff>38100</xdr:rowOff>
              </from>
              <to>
                <xdr:col>1</xdr:col>
                <xdr:colOff>981075</xdr:colOff>
                <xdr:row>10</xdr:row>
                <xdr:rowOff>76200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2" t="s">
        <v>1669</v>
      </c>
      <c r="B1" s="2473"/>
      <c r="C1" s="2473"/>
      <c r="D1" s="2473"/>
      <c r="E1" s="2473"/>
      <c r="F1" s="2474"/>
    </row>
    <row r="2" spans="1:8" ht="45"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53"/>
      <c r="H2" s="853"/>
    </row>
    <row r="3" spans="1:8" ht="57" customHeight="1" x14ac:dyDescent="0.2">
      <c r="A3" s="2485" t="s">
        <v>1969</v>
      </c>
      <c r="B3" s="2486"/>
      <c r="C3" s="2486"/>
      <c r="D3" s="2486"/>
      <c r="E3" s="2486"/>
      <c r="F3" s="2487"/>
      <c r="G3" s="853"/>
      <c r="H3" s="853"/>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53"/>
      <c r="H4" s="853"/>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53"/>
      <c r="H5" s="853"/>
    </row>
    <row r="6" spans="1:8" s="854" customFormat="1" ht="41.25" customHeight="1" x14ac:dyDescent="0.2">
      <c r="A6" s="2488" t="s">
        <v>1670</v>
      </c>
      <c r="B6" s="2489"/>
      <c r="C6" s="2489"/>
      <c r="D6" s="2489"/>
      <c r="E6" s="2489"/>
      <c r="F6" s="249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11868563</v>
      </c>
      <c r="C8" s="1813">
        <f>'Acct Summary 7-8'!D8</f>
        <v>1055067</v>
      </c>
      <c r="D8" s="1813">
        <f>'Acct Summary 7-8'!F8</f>
        <v>353458</v>
      </c>
      <c r="E8" s="1813">
        <f>'Acct Summary 7-8'!I8</f>
        <v>8601</v>
      </c>
      <c r="F8" s="1813">
        <f>SUM(B8:E8)</f>
        <v>13285689</v>
      </c>
    </row>
    <row r="9" spans="1:8" s="858" customFormat="1" ht="14.25" customHeight="1" thickBot="1" x14ac:dyDescent="0.25">
      <c r="A9" s="857" t="s">
        <v>1353</v>
      </c>
      <c r="B9" s="1814">
        <f>'Acct Summary 7-8'!C17</f>
        <v>11590156</v>
      </c>
      <c r="C9" s="1814">
        <f>'Acct Summary 7-8'!D17</f>
        <v>786982</v>
      </c>
      <c r="D9" s="1814">
        <f>'Acct Summary 7-8'!F17</f>
        <v>297094</v>
      </c>
      <c r="E9" s="1813"/>
      <c r="F9" s="1813">
        <f>SUM(B9:E9)</f>
        <v>12674232</v>
      </c>
    </row>
    <row r="10" spans="1:8" s="858" customFormat="1" ht="14.25" thickTop="1" thickBot="1" x14ac:dyDescent="0.25">
      <c r="A10" s="859" t="s">
        <v>1354</v>
      </c>
      <c r="B10" s="1815">
        <f>(B8-B9)</f>
        <v>278407</v>
      </c>
      <c r="C10" s="1815">
        <f>(C8-C9)</f>
        <v>268085</v>
      </c>
      <c r="D10" s="1815">
        <f>(D8-D9)</f>
        <v>56364</v>
      </c>
      <c r="E10" s="1814">
        <f>(E8-E9)</f>
        <v>8601</v>
      </c>
      <c r="F10" s="1816">
        <f>SUM(F8-F9)</f>
        <v>611457</v>
      </c>
    </row>
    <row r="11" spans="1:8" s="858" customFormat="1" ht="14.25" thickTop="1" thickBot="1" x14ac:dyDescent="0.25">
      <c r="A11" s="860" t="s">
        <v>1900</v>
      </c>
      <c r="B11" s="1817">
        <f>'Acct Summary 7-8'!C81</f>
        <v>7361341</v>
      </c>
      <c r="C11" s="1817">
        <f>'Acct Summary 7-8'!D81</f>
        <v>928966</v>
      </c>
      <c r="D11" s="1817">
        <f>'Acct Summary 7-8'!F81</f>
        <v>558130</v>
      </c>
      <c r="E11" s="1817">
        <f>'Acct Summary 7-8'!I81</f>
        <v>1452042</v>
      </c>
      <c r="F11" s="1818">
        <f>SUM(B11:E11)</f>
        <v>10300479</v>
      </c>
    </row>
    <row r="12" spans="1:8" ht="16.5" customHeight="1" thickTop="1" x14ac:dyDescent="0.2">
      <c r="A12" s="861"/>
      <c r="B12" s="862"/>
      <c r="C12" s="2476" t="str">
        <f>IF(AND(F10&lt;0,F11&gt;=0,ABS(F10*3)&gt;ABS(F11)),A16,IF(AND(F10&lt;0,F11&gt;0,ABS(F10*3)&lt;=ABS(F11)),A17,IF(AND(F10&lt;0,F11&lt;0),A16,IF(F11=0,A19,A18))))</f>
        <v>Balanced - no deficit reduction plan is required.</v>
      </c>
      <c r="D12" s="2477"/>
      <c r="E12" s="2477"/>
      <c r="F12" s="2478"/>
    </row>
    <row r="13" spans="1:8" ht="19.5" customHeight="1" x14ac:dyDescent="0.2">
      <c r="A13" s="863"/>
      <c r="B13" s="864"/>
      <c r="C13" s="2476"/>
      <c r="D13" s="2477"/>
      <c r="E13" s="2477"/>
      <c r="F13" s="2478"/>
      <c r="H13" s="853"/>
    </row>
    <row r="14" spans="1:8" ht="19.5" customHeight="1" x14ac:dyDescent="0.2">
      <c r="A14" s="863"/>
      <c r="B14" s="864"/>
      <c r="C14" s="2476"/>
      <c r="D14" s="2477"/>
      <c r="E14" s="2477"/>
      <c r="F14" s="2478"/>
      <c r="H14" s="853"/>
    </row>
    <row r="15" spans="1:8" ht="17.25" customHeight="1" x14ac:dyDescent="0.2">
      <c r="A15" s="863"/>
      <c r="B15" s="864"/>
      <c r="C15" s="2479"/>
      <c r="D15" s="2480"/>
      <c r="E15" s="2480"/>
      <c r="F15" s="2481"/>
      <c r="H15" s="853"/>
    </row>
    <row r="16" spans="1:8" s="288" customFormat="1" ht="51.75" hidden="1" customHeight="1" x14ac:dyDescent="0.2">
      <c r="A16" s="2475" t="s">
        <v>1666</v>
      </c>
      <c r="B16" s="2475"/>
      <c r="C16" s="2475"/>
      <c r="D16" s="2475"/>
      <c r="E16" s="247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5" colorId="8" zoomScale="110" zoomScaleNormal="110" workbookViewId="0">
      <selection activeCell="D65" sqref="D6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7" t="s">
        <v>660</v>
      </c>
      <c r="B3" s="2498"/>
      <c r="C3" s="2498"/>
      <c r="D3" s="2499"/>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8" t="s">
        <v>1487</v>
      </c>
      <c r="D7" s="2509"/>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0" t="s">
        <v>1001</v>
      </c>
      <c r="B15" s="2501"/>
      <c r="C15" s="2501"/>
      <c r="D15" s="2502"/>
    </row>
    <row r="16" spans="1:4" s="542" customFormat="1" ht="24" customHeight="1" x14ac:dyDescent="0.2">
      <c r="A16" s="2503" t="s">
        <v>658</v>
      </c>
      <c r="B16" s="2504"/>
      <c r="C16" s="2504"/>
      <c r="D16" s="2505"/>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2" t="s">
        <v>311</v>
      </c>
      <c r="D21" s="2513"/>
    </row>
    <row r="22" spans="1:10" ht="12.75" x14ac:dyDescent="0.2">
      <c r="A22" s="918"/>
      <c r="B22" s="919">
        <v>2</v>
      </c>
      <c r="C22" s="2510" t="s">
        <v>1507</v>
      </c>
      <c r="D22" s="251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4" t="s">
        <v>533</v>
      </c>
      <c r="D43" s="251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6" t="s">
        <v>779</v>
      </c>
      <c r="D56" s="250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6" t="s">
        <v>1674</v>
      </c>
      <c r="D70" s="250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0" t="str">
        <f>IF('Contracts Paid in CY 29'!$D$37&gt;0,"OK","PLEASE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99" t="s">
        <v>1975</v>
      </c>
    </row>
    <row r="2" spans="1:7" ht="15.75" x14ac:dyDescent="0.25">
      <c r="A2" t="s">
        <v>260</v>
      </c>
      <c r="B2" s="135">
        <f>COVER!A13</f>
        <v>17054027002</v>
      </c>
      <c r="E2" s="1542">
        <v>2020</v>
      </c>
      <c r="F2" s="1542">
        <v>1</v>
      </c>
      <c r="G2" s="1898">
        <v>101000300</v>
      </c>
    </row>
    <row r="3" spans="1:7" ht="15" x14ac:dyDescent="0.25">
      <c r="A3" t="s">
        <v>950</v>
      </c>
      <c r="B3" s="135" t="str">
        <f>COVER!A15</f>
        <v>LOGAN</v>
      </c>
      <c r="E3" s="1830" t="s">
        <v>1968</v>
      </c>
      <c r="F3" s="1830" t="s">
        <v>1967</v>
      </c>
      <c r="G3" s="1898">
        <v>101000400</v>
      </c>
    </row>
    <row r="4" spans="1:7" ht="15" x14ac:dyDescent="0.25">
      <c r="A4" t="s">
        <v>1000</v>
      </c>
      <c r="B4" s="135" t="str">
        <f>COVER!A17</f>
        <v xml:space="preserve">  Lincoln ESD 27</v>
      </c>
      <c r="E4" s="1828">
        <v>44119</v>
      </c>
      <c r="F4" s="1829">
        <v>44151</v>
      </c>
      <c r="G4" s="1898">
        <v>101000600</v>
      </c>
    </row>
    <row r="5" spans="1:7" ht="15" x14ac:dyDescent="0.25">
      <c r="A5" t="s">
        <v>699</v>
      </c>
      <c r="B5" s="135" t="str">
        <f>COVER!A38</f>
        <v>KENT FROEBE</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MARK JONTRY</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Yes</v>
      </c>
      <c r="G12" s="1898">
        <v>202100600</v>
      </c>
    </row>
    <row r="13" spans="1:7" ht="15" x14ac:dyDescent="0.25">
      <c r="A13" s="1" t="s">
        <v>1527</v>
      </c>
      <c r="B13" s="135" t="str">
        <f>IF(COVER!J30="x","Yes",IF(COVER!L30="x","No",0))</f>
        <v>Yes</v>
      </c>
      <c r="G13" s="1898">
        <v>202100800</v>
      </c>
    </row>
    <row r="14" spans="1:7" ht="15" x14ac:dyDescent="0.25">
      <c r="A14" t="s">
        <v>473</v>
      </c>
      <c r="B14" s="135" t="str">
        <f>IF(COVER!J31="x","Yes",IF(COVER!L31="x","No",0))</f>
        <v>No</v>
      </c>
      <c r="G14" s="1898">
        <v>402100300</v>
      </c>
    </row>
    <row r="15" spans="1:7" ht="15" x14ac:dyDescent="0.25">
      <c r="A15" t="s">
        <v>573</v>
      </c>
      <c r="B15" s="135" t="str">
        <f>COVER!T23</f>
        <v>066-005243</v>
      </c>
      <c r="G15" s="1898">
        <v>402100400</v>
      </c>
    </row>
    <row r="16" spans="1:7" ht="15" x14ac:dyDescent="0.25">
      <c r="A16" t="s">
        <v>419</v>
      </c>
      <c r="B16" s="135" t="str">
        <f>COVER!T13</f>
        <v>J.M. ABBOTT &amp; ASSOCIATES, LTD.</v>
      </c>
      <c r="G16" s="1898">
        <v>402100600</v>
      </c>
    </row>
    <row r="17" spans="1:7" ht="15" x14ac:dyDescent="0.25">
      <c r="A17" t="s">
        <v>878</v>
      </c>
      <c r="B17" s="135" t="str">
        <f>COVER!T15</f>
        <v>DEBRA LAST</v>
      </c>
      <c r="G17" s="1898">
        <v>402100800</v>
      </c>
    </row>
    <row r="18" spans="1:7" ht="15" x14ac:dyDescent="0.25">
      <c r="A18" t="s">
        <v>1140</v>
      </c>
      <c r="B18" s="135" t="str">
        <f>COVER!T17</f>
        <v>207 S. MCLEAN ST.</v>
      </c>
      <c r="G18" s="1898">
        <v>102200300</v>
      </c>
    </row>
    <row r="19" spans="1:7" ht="15" x14ac:dyDescent="0.25">
      <c r="A19" t="s">
        <v>880</v>
      </c>
      <c r="B19" s="135" t="str">
        <f>COVER!T25</f>
        <v>debbie@jmabbott.com</v>
      </c>
      <c r="G19" s="1898">
        <v>102200400</v>
      </c>
    </row>
    <row r="20" spans="1:7" ht="15" x14ac:dyDescent="0.25">
      <c r="A20" t="s">
        <v>881</v>
      </c>
      <c r="B20" s="135" t="str">
        <f>COVER!T19</f>
        <v>LINCOLN</v>
      </c>
      <c r="G20" s="1898">
        <v>102200600</v>
      </c>
    </row>
    <row r="21" spans="1:7" ht="15" x14ac:dyDescent="0.25">
      <c r="A21" t="s">
        <v>476</v>
      </c>
      <c r="B21" s="135" t="str">
        <f>COVER!X19</f>
        <v>IL</v>
      </c>
      <c r="G21" s="1898">
        <v>102200800</v>
      </c>
    </row>
    <row r="22" spans="1:7" ht="15" x14ac:dyDescent="0.25">
      <c r="A22" t="s">
        <v>882</v>
      </c>
      <c r="B22" s="135">
        <f>COVER!Z19</f>
        <v>62656</v>
      </c>
      <c r="G22" s="1898">
        <v>102300300</v>
      </c>
    </row>
    <row r="23" spans="1:7" ht="15" x14ac:dyDescent="0.25">
      <c r="A23" t="s">
        <v>1142</v>
      </c>
      <c r="B23" s="135" t="str">
        <f>COVER!T21</f>
        <v>217-735-1576</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3951795</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7364860</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3519</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3519</v>
      </c>
      <c r="C91" s="2" t="s">
        <v>569</v>
      </c>
      <c r="D91" s="2" t="str">
        <f t="shared" si="0"/>
        <v>Error?</v>
      </c>
      <c r="G91" s="1898">
        <v>102640400</v>
      </c>
    </row>
    <row r="92" spans="1:7" ht="15" x14ac:dyDescent="0.25">
      <c r="A92" s="5">
        <v>31</v>
      </c>
      <c r="B92" s="1832">
        <f>'Assets-Liab 5-6'!C39</f>
        <v>7089850</v>
      </c>
      <c r="D92" s="2" t="str">
        <f t="shared" si="0"/>
        <v>Error?</v>
      </c>
      <c r="G92" s="1898">
        <v>102640600</v>
      </c>
    </row>
    <row r="93" spans="1:7" ht="15" x14ac:dyDescent="0.25">
      <c r="A93" s="5">
        <v>32</v>
      </c>
      <c r="B93" s="1832">
        <f>'Assets-Liab 5-6'!C41</f>
        <v>7364860</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217342</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928966</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854834</v>
      </c>
      <c r="D123" s="2" t="str">
        <f t="shared" si="0"/>
        <v>Error?</v>
      </c>
      <c r="G123" s="1898">
        <v>203000400</v>
      </c>
    </row>
    <row r="124" spans="1:7" ht="15" x14ac:dyDescent="0.25">
      <c r="A124" s="5">
        <v>63</v>
      </c>
      <c r="B124" s="1832">
        <f>'Assets-Liab 5-6'!D41</f>
        <v>928966</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193</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156400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156400</v>
      </c>
      <c r="D140" s="2" t="str">
        <f t="shared" si="1"/>
        <v>Error?</v>
      </c>
    </row>
    <row r="141" spans="1:7" x14ac:dyDescent="0.2">
      <c r="A141" s="5">
        <v>80</v>
      </c>
      <c r="B141" s="1832">
        <f>'Assets-Liab 5-6'!E41</f>
        <v>156400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390536</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558130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558130</v>
      </c>
      <c r="D170" s="2" t="str">
        <f t="shared" si="1"/>
        <v>Error?</v>
      </c>
    </row>
    <row r="171" spans="1:4" x14ac:dyDescent="0.2">
      <c r="A171" s="5">
        <v>110</v>
      </c>
      <c r="B171" s="1832">
        <f>'Assets-Liab 5-6'!F41</f>
        <v>558130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201231</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305983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153359</v>
      </c>
      <c r="D189" s="2" t="str">
        <f t="shared" si="1"/>
        <v>Error?</v>
      </c>
    </row>
    <row r="190" spans="1:4" x14ac:dyDescent="0.2">
      <c r="A190" s="5">
        <v>129</v>
      </c>
      <c r="B190" s="1832">
        <f>'Assets-Liab 5-6'!G41</f>
        <v>305983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92931</v>
      </c>
      <c r="D273" s="2" t="str">
        <f t="shared" si="3"/>
        <v>Error?</v>
      </c>
    </row>
    <row r="274" spans="1:4" x14ac:dyDescent="0.2">
      <c r="A274" s="5">
        <v>213</v>
      </c>
      <c r="B274" s="1832">
        <f>'Assets-Liab 5-6'!M17</f>
        <v>28674374</v>
      </c>
      <c r="D274" s="2" t="str">
        <f t="shared" si="3"/>
        <v>Error?</v>
      </c>
    </row>
    <row r="275" spans="1:4" x14ac:dyDescent="0.2">
      <c r="A275" s="5">
        <v>214</v>
      </c>
      <c r="B275" s="1832">
        <f>'Assets-Liab 5-6'!M18</f>
        <v>469505</v>
      </c>
      <c r="D275" s="2" t="str">
        <f t="shared" si="3"/>
        <v>Error?</v>
      </c>
    </row>
    <row r="276" spans="1:4" x14ac:dyDescent="0.2">
      <c r="A276" s="5">
        <v>215</v>
      </c>
      <c r="B276" s="1832">
        <f>'Assets-Liab 5-6'!M19</f>
        <v>4750158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33986968</v>
      </c>
      <c r="C279" s="2" t="s">
        <v>569</v>
      </c>
      <c r="D279" s="2" t="str">
        <f t="shared" si="3"/>
        <v>Error?</v>
      </c>
    </row>
    <row r="280" spans="1:4" x14ac:dyDescent="0.2">
      <c r="A280" s="5">
        <v>219</v>
      </c>
      <c r="B280" s="1832">
        <f>'Assets-Liab 5-6'!M40</f>
        <v>33986968</v>
      </c>
      <c r="D280" s="2" t="str">
        <f t="shared" si="3"/>
        <v>Error?</v>
      </c>
    </row>
    <row r="281" spans="1:4" x14ac:dyDescent="0.2">
      <c r="A281" s="5">
        <v>220</v>
      </c>
      <c r="B281" s="1832">
        <f>'Assets-Liab 5-6'!M41</f>
        <v>33986968</v>
      </c>
      <c r="C281" s="2" t="s">
        <v>569</v>
      </c>
      <c r="D281" s="2" t="str">
        <f t="shared" si="3"/>
        <v>Error?</v>
      </c>
    </row>
    <row r="282" spans="1:4" x14ac:dyDescent="0.2">
      <c r="A282" s="5">
        <v>221</v>
      </c>
      <c r="B282" s="1832">
        <f>'Assets-Liab 5-6'!N21</f>
        <v>156400</v>
      </c>
      <c r="D282" s="2" t="str">
        <f t="shared" si="3"/>
        <v>Error?</v>
      </c>
    </row>
    <row r="283" spans="1:4" x14ac:dyDescent="0.2">
      <c r="A283" s="5">
        <v>222</v>
      </c>
      <c r="B283" s="1832">
        <f>'Assets-Liab 5-6'!N22</f>
        <v>8288600</v>
      </c>
      <c r="D283" s="2" t="str">
        <f t="shared" si="3"/>
        <v>Error?</v>
      </c>
    </row>
    <row r="284" spans="1:4" x14ac:dyDescent="0.2">
      <c r="A284" s="5">
        <v>223</v>
      </c>
      <c r="B284" s="1832">
        <f>'Assets-Liab 5-6'!N23</f>
        <v>8445000</v>
      </c>
      <c r="C284" s="2" t="s">
        <v>569</v>
      </c>
      <c r="D284" s="2" t="str">
        <f t="shared" si="3"/>
        <v>Error?</v>
      </c>
    </row>
    <row r="285" spans="1:4" x14ac:dyDescent="0.2">
      <c r="A285" s="5">
        <v>224</v>
      </c>
      <c r="B285" s="1832">
        <f>'Assets-Liab 5-6'!N36</f>
        <v>8445000</v>
      </c>
      <c r="D285" s="2" t="str">
        <f t="shared" si="3"/>
        <v>Error?</v>
      </c>
    </row>
    <row r="286" spans="1:4" x14ac:dyDescent="0.2">
      <c r="A286" s="10">
        <v>225</v>
      </c>
      <c r="B286" s="1832"/>
      <c r="D286" s="2" t="str">
        <f t="shared" si="3"/>
        <v>OK</v>
      </c>
    </row>
    <row r="287" spans="1:4" x14ac:dyDescent="0.2">
      <c r="A287" s="5">
        <v>226</v>
      </c>
      <c r="B287" s="1832">
        <f>'Assets-Liab 5-6'!N37</f>
        <v>8445000</v>
      </c>
      <c r="C287" s="2" t="s">
        <v>569</v>
      </c>
      <c r="D287" s="2" t="str">
        <f t="shared" si="3"/>
        <v>Error?</v>
      </c>
    </row>
    <row r="288" spans="1:4" x14ac:dyDescent="0.2">
      <c r="A288" s="5">
        <v>227</v>
      </c>
      <c r="B288" s="1832">
        <f>'Assets-Liab 5-6'!N41</f>
        <v>8445000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3420883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78190</v>
      </c>
      <c r="D718" s="2" t="str">
        <f t="shared" si="10"/>
        <v>Error?</v>
      </c>
    </row>
    <row r="719" spans="1:4" x14ac:dyDescent="0.2">
      <c r="A719" s="5">
        <v>658</v>
      </c>
      <c r="B719" s="1832">
        <f>'Expenditures 15-22'!C15</f>
        <v>5347</v>
      </c>
      <c r="D719" s="2" t="str">
        <f t="shared" si="10"/>
        <v>Error?</v>
      </c>
    </row>
    <row r="720" spans="1:4" x14ac:dyDescent="0.2">
      <c r="A720" s="5">
        <v>659</v>
      </c>
      <c r="B720" s="1832">
        <f>'Expenditures 15-22'!C33</f>
        <v>5360110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114847</v>
      </c>
      <c r="D722" s="2" t="str">
        <f t="shared" si="10"/>
        <v>Error?</v>
      </c>
    </row>
    <row r="723" spans="1:4" x14ac:dyDescent="0.2">
      <c r="A723" s="5">
        <v>662</v>
      </c>
      <c r="B723" s="1832">
        <f>'Expenditures 15-22'!C38</f>
        <v>52189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218857</v>
      </c>
      <c r="D725" s="2" t="str">
        <f t="shared" si="10"/>
        <v>Error?</v>
      </c>
    </row>
    <row r="726" spans="1:4" x14ac:dyDescent="0.2">
      <c r="A726" s="5">
        <v>665</v>
      </c>
      <c r="B726" s="1832">
        <f>'Expenditures 15-22'!C41</f>
        <v>1884</v>
      </c>
      <c r="D726" s="2" t="str">
        <f t="shared" si="10"/>
        <v>Error?</v>
      </c>
    </row>
    <row r="727" spans="1:4" x14ac:dyDescent="0.2">
      <c r="A727" s="5">
        <v>666</v>
      </c>
      <c r="B727" s="1832">
        <f>'Expenditures 15-22'!C42</f>
        <v>387777</v>
      </c>
      <c r="C727" s="2" t="s">
        <v>569</v>
      </c>
      <c r="D727" s="2" t="str">
        <f t="shared" si="10"/>
        <v>Error?</v>
      </c>
    </row>
    <row r="728" spans="1:4" x14ac:dyDescent="0.2">
      <c r="A728" s="5">
        <v>667</v>
      </c>
      <c r="B728" s="1832">
        <f>'Expenditures 15-22'!C44</f>
        <v>241582</v>
      </c>
      <c r="D728" s="2" t="str">
        <f t="shared" si="10"/>
        <v>Error?</v>
      </c>
    </row>
    <row r="729" spans="1:4" x14ac:dyDescent="0.2">
      <c r="A729" s="5">
        <v>668</v>
      </c>
      <c r="B729" s="1832">
        <f>'Expenditures 15-22'!C45</f>
        <v>196006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437588</v>
      </c>
      <c r="C731" s="2" t="s">
        <v>569</v>
      </c>
      <c r="D731" s="2" t="str">
        <f t="shared" si="10"/>
        <v>Error?</v>
      </c>
    </row>
    <row r="732" spans="1:4" x14ac:dyDescent="0.2">
      <c r="A732" s="5">
        <v>671</v>
      </c>
      <c r="B732" s="1832">
        <f>'Expenditures 15-22'!C49</f>
        <v>6607</v>
      </c>
      <c r="D732" s="2" t="str">
        <f t="shared" si="10"/>
        <v>Error?</v>
      </c>
    </row>
    <row r="733" spans="1:4" x14ac:dyDescent="0.2">
      <c r="A733" s="5">
        <v>672</v>
      </c>
      <c r="B733" s="1832">
        <f>'Expenditures 15-22'!C50</f>
        <v>184340</v>
      </c>
      <c r="D733" s="2" t="str">
        <f t="shared" si="10"/>
        <v>Error?</v>
      </c>
    </row>
    <row r="734" spans="1:4" x14ac:dyDescent="0.2">
      <c r="A734" s="5">
        <v>673</v>
      </c>
      <c r="B734" s="1832">
        <f>'Expenditures 15-22'!C53</f>
        <v>249544</v>
      </c>
      <c r="C734" s="2" t="s">
        <v>569</v>
      </c>
      <c r="D734" s="2" t="str">
        <f t="shared" si="10"/>
        <v>Error?</v>
      </c>
    </row>
    <row r="735" spans="1:4" x14ac:dyDescent="0.2">
      <c r="A735" s="5">
        <v>674</v>
      </c>
      <c r="B735" s="1832">
        <f>'Expenditures 15-22'!C55</f>
        <v>481588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481588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92808</v>
      </c>
      <c r="D739" s="2" t="str">
        <f t="shared" si="10"/>
        <v>Error?</v>
      </c>
    </row>
    <row r="740" spans="1:4" x14ac:dyDescent="0.2">
      <c r="A740" s="5">
        <v>679</v>
      </c>
      <c r="B740" s="1832">
        <f>'Expenditures 15-22'!C61</f>
        <v>286856</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278219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657883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2214380</v>
      </c>
      <c r="C755" s="2" t="s">
        <v>569</v>
      </c>
      <c r="D755" s="2" t="str">
        <f t="shared" si="10"/>
        <v>Error?</v>
      </c>
    </row>
    <row r="756" spans="1:4" x14ac:dyDescent="0.2">
      <c r="A756" s="5">
        <v>695</v>
      </c>
      <c r="B756" s="1832">
        <f>'Expenditures 15-22'!C75</f>
        <v>15755</v>
      </c>
      <c r="D756" s="2" t="str">
        <f t="shared" si="10"/>
        <v>Error?</v>
      </c>
    </row>
    <row r="757" spans="1:4" x14ac:dyDescent="0.2">
      <c r="A757" s="5">
        <v>696</v>
      </c>
      <c r="B757" s="1832">
        <f>'Expenditures 15-22'!C114</f>
        <v>7590245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1015281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7797</v>
      </c>
      <c r="D776" s="2" t="str">
        <f t="shared" si="11"/>
        <v>Error?</v>
      </c>
    </row>
    <row r="777" spans="1:4" x14ac:dyDescent="0.2">
      <c r="A777" s="5">
        <v>716</v>
      </c>
      <c r="B777" s="1832">
        <f>'Expenditures 15-22'!D15</f>
        <v>825</v>
      </c>
      <c r="D777" s="2" t="str">
        <f t="shared" si="11"/>
        <v>Error?</v>
      </c>
    </row>
    <row r="778" spans="1:4" x14ac:dyDescent="0.2">
      <c r="A778" s="5">
        <v>717</v>
      </c>
      <c r="B778" s="1832">
        <f>'Expenditures 15-22'!D33</f>
        <v>1390949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34286</v>
      </c>
      <c r="D780" s="2" t="str">
        <f t="shared" si="11"/>
        <v>Error?</v>
      </c>
    </row>
    <row r="781" spans="1:4" x14ac:dyDescent="0.2">
      <c r="A781" s="5">
        <v>720</v>
      </c>
      <c r="B781" s="1832">
        <f>'Expenditures 15-22'!D38</f>
        <v>9440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60598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104324</v>
      </c>
      <c r="C785" s="2" t="s">
        <v>569</v>
      </c>
      <c r="D785" s="2" t="str">
        <f t="shared" si="11"/>
        <v>Error?</v>
      </c>
    </row>
    <row r="786" spans="1:4" x14ac:dyDescent="0.2">
      <c r="A786" s="5">
        <v>725</v>
      </c>
      <c r="B786" s="1832">
        <f>'Expenditures 15-22'!D44</f>
        <v>77718</v>
      </c>
      <c r="D786" s="2" t="str">
        <f t="shared" si="11"/>
        <v>Error?</v>
      </c>
    </row>
    <row r="787" spans="1:4" x14ac:dyDescent="0.2">
      <c r="A787" s="5">
        <v>726</v>
      </c>
      <c r="B787" s="1832">
        <f>'Expenditures 15-22'!D45</f>
        <v>32395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110113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58232</v>
      </c>
      <c r="D791" s="2" t="str">
        <f t="shared" si="11"/>
        <v>Error?</v>
      </c>
    </row>
    <row r="792" spans="1:4" x14ac:dyDescent="0.2">
      <c r="A792" s="5">
        <v>731</v>
      </c>
      <c r="B792" s="1832">
        <f>'Expenditures 15-22'!D53</f>
        <v>60137</v>
      </c>
      <c r="C792" s="2" t="s">
        <v>569</v>
      </c>
      <c r="D792" s="2" t="str">
        <f t="shared" si="11"/>
        <v>Error?</v>
      </c>
    </row>
    <row r="793" spans="1:4" x14ac:dyDescent="0.2">
      <c r="A793" s="5">
        <v>732</v>
      </c>
      <c r="B793" s="1832">
        <f>'Expenditures 15-22'!D55</f>
        <v>128430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128430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10005</v>
      </c>
      <c r="D797" s="2" t="str">
        <f t="shared" si="11"/>
        <v>Error?</v>
      </c>
    </row>
    <row r="798" spans="1:4" x14ac:dyDescent="0.2">
      <c r="A798" s="5">
        <v>737</v>
      </c>
      <c r="B798" s="1832">
        <f>'Expenditures 15-22'!D61</f>
        <v>45533</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29035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84573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487577</v>
      </c>
      <c r="C813" s="2" t="s">
        <v>569</v>
      </c>
      <c r="D813" s="2" t="str">
        <f t="shared" si="11"/>
        <v>Error?</v>
      </c>
    </row>
    <row r="814" spans="1:4" x14ac:dyDescent="0.2">
      <c r="A814" s="5">
        <v>753</v>
      </c>
      <c r="B814" s="1832">
        <f>'Expenditures 15-22'!D75</f>
        <v>229</v>
      </c>
      <c r="D814" s="2" t="str">
        <f t="shared" si="11"/>
        <v>Error?</v>
      </c>
    </row>
    <row r="815" spans="1:4" x14ac:dyDescent="0.2">
      <c r="A815" s="5">
        <v>754</v>
      </c>
      <c r="B815" s="1832">
        <f>'Expenditures 15-22'!D114</f>
        <v>1878755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149451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64</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10664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178210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1188</v>
      </c>
      <c r="D841" s="2" t="str">
        <f t="shared" si="12"/>
        <v>Error?</v>
      </c>
    </row>
    <row r="842" spans="1:4" x14ac:dyDescent="0.2">
      <c r="A842" s="5">
        <v>781</v>
      </c>
      <c r="B842" s="1832">
        <f>'Expenditures 15-22'!E41</f>
        <v>1492</v>
      </c>
      <c r="D842" s="2" t="str">
        <f t="shared" si="12"/>
        <v>Error?</v>
      </c>
    </row>
    <row r="843" spans="1:4" x14ac:dyDescent="0.2">
      <c r="A843" s="5">
        <v>782</v>
      </c>
      <c r="B843" s="1832">
        <f>'Expenditures 15-22'!E42</f>
        <v>2680</v>
      </c>
      <c r="C843" s="2" t="s">
        <v>569</v>
      </c>
      <c r="D843" s="2" t="str">
        <f t="shared" si="12"/>
        <v>Error?</v>
      </c>
    </row>
    <row r="844" spans="1:4" x14ac:dyDescent="0.2">
      <c r="A844" s="5">
        <v>783</v>
      </c>
      <c r="B844" s="1832">
        <f>'Expenditures 15-22'!E44</f>
        <v>24667</v>
      </c>
      <c r="D844" s="2" t="str">
        <f t="shared" si="12"/>
        <v>Error?</v>
      </c>
    </row>
    <row r="845" spans="1:4" x14ac:dyDescent="0.2">
      <c r="A845" s="5">
        <v>784</v>
      </c>
      <c r="B845" s="1832">
        <f>'Expenditures 15-22'!E45</f>
        <v>3480</v>
      </c>
      <c r="D845" s="2" t="str">
        <f t="shared" si="12"/>
        <v>Error?</v>
      </c>
    </row>
    <row r="846" spans="1:4" x14ac:dyDescent="0.2">
      <c r="A846" s="5">
        <v>785</v>
      </c>
      <c r="B846" s="1832">
        <f>'Expenditures 15-22'!E46</f>
        <v>20775</v>
      </c>
      <c r="D846" s="2" t="str">
        <f t="shared" si="12"/>
        <v>Error?</v>
      </c>
    </row>
    <row r="847" spans="1:4" x14ac:dyDescent="0.2">
      <c r="A847" s="5">
        <v>786</v>
      </c>
      <c r="B847" s="1832">
        <f>'Expenditures 15-22'!E47</f>
        <v>48922</v>
      </c>
      <c r="C847" s="2" t="s">
        <v>569</v>
      </c>
      <c r="D847" s="2" t="str">
        <f t="shared" si="12"/>
        <v>Error?</v>
      </c>
    </row>
    <row r="848" spans="1:4" x14ac:dyDescent="0.2">
      <c r="A848" s="5">
        <v>787</v>
      </c>
      <c r="B848" s="1832">
        <f>'Expenditures 15-22'!E49</f>
        <v>244766</v>
      </c>
      <c r="D848" s="2" t="str">
        <f t="shared" si="12"/>
        <v>Error?</v>
      </c>
    </row>
    <row r="849" spans="1:4" x14ac:dyDescent="0.2">
      <c r="A849" s="5">
        <v>788</v>
      </c>
      <c r="B849" s="1832">
        <f>'Expenditures 15-22'!E50</f>
        <v>632</v>
      </c>
      <c r="D849" s="2" t="str">
        <f t="shared" si="12"/>
        <v>Error?</v>
      </c>
    </row>
    <row r="850" spans="1:4" x14ac:dyDescent="0.2">
      <c r="A850" s="5">
        <v>789</v>
      </c>
      <c r="B850" s="1832">
        <f>'Expenditures 15-22'!E53</f>
        <v>248999</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11706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251925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263631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564232</v>
      </c>
      <c r="C871" s="2" t="s">
        <v>569</v>
      </c>
      <c r="D871" s="2" t="str">
        <f t="shared" si="12"/>
        <v>Error?</v>
      </c>
    </row>
    <row r="872" spans="1:4" x14ac:dyDescent="0.2">
      <c r="A872" s="5">
        <v>811</v>
      </c>
      <c r="B872" s="1832">
        <f>'Expenditures 15-22'!E75</f>
        <v>14137</v>
      </c>
      <c r="D872" s="2" t="str">
        <f t="shared" si="12"/>
        <v>Error?</v>
      </c>
    </row>
    <row r="873" spans="1:4" x14ac:dyDescent="0.2">
      <c r="A873" s="5">
        <v>812</v>
      </c>
      <c r="B873" s="1832">
        <f>'Expenditures 15-22'!E114</f>
        <v>1102336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129011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7110</v>
      </c>
      <c r="D892" s="2" t="str">
        <f t="shared" si="12"/>
        <v>Error?</v>
      </c>
    </row>
    <row r="893" spans="1:4" x14ac:dyDescent="0.2">
      <c r="A893" s="5">
        <v>832</v>
      </c>
      <c r="B893" s="1832">
        <f>'Expenditures 15-22'!F15</f>
        <v>483</v>
      </c>
      <c r="D893" s="2" t="str">
        <f t="shared" si="12"/>
        <v>Error?</v>
      </c>
    </row>
    <row r="894" spans="1:4" x14ac:dyDescent="0.2">
      <c r="A894" s="5">
        <v>833</v>
      </c>
      <c r="B894" s="1832">
        <f>'Expenditures 15-22'!F33</f>
        <v>204408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6289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372</v>
      </c>
      <c r="D900" s="2" t="str">
        <f t="shared" si="13"/>
        <v>Error?</v>
      </c>
    </row>
    <row r="901" spans="1:4" x14ac:dyDescent="0.2">
      <c r="A901" s="5">
        <v>840</v>
      </c>
      <c r="B901" s="1832">
        <f>'Expenditures 15-22'!F42</f>
        <v>6661</v>
      </c>
      <c r="C901" s="2" t="s">
        <v>569</v>
      </c>
      <c r="D901" s="2" t="str">
        <f t="shared" si="13"/>
        <v>Error?</v>
      </c>
    </row>
    <row r="902" spans="1:4" x14ac:dyDescent="0.2">
      <c r="A902" s="5">
        <v>841</v>
      </c>
      <c r="B902" s="1832">
        <f>'Expenditures 15-22'!F44</f>
        <v>2937</v>
      </c>
      <c r="D902" s="2" t="str">
        <f t="shared" si="13"/>
        <v>Error?</v>
      </c>
    </row>
    <row r="903" spans="1:4" x14ac:dyDescent="0.2">
      <c r="A903" s="5">
        <v>842</v>
      </c>
      <c r="B903" s="1832">
        <f>'Expenditures 15-22'!F45</f>
        <v>43019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45956</v>
      </c>
      <c r="C905" s="2" t="s">
        <v>569</v>
      </c>
      <c r="D905" s="2" t="str">
        <f t="shared" si="13"/>
        <v>Error?</v>
      </c>
    </row>
    <row r="906" spans="1:4" x14ac:dyDescent="0.2">
      <c r="A906" s="5">
        <v>845</v>
      </c>
      <c r="B906" s="1832">
        <f>'Expenditures 15-22'!F49</f>
        <v>4165</v>
      </c>
      <c r="D906" s="2" t="str">
        <f t="shared" si="13"/>
        <v>Error?</v>
      </c>
    </row>
    <row r="907" spans="1:4" x14ac:dyDescent="0.2">
      <c r="A907" s="5">
        <v>846</v>
      </c>
      <c r="B907" s="1832">
        <f>'Expenditures 15-22'!F50</f>
        <v>4</v>
      </c>
      <c r="D907" s="2" t="str">
        <f t="shared" si="13"/>
        <v>Error?</v>
      </c>
    </row>
    <row r="908" spans="1:4" x14ac:dyDescent="0.2">
      <c r="A908" s="5">
        <v>847</v>
      </c>
      <c r="B908" s="1832">
        <f>'Expenditures 15-22'!F53</f>
        <v>4169</v>
      </c>
      <c r="C908" s="2" t="s">
        <v>569</v>
      </c>
      <c r="D908" s="2" t="str">
        <f t="shared" si="13"/>
        <v>Error?</v>
      </c>
    </row>
    <row r="909" spans="1:4" x14ac:dyDescent="0.2">
      <c r="A909" s="5">
        <v>848</v>
      </c>
      <c r="B909" s="1832">
        <f>'Expenditures 15-22'!F55</f>
        <v>167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167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449</v>
      </c>
      <c r="D913" s="2" t="str">
        <f t="shared" si="13"/>
        <v>Error?</v>
      </c>
    </row>
    <row r="914" spans="1:4" x14ac:dyDescent="0.2">
      <c r="A914" s="5">
        <v>853</v>
      </c>
      <c r="B914" s="1832">
        <f>'Expenditures 15-22'!F61</f>
        <v>36835</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391600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428884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485837</v>
      </c>
      <c r="C929" s="2" t="s">
        <v>569</v>
      </c>
      <c r="D929" s="2" t="str">
        <f t="shared" si="13"/>
        <v>Error?</v>
      </c>
    </row>
    <row r="930" spans="1:4" x14ac:dyDescent="0.2">
      <c r="A930" s="5">
        <v>869</v>
      </c>
      <c r="B930" s="1832">
        <f>'Expenditures 15-22'!F75</f>
        <v>4716</v>
      </c>
      <c r="D930" s="2" t="str">
        <f t="shared" si="13"/>
        <v>Error?</v>
      </c>
    </row>
    <row r="931" spans="1:4" x14ac:dyDescent="0.2">
      <c r="A931" s="5">
        <v>870</v>
      </c>
      <c r="B931" s="1832">
        <f>'Expenditures 15-22'!F114</f>
        <v>694961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5700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6615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26572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970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1575</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13193</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14768</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15738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42310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967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3054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257853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21582</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23313</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23313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383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281549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4721293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64</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113430</v>
      </c>
      <c r="C1106" s="2" t="s">
        <v>569</v>
      </c>
      <c r="D1106" s="2" t="str">
        <f t="shared" si="16"/>
        <v>Error?</v>
      </c>
    </row>
    <row r="1107" spans="1:4" x14ac:dyDescent="0.2">
      <c r="A1107" s="5">
        <v>1046</v>
      </c>
      <c r="B1107" s="1832">
        <f>'Expenditures 15-22'!K15</f>
        <v>6655</v>
      </c>
      <c r="C1107" s="2" t="s">
        <v>569</v>
      </c>
      <c r="D1107" s="2" t="str">
        <f t="shared" si="16"/>
        <v>Error?</v>
      </c>
    </row>
    <row r="1108" spans="1:4" x14ac:dyDescent="0.2">
      <c r="A1108" s="5">
        <v>1047</v>
      </c>
      <c r="B1108" s="1832">
        <f>'Expenditures 15-22'!K33</f>
        <v>7418102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149133</v>
      </c>
      <c r="C1110" s="2" t="s">
        <v>569</v>
      </c>
      <c r="D1110" s="2" t="str">
        <f t="shared" si="16"/>
        <v>Error?</v>
      </c>
    </row>
    <row r="1111" spans="1:4" x14ac:dyDescent="0.2">
      <c r="A1111" s="5">
        <v>1050</v>
      </c>
      <c r="B1111" s="1832">
        <f>'Expenditures 15-22'!K38</f>
        <v>67918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280643</v>
      </c>
      <c r="C1113" s="2" t="s">
        <v>569</v>
      </c>
      <c r="D1113" s="2" t="str">
        <f t="shared" si="16"/>
        <v>Error?</v>
      </c>
    </row>
    <row r="1114" spans="1:4" x14ac:dyDescent="0.2">
      <c r="A1114" s="5">
        <v>1053</v>
      </c>
      <c r="B1114" s="1832">
        <f>'Expenditures 15-22'!K41</f>
        <v>3748</v>
      </c>
      <c r="C1114" s="2" t="s">
        <v>569</v>
      </c>
      <c r="D1114" s="2" t="str">
        <f t="shared" si="16"/>
        <v>Error?</v>
      </c>
    </row>
    <row r="1115" spans="1:4" x14ac:dyDescent="0.2">
      <c r="A1115" s="5">
        <v>1054</v>
      </c>
      <c r="B1115" s="1832">
        <f>'Expenditures 15-22'!K42</f>
        <v>501442</v>
      </c>
      <c r="C1115" s="2" t="s">
        <v>569</v>
      </c>
      <c r="D1115" s="2" t="str">
        <f t="shared" si="16"/>
        <v>Error?</v>
      </c>
    </row>
    <row r="1116" spans="1:4" x14ac:dyDescent="0.2">
      <c r="A1116" s="5">
        <v>1055</v>
      </c>
      <c r="B1116" s="1832">
        <f>'Expenditures 15-22'!K44</f>
        <v>346904</v>
      </c>
      <c r="C1116" s="2" t="s">
        <v>569</v>
      </c>
      <c r="D1116" s="2" t="str">
        <f t="shared" si="16"/>
        <v>Error?</v>
      </c>
    </row>
    <row r="1117" spans="1:4" x14ac:dyDescent="0.2">
      <c r="A1117" s="5">
        <v>1056</v>
      </c>
      <c r="B1117" s="1832">
        <f>'Expenditures 15-22'!K45</f>
        <v>274900</v>
      </c>
      <c r="C1117" s="2" t="s">
        <v>569</v>
      </c>
      <c r="D1117" s="2" t="str">
        <f t="shared" si="16"/>
        <v>Error?</v>
      </c>
    </row>
    <row r="1118" spans="1:4" x14ac:dyDescent="0.2">
      <c r="A1118" s="5">
        <v>1057</v>
      </c>
      <c r="B1118" s="1832">
        <f>'Expenditures 15-22'!K46</f>
        <v>20775</v>
      </c>
      <c r="C1118" s="2" t="s">
        <v>569</v>
      </c>
      <c r="D1118" s="2" t="str">
        <f t="shared" si="16"/>
        <v>Error?</v>
      </c>
    </row>
    <row r="1119" spans="1:4" x14ac:dyDescent="0.2">
      <c r="A1119" s="5">
        <v>1058</v>
      </c>
      <c r="B1119" s="1832">
        <f>'Expenditures 15-22'!K47</f>
        <v>642579</v>
      </c>
      <c r="C1119" s="2" t="s">
        <v>569</v>
      </c>
      <c r="D1119" s="2" t="str">
        <f t="shared" si="16"/>
        <v>Error?</v>
      </c>
    </row>
    <row r="1120" spans="1:4" x14ac:dyDescent="0.2">
      <c r="A1120" s="5">
        <v>1059</v>
      </c>
      <c r="B1120" s="1832">
        <f>'Expenditures 15-22'!K49</f>
        <v>277120</v>
      </c>
      <c r="C1120" s="2" t="s">
        <v>569</v>
      </c>
      <c r="D1120" s="2" t="str">
        <f t="shared" si="16"/>
        <v>Error?</v>
      </c>
    </row>
    <row r="1121" spans="1:4" x14ac:dyDescent="0.2">
      <c r="A1121" s="5">
        <v>1060</v>
      </c>
      <c r="B1121" s="1832">
        <f>'Expenditures 15-22'!K50</f>
        <v>243208</v>
      </c>
      <c r="C1121" s="2" t="s">
        <v>569</v>
      </c>
      <c r="D1121" s="2" t="str">
        <f t="shared" si="16"/>
        <v>Error?</v>
      </c>
    </row>
    <row r="1122" spans="1:4" x14ac:dyDescent="0.2">
      <c r="A1122" s="5">
        <v>1061</v>
      </c>
      <c r="B1122" s="1832">
        <f>'Expenditures 15-22'!K53</f>
        <v>587132</v>
      </c>
      <c r="C1122" s="2" t="s">
        <v>569</v>
      </c>
      <c r="D1122" s="2" t="str">
        <f t="shared" si="16"/>
        <v>Error?</v>
      </c>
    </row>
    <row r="1123" spans="1:4" x14ac:dyDescent="0.2">
      <c r="A1123" s="5">
        <v>1062</v>
      </c>
      <c r="B1123" s="1832">
        <f>'Expenditures 15-22'!K55</f>
        <v>610185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610185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114968</v>
      </c>
      <c r="C1127" s="2" t="s">
        <v>569</v>
      </c>
      <c r="D1127" s="2" t="str">
        <f t="shared" si="16"/>
        <v>Error?</v>
      </c>
    </row>
    <row r="1128" spans="1:4" x14ac:dyDescent="0.2">
      <c r="A1128" s="5">
        <v>1067</v>
      </c>
      <c r="B1128" s="1832">
        <f>'Expenditures 15-22'!K61</f>
        <v>370799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963972</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1449739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3791077</v>
      </c>
      <c r="C1143" s="2" t="s">
        <v>569</v>
      </c>
      <c r="D1143" s="2" t="str">
        <f t="shared" si="16"/>
        <v>Error?</v>
      </c>
    </row>
    <row r="1144" spans="1:4" x14ac:dyDescent="0.2">
      <c r="A1144" s="5">
        <v>1083</v>
      </c>
      <c r="B1144" s="1832">
        <f>'Expenditures 15-22'!K75</f>
        <v>34837</v>
      </c>
      <c r="C1144" s="2" t="s">
        <v>569</v>
      </c>
      <c r="D1144" s="2" t="str">
        <f t="shared" si="16"/>
        <v>Error?</v>
      </c>
    </row>
    <row r="1145" spans="1:4" x14ac:dyDescent="0.2">
      <c r="A1145" s="5">
        <v>1084</v>
      </c>
      <c r="B1145" s="1832">
        <f>'Expenditures 15-22'!K102</f>
        <v>346140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11590156</v>
      </c>
      <c r="C1152" s="2" t="s">
        <v>569</v>
      </c>
      <c r="D1152" s="2" t="str">
        <f t="shared" si="17"/>
        <v>Error?</v>
      </c>
    </row>
    <row r="1153" spans="1:4" x14ac:dyDescent="0.2">
      <c r="A1153" s="5">
        <v>1092</v>
      </c>
      <c r="B1153" s="1832">
        <f>'Expenditures 15-22'!K115</f>
        <v>278407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205736</v>
      </c>
      <c r="D1237" s="2" t="str">
        <f t="shared" si="18"/>
        <v>Error?</v>
      </c>
    </row>
    <row r="1238" spans="1:4" x14ac:dyDescent="0.2">
      <c r="A1238" s="10">
        <v>1177</v>
      </c>
      <c r="B1238" s="1832"/>
      <c r="D1238" s="2" t="str">
        <f t="shared" si="18"/>
        <v>OK</v>
      </c>
    </row>
    <row r="1239" spans="1:4" x14ac:dyDescent="0.2">
      <c r="A1239" s="5">
        <v>1178</v>
      </c>
      <c r="B1239" s="1832">
        <f>'Expenditures 15-22'!E127</f>
        <v>205736</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205736</v>
      </c>
      <c r="C1241" s="2" t="s">
        <v>569</v>
      </c>
      <c r="D1241" s="2" t="str">
        <f t="shared" si="18"/>
        <v>Error?</v>
      </c>
    </row>
    <row r="1242" spans="1:4" x14ac:dyDescent="0.2">
      <c r="A1242" s="5">
        <v>1181</v>
      </c>
      <c r="B1242" s="1832">
        <f>'Expenditures 15-22'!E151</f>
        <v>205736</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302519</v>
      </c>
      <c r="D1245" s="2" t="str">
        <f t="shared" si="18"/>
        <v>Error?</v>
      </c>
    </row>
    <row r="1246" spans="1:4" x14ac:dyDescent="0.2">
      <c r="A1246" s="10">
        <v>1185</v>
      </c>
      <c r="B1246" s="1832"/>
      <c r="D1246" s="2" t="str">
        <f t="shared" si="18"/>
        <v>OK</v>
      </c>
    </row>
    <row r="1247" spans="1:4" x14ac:dyDescent="0.2">
      <c r="A1247" s="5">
        <v>1186</v>
      </c>
      <c r="B1247" s="1832">
        <f>'Expenditures 15-22'!F127</f>
        <v>302519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302519</v>
      </c>
      <c r="C1249" s="2" t="s">
        <v>569</v>
      </c>
      <c r="D1249" s="2" t="str">
        <f t="shared" si="18"/>
        <v>Error?</v>
      </c>
    </row>
    <row r="1250" spans="1:4" x14ac:dyDescent="0.2">
      <c r="A1250" s="5">
        <v>1189</v>
      </c>
      <c r="B1250" s="1832">
        <f>'Expenditures 15-22'!F151</f>
        <v>302519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278727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278727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278727</v>
      </c>
      <c r="C1258" s="2" t="s">
        <v>569</v>
      </c>
      <c r="D1258" s="2" t="str">
        <f t="shared" si="18"/>
        <v>Error?</v>
      </c>
    </row>
    <row r="1259" spans="1:4" x14ac:dyDescent="0.2">
      <c r="A1259" s="5">
        <v>1198</v>
      </c>
      <c r="B1259" s="1832">
        <f>'Expenditures 15-22'!G151</f>
        <v>278727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786982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786982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786982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786982</v>
      </c>
      <c r="C1288" s="2" t="s">
        <v>569</v>
      </c>
      <c r="D1288" s="2" t="str">
        <f t="shared" si="19"/>
        <v>Error?</v>
      </c>
    </row>
    <row r="1289" spans="1:4" x14ac:dyDescent="0.2">
      <c r="A1289" s="5">
        <v>1228</v>
      </c>
      <c r="B1289" s="1832">
        <f>'Expenditures 15-22'!K152</f>
        <v>268085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412983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285000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698483</v>
      </c>
      <c r="C1317" s="2" t="s">
        <v>569</v>
      </c>
      <c r="D1317" s="2" t="str">
        <f t="shared" si="19"/>
        <v>Error?</v>
      </c>
    </row>
    <row r="1318" spans="1:4" x14ac:dyDescent="0.2">
      <c r="A1318" s="5">
        <v>1257</v>
      </c>
      <c r="B1318" s="1832">
        <f>'Expenditures 15-22'!H174</f>
        <v>698483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412983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285000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698483</v>
      </c>
      <c r="C1331" s="2" t="s">
        <v>569</v>
      </c>
      <c r="D1331" s="2" t="str">
        <f t="shared" si="19"/>
        <v>Error?</v>
      </c>
    </row>
    <row r="1332" spans="1:4" x14ac:dyDescent="0.2">
      <c r="A1332" s="5">
        <v>1271</v>
      </c>
      <c r="B1332" s="1832">
        <f>'Expenditures 15-22'!K174</f>
        <v>698483</v>
      </c>
      <c r="C1332" s="2" t="s">
        <v>569</v>
      </c>
      <c r="D1332" s="2" t="str">
        <f t="shared" si="19"/>
        <v>Error?</v>
      </c>
    </row>
    <row r="1333" spans="1:4" x14ac:dyDescent="0.2">
      <c r="A1333" s="5">
        <v>1272</v>
      </c>
      <c r="B1333" s="1832">
        <f>'Expenditures 15-22'!K175</f>
        <v>-150510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21655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21655</v>
      </c>
      <c r="C1339" s="2" t="s">
        <v>569</v>
      </c>
      <c r="D1339" s="2" t="str">
        <f t="shared" si="19"/>
        <v>Error?</v>
      </c>
    </row>
    <row r="1340" spans="1:4" x14ac:dyDescent="0.2">
      <c r="A1340" s="5">
        <v>1279</v>
      </c>
      <c r="B1340" s="1832">
        <f>'Expenditures 15-22'!C210</f>
        <v>21655</v>
      </c>
      <c r="C1340" s="2" t="s">
        <v>569</v>
      </c>
      <c r="D1340" s="2" t="str">
        <f t="shared" si="19"/>
        <v>Error?</v>
      </c>
    </row>
    <row r="1341" spans="1:4" x14ac:dyDescent="0.2">
      <c r="A1341" s="5">
        <v>1280</v>
      </c>
      <c r="B1341" s="1832">
        <f>'Expenditures 15-22'!D182</f>
        <v>30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30</v>
      </c>
      <c r="C1345" s="2" t="s">
        <v>569</v>
      </c>
      <c r="D1345" s="2" t="str">
        <f t="shared" si="20"/>
        <v>Error?</v>
      </c>
    </row>
    <row r="1346" spans="1:4" x14ac:dyDescent="0.2">
      <c r="A1346" s="5">
        <v>1285</v>
      </c>
      <c r="B1346" s="1832">
        <f>'Expenditures 15-22'!D210</f>
        <v>30</v>
      </c>
      <c r="C1346" s="2" t="s">
        <v>569</v>
      </c>
      <c r="D1346" s="2" t="str">
        <f t="shared" si="20"/>
        <v>Error?</v>
      </c>
    </row>
    <row r="1347" spans="1:4" x14ac:dyDescent="0.2">
      <c r="A1347" s="5">
        <v>1286</v>
      </c>
      <c r="B1347" s="1832">
        <f>'Expenditures 15-22'!E182</f>
        <v>259542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259542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259542</v>
      </c>
      <c r="C1353" s="2" t="s">
        <v>569</v>
      </c>
      <c r="D1353" s="2" t="str">
        <f t="shared" si="20"/>
        <v>Error?</v>
      </c>
    </row>
    <row r="1354" spans="1:4" x14ac:dyDescent="0.2">
      <c r="A1354" s="5">
        <v>1293</v>
      </c>
      <c r="B1354" s="1832">
        <f>'Expenditures 15-22'!F182</f>
        <v>15867</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15867</v>
      </c>
      <c r="C1358" s="2" t="s">
        <v>569</v>
      </c>
      <c r="D1358" s="2" t="str">
        <f t="shared" si="20"/>
        <v>Error?</v>
      </c>
    </row>
    <row r="1359" spans="1:4" x14ac:dyDescent="0.2">
      <c r="A1359" s="5">
        <v>1298</v>
      </c>
      <c r="B1359" s="1832">
        <f>'Expenditures 15-22'!F210</f>
        <v>15867</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297094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297094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297094</v>
      </c>
      <c r="C1388" s="2" t="s">
        <v>569</v>
      </c>
      <c r="D1388" s="2" t="str">
        <f t="shared" si="20"/>
        <v>Error?</v>
      </c>
    </row>
    <row r="1389" spans="1:4" x14ac:dyDescent="0.2">
      <c r="A1389" s="5">
        <v>1328</v>
      </c>
      <c r="B1389" s="1832">
        <f>'Expenditures 15-22'!K211</f>
        <v>56364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2118</v>
      </c>
      <c r="D1408" s="2" t="str">
        <f t="shared" si="21"/>
        <v>Error?</v>
      </c>
    </row>
    <row r="1409" spans="1:4" x14ac:dyDescent="0.2">
      <c r="A1409" s="5">
        <v>1348</v>
      </c>
      <c r="B1409" s="1832">
        <f>'Expenditures 15-22'!D224</f>
        <v>212</v>
      </c>
      <c r="D1409" s="2" t="str">
        <f t="shared" si="21"/>
        <v>Error?</v>
      </c>
    </row>
    <row r="1410" spans="1:4" x14ac:dyDescent="0.2">
      <c r="A1410" s="5">
        <v>1349</v>
      </c>
      <c r="B1410" s="1832">
        <f>'Expenditures 15-22'!D229</f>
        <v>202583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1642</v>
      </c>
      <c r="D1412" s="2" t="str">
        <f t="shared" si="21"/>
        <v>Error?</v>
      </c>
    </row>
    <row r="1413" spans="1:4" x14ac:dyDescent="0.2">
      <c r="A1413" s="5">
        <v>1352</v>
      </c>
      <c r="B1413" s="1832">
        <f>'Expenditures 15-22'!D234</f>
        <v>9582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3023</v>
      </c>
      <c r="D1415" s="2" t="str">
        <f t="shared" si="21"/>
        <v>Error?</v>
      </c>
    </row>
    <row r="1416" spans="1:4" x14ac:dyDescent="0.2">
      <c r="A1416" s="5">
        <v>1355</v>
      </c>
      <c r="B1416" s="1832">
        <f>'Expenditures 15-22'!D237</f>
        <v>14</v>
      </c>
      <c r="D1416" s="2" t="str">
        <f t="shared" si="21"/>
        <v>Error?</v>
      </c>
    </row>
    <row r="1417" spans="1:4" x14ac:dyDescent="0.2">
      <c r="A1417" s="5">
        <v>1356</v>
      </c>
      <c r="B1417" s="1832">
        <f>'Expenditures 15-22'!D238</f>
        <v>14261</v>
      </c>
      <c r="C1417" s="2" t="s">
        <v>569</v>
      </c>
      <c r="D1417" s="2" t="str">
        <f t="shared" si="21"/>
        <v>Error?</v>
      </c>
    </row>
    <row r="1418" spans="1:4" x14ac:dyDescent="0.2">
      <c r="A1418" s="5">
        <v>1357</v>
      </c>
      <c r="B1418" s="1832">
        <f>'Expenditures 15-22'!D240</f>
        <v>3304</v>
      </c>
      <c r="D1418" s="2" t="str">
        <f t="shared" si="21"/>
        <v>Error?</v>
      </c>
    </row>
    <row r="1419" spans="1:4" x14ac:dyDescent="0.2">
      <c r="A1419" s="5">
        <v>1358</v>
      </c>
      <c r="B1419" s="1832">
        <f>'Expenditures 15-22'!D241</f>
        <v>18712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22016</v>
      </c>
      <c r="C1421" s="2" t="s">
        <v>569</v>
      </c>
      <c r="D1421" s="2" t="str">
        <f t="shared" si="21"/>
        <v>Error?</v>
      </c>
    </row>
    <row r="1422" spans="1:4" x14ac:dyDescent="0.2">
      <c r="A1422" s="5">
        <v>1361</v>
      </c>
      <c r="B1422" s="1832">
        <f>'Expenditures 15-22'!D245</f>
        <v>487</v>
      </c>
      <c r="D1422" s="2" t="str">
        <f t="shared" si="21"/>
        <v>Error?</v>
      </c>
    </row>
    <row r="1423" spans="1:4" x14ac:dyDescent="0.2">
      <c r="A1423" s="5">
        <v>1362</v>
      </c>
      <c r="B1423" s="1832">
        <f>'Expenditures 15-22'!D246</f>
        <v>9933</v>
      </c>
      <c r="D1423" s="2" t="str">
        <f t="shared" si="21"/>
        <v>Error?</v>
      </c>
    </row>
    <row r="1424" spans="1:4" x14ac:dyDescent="0.2">
      <c r="A1424" s="5">
        <v>1363</v>
      </c>
      <c r="B1424" s="1832">
        <f>'Expenditures 15-22'!D257</f>
        <v>21566</v>
      </c>
      <c r="C1424" s="2" t="s">
        <v>569</v>
      </c>
      <c r="D1424" s="2" t="str">
        <f t="shared" si="21"/>
        <v>Error?</v>
      </c>
    </row>
    <row r="1425" spans="1:4" x14ac:dyDescent="0.2">
      <c r="A1425" s="5">
        <v>1364</v>
      </c>
      <c r="B1425" s="1832">
        <f>'Expenditures 15-22'!D259</f>
        <v>27236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27236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17461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51565</v>
      </c>
      <c r="D1431" s="2" t="str">
        <f t="shared" si="21"/>
        <v>Error?</v>
      </c>
    </row>
    <row r="1432" spans="1:4" x14ac:dyDescent="0.2">
      <c r="A1432" s="5">
        <v>1371</v>
      </c>
      <c r="B1432" s="1832">
        <f>'Expenditures 15-22'!D267</f>
        <v>3550</v>
      </c>
      <c r="D1432" s="2" t="str">
        <f t="shared" si="21"/>
        <v>Error?</v>
      </c>
    </row>
    <row r="1433" spans="1:4" x14ac:dyDescent="0.2">
      <c r="A1433" s="5">
        <v>1372</v>
      </c>
      <c r="B1433" s="1832">
        <f>'Expenditures 15-22'!D268</f>
        <v>44948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117524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202603</v>
      </c>
      <c r="C1446" s="2" t="s">
        <v>569</v>
      </c>
      <c r="D1446" s="2" t="str">
        <f t="shared" si="21"/>
        <v>Error?</v>
      </c>
    </row>
    <row r="1447" spans="1:4" x14ac:dyDescent="0.2">
      <c r="A1447" s="5">
        <v>1386</v>
      </c>
      <c r="B1447" s="1832">
        <f>'Expenditures 15-22'!D280</f>
        <v>2452</v>
      </c>
      <c r="D1447" s="2" t="str">
        <f t="shared" si="21"/>
        <v>Error?</v>
      </c>
    </row>
    <row r="1448" spans="1:4" x14ac:dyDescent="0.2">
      <c r="A1448" s="5">
        <v>1387</v>
      </c>
      <c r="B1448" s="1832">
        <f>'Expenditures 15-22'!D295</f>
        <v>407638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2118</v>
      </c>
      <c r="C1472" s="2" t="s">
        <v>569</v>
      </c>
      <c r="D1472" s="2" t="str">
        <f t="shared" si="22"/>
        <v>Error?</v>
      </c>
    </row>
    <row r="1473" spans="1:4" x14ac:dyDescent="0.2">
      <c r="A1473" s="5">
        <v>1412</v>
      </c>
      <c r="B1473" s="1832">
        <f>'Expenditures 15-22'!K224</f>
        <v>212</v>
      </c>
      <c r="C1473" s="2" t="s">
        <v>569</v>
      </c>
      <c r="D1473" s="2" t="str">
        <f t="shared" si="22"/>
        <v>Error?</v>
      </c>
    </row>
    <row r="1474" spans="1:4" x14ac:dyDescent="0.2">
      <c r="A1474" s="5">
        <v>1413</v>
      </c>
      <c r="B1474" s="1832">
        <f>'Expenditures 15-22'!K229</f>
        <v>202583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1642</v>
      </c>
      <c r="C1476" s="2" t="s">
        <v>569</v>
      </c>
      <c r="D1476" s="2" t="str">
        <f t="shared" si="22"/>
        <v>Error?</v>
      </c>
    </row>
    <row r="1477" spans="1:4" x14ac:dyDescent="0.2">
      <c r="A1477" s="5">
        <v>1416</v>
      </c>
      <c r="B1477" s="1832">
        <f>'Expenditures 15-22'!K234</f>
        <v>9582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3023</v>
      </c>
      <c r="C1479" s="2" t="s">
        <v>569</v>
      </c>
      <c r="D1479" s="2" t="str">
        <f t="shared" si="22"/>
        <v>Error?</v>
      </c>
    </row>
    <row r="1480" spans="1:4" x14ac:dyDescent="0.2">
      <c r="A1480" s="5">
        <v>1419</v>
      </c>
      <c r="B1480" s="1832">
        <f>'Expenditures 15-22'!K237</f>
        <v>14</v>
      </c>
      <c r="C1480" s="2" t="s">
        <v>569</v>
      </c>
      <c r="D1480" s="2" t="str">
        <f t="shared" si="22"/>
        <v>Error?</v>
      </c>
    </row>
    <row r="1481" spans="1:4" x14ac:dyDescent="0.2">
      <c r="A1481" s="5">
        <v>1420</v>
      </c>
      <c r="B1481" s="1832">
        <f>'Expenditures 15-22'!K238</f>
        <v>14261</v>
      </c>
      <c r="C1481" s="2" t="s">
        <v>569</v>
      </c>
      <c r="D1481" s="2" t="str">
        <f t="shared" si="22"/>
        <v>Error?</v>
      </c>
    </row>
    <row r="1482" spans="1:4" x14ac:dyDescent="0.2">
      <c r="A1482" s="5">
        <v>1421</v>
      </c>
      <c r="B1482" s="1832">
        <f>'Expenditures 15-22'!K240</f>
        <v>3304</v>
      </c>
      <c r="C1482" s="2" t="s">
        <v>569</v>
      </c>
      <c r="D1482" s="2" t="str">
        <f t="shared" si="22"/>
        <v>Error?</v>
      </c>
    </row>
    <row r="1483" spans="1:4" x14ac:dyDescent="0.2">
      <c r="A1483" s="5">
        <v>1422</v>
      </c>
      <c r="B1483" s="1832">
        <f>'Expenditures 15-22'!K241</f>
        <v>18712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22016</v>
      </c>
      <c r="C1485" s="2" t="s">
        <v>569</v>
      </c>
      <c r="D1485" s="2" t="str">
        <f t="shared" si="22"/>
        <v>Error?</v>
      </c>
    </row>
    <row r="1486" spans="1:4" x14ac:dyDescent="0.2">
      <c r="A1486" s="5">
        <v>1425</v>
      </c>
      <c r="B1486" s="1832">
        <f>'Expenditures 15-22'!K245</f>
        <v>487</v>
      </c>
      <c r="C1486" s="2" t="s">
        <v>569</v>
      </c>
      <c r="D1486" s="2" t="str">
        <f t="shared" si="22"/>
        <v>Error?</v>
      </c>
    </row>
    <row r="1487" spans="1:4" x14ac:dyDescent="0.2">
      <c r="A1487" s="5">
        <v>1426</v>
      </c>
      <c r="B1487" s="1832">
        <f>'Expenditures 15-22'!K246</f>
        <v>9933</v>
      </c>
      <c r="C1487" s="2" t="s">
        <v>569</v>
      </c>
      <c r="D1487" s="2" t="str">
        <f t="shared" si="22"/>
        <v>Error?</v>
      </c>
    </row>
    <row r="1488" spans="1:4" x14ac:dyDescent="0.2">
      <c r="A1488" s="5">
        <v>1427</v>
      </c>
      <c r="B1488" s="1832">
        <f>'Expenditures 15-22'!K257</f>
        <v>21566</v>
      </c>
      <c r="C1488" s="2" t="s">
        <v>569</v>
      </c>
      <c r="D1488" s="2" t="str">
        <f t="shared" si="22"/>
        <v>Error?</v>
      </c>
    </row>
    <row r="1489" spans="1:4" x14ac:dyDescent="0.2">
      <c r="A1489" s="5">
        <v>1428</v>
      </c>
      <c r="B1489" s="1832">
        <f>'Expenditures 15-22'!K259</f>
        <v>27236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27236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17461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51565</v>
      </c>
      <c r="C1495" s="2" t="s">
        <v>569</v>
      </c>
      <c r="D1495" s="2" t="str">
        <f t="shared" si="22"/>
        <v>Error?</v>
      </c>
    </row>
    <row r="1496" spans="1:4" x14ac:dyDescent="0.2">
      <c r="A1496" s="5">
        <v>1435</v>
      </c>
      <c r="B1496" s="1832">
        <f>'Expenditures 15-22'!K267</f>
        <v>3550</v>
      </c>
      <c r="C1496" s="2" t="s">
        <v>569</v>
      </c>
      <c r="D1496" s="2" t="str">
        <f t="shared" si="22"/>
        <v>Error?</v>
      </c>
    </row>
    <row r="1497" spans="1:4" x14ac:dyDescent="0.2">
      <c r="A1497" s="5">
        <v>1436</v>
      </c>
      <c r="B1497" s="1832">
        <f>'Expenditures 15-22'!K268</f>
        <v>44948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117524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202603</v>
      </c>
      <c r="C1510" s="2" t="s">
        <v>569</v>
      </c>
      <c r="D1510" s="2" t="str">
        <f t="shared" si="22"/>
        <v>Error?</v>
      </c>
    </row>
    <row r="1511" spans="1:4" x14ac:dyDescent="0.2">
      <c r="A1511" s="5">
        <v>1450</v>
      </c>
      <c r="B1511" s="1832">
        <f>'Expenditures 15-22'!K280</f>
        <v>2452</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407638</v>
      </c>
      <c r="C1517" s="2" t="s">
        <v>569</v>
      </c>
      <c r="D1517" s="2" t="str">
        <f t="shared" si="22"/>
        <v>Error?</v>
      </c>
    </row>
    <row r="1518" spans="1:4" x14ac:dyDescent="0.2">
      <c r="A1518" s="5">
        <v>1457</v>
      </c>
      <c r="B1518" s="1832">
        <f>'Expenditures 15-22'!K296</f>
        <v>13183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4470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4470</v>
      </c>
      <c r="C1547" s="2" t="s">
        <v>569</v>
      </c>
      <c r="D1547" s="2" t="str">
        <f t="shared" si="23"/>
        <v>Error?</v>
      </c>
    </row>
    <row r="1548" spans="1:4" x14ac:dyDescent="0.2">
      <c r="A1548" s="5">
        <v>1487</v>
      </c>
      <c r="B1548" s="1832">
        <f>'Expenditures 15-22'!G312</f>
        <v>4470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4470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4470</v>
      </c>
      <c r="C1559" s="2" t="s">
        <v>569</v>
      </c>
      <c r="D1559" s="2" t="str">
        <f t="shared" si="23"/>
        <v>Error?</v>
      </c>
    </row>
    <row r="1560" spans="1:4" x14ac:dyDescent="0.2">
      <c r="A1560" s="5">
        <v>1499</v>
      </c>
      <c r="B1560" s="1832">
        <f>'Expenditures 15-22'!K312</f>
        <v>4470</v>
      </c>
      <c r="C1560" s="2" t="s">
        <v>569</v>
      </c>
      <c r="D1560" s="2" t="str">
        <f t="shared" si="23"/>
        <v>Error?</v>
      </c>
    </row>
    <row r="1561" spans="1:4" x14ac:dyDescent="0.2">
      <c r="A1561" s="5">
        <v>1500</v>
      </c>
      <c r="B1561" s="1832">
        <f>'Expenditures 15-22'!K313</f>
        <v>-4469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7082934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7361341</v>
      </c>
      <c r="C1630" s="2" t="s">
        <v>569</v>
      </c>
      <c r="D1630" s="2" t="str">
        <f t="shared" si="24"/>
        <v>Error?</v>
      </c>
    </row>
    <row r="1631" spans="1:4" x14ac:dyDescent="0.2">
      <c r="A1631" s="5">
        <v>1570</v>
      </c>
      <c r="B1631" s="1832">
        <f>'Acct Summary 7-8'!D79</f>
        <v>865881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928966</v>
      </c>
      <c r="C1644" s="2" t="s">
        <v>569</v>
      </c>
      <c r="D1644" s="2" t="str">
        <f t="shared" si="24"/>
        <v>Error?</v>
      </c>
    </row>
    <row r="1645" spans="1:4" x14ac:dyDescent="0.2">
      <c r="A1645" s="5">
        <v>1584</v>
      </c>
      <c r="B1645" s="1832">
        <f>'Acct Summary 7-8'!E79</f>
        <v>101910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156400</v>
      </c>
      <c r="C1658" s="2" t="s">
        <v>569</v>
      </c>
      <c r="D1658" s="2" t="str">
        <f t="shared" si="24"/>
        <v>Error?</v>
      </c>
    </row>
    <row r="1659" spans="1:4" x14ac:dyDescent="0.2">
      <c r="A1659" s="5">
        <v>1598</v>
      </c>
      <c r="B1659" s="1832">
        <f>'Acct Summary 7-8'!F79</f>
        <v>501766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558130</v>
      </c>
      <c r="C1672" s="2" t="s">
        <v>569</v>
      </c>
      <c r="D1672" s="2" t="str">
        <f t="shared" si="25"/>
        <v>Error?</v>
      </c>
    </row>
    <row r="1673" spans="1:4" x14ac:dyDescent="0.2">
      <c r="A1673" s="5">
        <v>1612</v>
      </c>
      <c r="B1673" s="1832">
        <f>'Acct Summary 7-8'!G79</f>
        <v>292800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305983</v>
      </c>
      <c r="C1686" s="2" t="s">
        <v>569</v>
      </c>
      <c r="D1686" s="2" t="str">
        <f t="shared" si="25"/>
        <v>Error?</v>
      </c>
    </row>
    <row r="1687" spans="1:4" x14ac:dyDescent="0.2">
      <c r="A1687" s="5">
        <v>1626</v>
      </c>
      <c r="B1687" s="1832">
        <f>'Acct Summary 7-8'!H79</f>
        <v>4469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3242045</v>
      </c>
      <c r="C1744" s="2" t="s">
        <v>569</v>
      </c>
      <c r="D1744" s="2" t="str">
        <f t="shared" si="26"/>
        <v>Error?</v>
      </c>
    </row>
    <row r="1745" spans="1:5" x14ac:dyDescent="0.2">
      <c r="A1745" s="5">
        <v>1684</v>
      </c>
      <c r="B1745" s="1832">
        <f>'Tax Sched 23'!B5</f>
        <v>421154</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103938</v>
      </c>
      <c r="C1747" s="2" t="s">
        <v>569</v>
      </c>
      <c r="D1747" s="2" t="str">
        <f t="shared" si="26"/>
        <v>Error?</v>
      </c>
    </row>
    <row r="1748" spans="1:5" x14ac:dyDescent="0.2">
      <c r="A1748" s="5">
        <v>1687</v>
      </c>
      <c r="B1748" s="1832">
        <f>'Tax Sched 23'!B8</f>
        <v>148470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44545</v>
      </c>
      <c r="C1753" s="2" t="s">
        <v>569</v>
      </c>
      <c r="D1753" s="2" t="str">
        <f t="shared" si="26"/>
        <v>Error?</v>
      </c>
    </row>
    <row r="1754" spans="1:5" x14ac:dyDescent="0.2">
      <c r="A1754" s="5">
        <v>1693</v>
      </c>
      <c r="B1754" s="1832">
        <f>'Tax Sched 23'!B14</f>
        <v>22772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4131394</v>
      </c>
      <c r="C1759" s="2" t="s">
        <v>569</v>
      </c>
      <c r="D1759" s="2" t="str">
        <f t="shared" si="26"/>
        <v>Error?</v>
      </c>
    </row>
    <row r="1760" spans="1:5" x14ac:dyDescent="0.2">
      <c r="A1760" s="5">
        <v>1699</v>
      </c>
      <c r="B1760" s="1832">
        <f>'Tax Sched 23'!D4</f>
        <v>3242045</v>
      </c>
      <c r="C1760" s="2" t="s">
        <v>569</v>
      </c>
      <c r="D1760" s="2" t="str">
        <f t="shared" si="26"/>
        <v>Error?</v>
      </c>
    </row>
    <row r="1761" spans="1:7" x14ac:dyDescent="0.2">
      <c r="A1761" s="5">
        <v>1700</v>
      </c>
      <c r="B1761" s="1832">
        <f>'Tax Sched 23'!D5</f>
        <v>421154</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103938</v>
      </c>
      <c r="C1763" s="2" t="s">
        <v>569</v>
      </c>
      <c r="D1763" s="2" t="str">
        <f t="shared" si="26"/>
        <v>Error?</v>
      </c>
    </row>
    <row r="1764" spans="1:7" x14ac:dyDescent="0.2">
      <c r="A1764" s="5">
        <v>1703</v>
      </c>
      <c r="B1764" s="1832">
        <f>'Tax Sched 23'!D8</f>
        <v>148470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44545</v>
      </c>
      <c r="C1769" s="2" t="s">
        <v>569</v>
      </c>
      <c r="D1769" s="2" t="str">
        <f t="shared" si="26"/>
        <v>Error?</v>
      </c>
    </row>
    <row r="1770" spans="1:7" x14ac:dyDescent="0.2">
      <c r="A1770" s="5">
        <v>1709</v>
      </c>
      <c r="B1770" s="1832">
        <f>'Tax Sched 23'!D14</f>
        <v>22772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4131394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3355740</v>
      </c>
      <c r="C1792" s="2" t="s">
        <v>569</v>
      </c>
      <c r="D1792" s="2" t="str">
        <f t="shared" si="27"/>
        <v>Error?</v>
      </c>
    </row>
    <row r="1793" spans="1:4" x14ac:dyDescent="0.2">
      <c r="A1793" s="5">
        <v>1732</v>
      </c>
      <c r="B1793" s="1832">
        <f>'Tax Sched 23'!F5</f>
        <v>414572</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105358</v>
      </c>
      <c r="C1795" s="2" t="s">
        <v>569</v>
      </c>
      <c r="D1795" s="2" t="str">
        <f t="shared" si="27"/>
        <v>Error?</v>
      </c>
    </row>
    <row r="1796" spans="1:4" x14ac:dyDescent="0.2">
      <c r="A1796" s="5">
        <v>1735</v>
      </c>
      <c r="B1796" s="1832">
        <f>'Tax Sched 23'!F8</f>
        <v>160963</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43901</v>
      </c>
      <c r="C1801" s="2" t="s">
        <v>569</v>
      </c>
      <c r="D1801" s="2" t="str">
        <f t="shared" si="27"/>
        <v>Error?</v>
      </c>
    </row>
    <row r="1802" spans="1:4" x14ac:dyDescent="0.2">
      <c r="A1802" s="5">
        <v>1741</v>
      </c>
      <c r="B1802" s="1832">
        <f>'Tax Sched 23'!F14</f>
        <v>23662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4274920</v>
      </c>
      <c r="C1807" s="2" t="s">
        <v>569</v>
      </c>
      <c r="D1807" s="2" t="str">
        <f t="shared" si="27"/>
        <v>Error?</v>
      </c>
    </row>
    <row r="1808" spans="1:4" x14ac:dyDescent="0.2">
      <c r="A1808" s="5">
        <v>1747</v>
      </c>
      <c r="B1808" s="1832">
        <f>'Tax Sched 23'!E4</f>
        <v>3355740</v>
      </c>
      <c r="D1808" s="2" t="str">
        <f t="shared" si="27"/>
        <v>Error?</v>
      </c>
    </row>
    <row r="1809" spans="1:4" x14ac:dyDescent="0.2">
      <c r="A1809" s="5">
        <v>1748</v>
      </c>
      <c r="B1809" s="1832">
        <f>'Tax Sched 23'!E5</f>
        <v>414572</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105358</v>
      </c>
      <c r="D1811" s="2" t="str">
        <f t="shared" si="27"/>
        <v>Error?</v>
      </c>
    </row>
    <row r="1812" spans="1:4" x14ac:dyDescent="0.2">
      <c r="A1812" s="5">
        <v>1751</v>
      </c>
      <c r="B1812" s="1832">
        <f>'Tax Sched 23'!E8</f>
        <v>160963</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43901</v>
      </c>
      <c r="D1817" s="2" t="str">
        <f t="shared" si="27"/>
        <v>Error?</v>
      </c>
    </row>
    <row r="1818" spans="1:4" x14ac:dyDescent="0.2">
      <c r="A1818" s="5">
        <v>1757</v>
      </c>
      <c r="B1818" s="1832">
        <f>'Tax Sched 23'!E14</f>
        <v>23662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4274920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8730000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22773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22773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22773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92931</v>
      </c>
      <c r="D2008" s="2" t="str">
        <f t="shared" si="30"/>
        <v>Error?</v>
      </c>
    </row>
    <row r="2009" spans="1:4" x14ac:dyDescent="0.2">
      <c r="A2009" s="5">
        <v>1948</v>
      </c>
      <c r="B2009" s="1832">
        <f>'Cap Outlay Deprec 26'!C8</f>
        <v>28408732</v>
      </c>
      <c r="D2009" s="2" t="str">
        <f t="shared" si="30"/>
        <v>Error?</v>
      </c>
    </row>
    <row r="2010" spans="1:4" x14ac:dyDescent="0.2">
      <c r="A2010" s="5">
        <v>1949</v>
      </c>
      <c r="B2010" s="1832">
        <f>'Cap Outlay Deprec 26'!C10</f>
        <v>450302</v>
      </c>
      <c r="D2010" s="2" t="str">
        <f t="shared" si="30"/>
        <v>Error?</v>
      </c>
    </row>
    <row r="2011" spans="1:4" x14ac:dyDescent="0.2">
      <c r="A2011" s="5">
        <v>1950</v>
      </c>
      <c r="B2011" s="1832">
        <f>'Cap Outlay Deprec 26'!C12</f>
        <v>4479500</v>
      </c>
      <c r="D2011" s="2" t="str">
        <f t="shared" si="30"/>
        <v>Error?</v>
      </c>
    </row>
    <row r="2012" spans="1:4" x14ac:dyDescent="0.2">
      <c r="A2012" s="5">
        <v>1951</v>
      </c>
      <c r="B2012" s="1832">
        <f>'Cap Outlay Deprec 26'!C13</f>
        <v>214068</v>
      </c>
      <c r="D2012" s="2" t="str">
        <f t="shared" si="30"/>
        <v>Error?</v>
      </c>
    </row>
    <row r="2013" spans="1:4" x14ac:dyDescent="0.2">
      <c r="A2013" s="5">
        <v>1952</v>
      </c>
      <c r="B2013" s="1832">
        <f>'Cap Outlay Deprec 26'!C16</f>
        <v>33651857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265642</v>
      </c>
      <c r="D2015" s="2" t="str">
        <f t="shared" si="30"/>
        <v>Error?</v>
      </c>
    </row>
    <row r="2016" spans="1:4" x14ac:dyDescent="0.2">
      <c r="A2016" s="5">
        <v>1955</v>
      </c>
      <c r="B2016" s="1832">
        <f>'Cap Outlay Deprec 26'!D10</f>
        <v>19203</v>
      </c>
      <c r="D2016" s="2" t="str">
        <f t="shared" si="30"/>
        <v>Error?</v>
      </c>
    </row>
    <row r="2017" spans="1:4" x14ac:dyDescent="0.2">
      <c r="A2017" s="5">
        <v>1956</v>
      </c>
      <c r="B2017" s="1832">
        <f>'Cap Outlay Deprec 26'!D12</f>
        <v>47502</v>
      </c>
      <c r="D2017" s="2" t="str">
        <f t="shared" si="30"/>
        <v>Error?</v>
      </c>
    </row>
    <row r="2018" spans="1:4" x14ac:dyDescent="0.2">
      <c r="A2018" s="5">
        <v>1957</v>
      </c>
      <c r="B2018" s="1832">
        <f>'Cap Outlay Deprec 26'!D13</f>
        <v>2764</v>
      </c>
      <c r="D2018" s="2" t="str">
        <f t="shared" si="30"/>
        <v>Error?</v>
      </c>
    </row>
    <row r="2019" spans="1:4" x14ac:dyDescent="0.2">
      <c r="A2019" s="5">
        <v>1958</v>
      </c>
      <c r="B2019" s="1832">
        <f>'Cap Outlay Deprec 26'!D16</f>
        <v>335111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92931</v>
      </c>
      <c r="C2026" s="2" t="s">
        <v>569</v>
      </c>
      <c r="D2026" s="2" t="str">
        <f t="shared" si="30"/>
        <v>Error?</v>
      </c>
    </row>
    <row r="2027" spans="1:4" x14ac:dyDescent="0.2">
      <c r="A2027" s="5">
        <v>1966</v>
      </c>
      <c r="B2027" s="1832">
        <f>'Cap Outlay Deprec 26'!F8</f>
        <v>28674374</v>
      </c>
      <c r="C2027" s="2" t="s">
        <v>569</v>
      </c>
      <c r="D2027" s="2" t="str">
        <f t="shared" si="30"/>
        <v>Error?</v>
      </c>
    </row>
    <row r="2028" spans="1:4" x14ac:dyDescent="0.2">
      <c r="A2028" s="5">
        <v>1967</v>
      </c>
      <c r="B2028" s="1832">
        <f>'Cap Outlay Deprec 26'!F10</f>
        <v>469505</v>
      </c>
      <c r="C2028" s="2" t="s">
        <v>569</v>
      </c>
      <c r="D2028" s="2" t="str">
        <f t="shared" si="30"/>
        <v>Error?</v>
      </c>
    </row>
    <row r="2029" spans="1:4" x14ac:dyDescent="0.2">
      <c r="A2029" s="5">
        <v>1968</v>
      </c>
      <c r="B2029" s="1832">
        <f>'Cap Outlay Deprec 26'!F12</f>
        <v>4527002</v>
      </c>
      <c r="C2029" s="2" t="s">
        <v>569</v>
      </c>
      <c r="D2029" s="2" t="str">
        <f t="shared" si="30"/>
        <v>Error?</v>
      </c>
    </row>
    <row r="2030" spans="1:4" x14ac:dyDescent="0.2">
      <c r="A2030" s="5">
        <v>1969</v>
      </c>
      <c r="B2030" s="1832">
        <f>'Cap Outlay Deprec 26'!F13</f>
        <v>216832</v>
      </c>
      <c r="C2030" s="2" t="s">
        <v>569</v>
      </c>
      <c r="D2030" s="2" t="str">
        <f t="shared" si="30"/>
        <v>Error?</v>
      </c>
    </row>
    <row r="2031" spans="1:4" x14ac:dyDescent="0.2">
      <c r="A2031" s="5">
        <v>1970</v>
      </c>
      <c r="B2031" s="1832">
        <f>'Cap Outlay Deprec 26'!F16</f>
        <v>33986968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9622201</v>
      </c>
      <c r="D2033" s="2" t="str">
        <f t="shared" si="30"/>
        <v>Error?</v>
      </c>
    </row>
    <row r="2034" spans="1:4" x14ac:dyDescent="0.2">
      <c r="A2034" s="5">
        <v>1973</v>
      </c>
      <c r="B2034" s="1832">
        <f>'Cap Outlay Deprec 26'!H10</f>
        <v>187243</v>
      </c>
      <c r="D2034" s="2" t="str">
        <f t="shared" si="30"/>
        <v>Error?</v>
      </c>
    </row>
    <row r="2035" spans="1:4" x14ac:dyDescent="0.2">
      <c r="A2035" s="5">
        <v>1974</v>
      </c>
      <c r="B2035" s="1832">
        <f>'Cap Outlay Deprec 26'!H12</f>
        <v>4146989</v>
      </c>
      <c r="D2035" s="2" t="str">
        <f t="shared" si="30"/>
        <v>Error?</v>
      </c>
    </row>
    <row r="2036" spans="1:4" x14ac:dyDescent="0.2">
      <c r="A2036" s="5">
        <v>1975</v>
      </c>
      <c r="B2036" s="1832">
        <f>'Cap Outlay Deprec 26'!H13</f>
        <v>192567</v>
      </c>
      <c r="D2036" s="2" t="str">
        <f t="shared" si="30"/>
        <v>Error?</v>
      </c>
    </row>
    <row r="2037" spans="1:4" x14ac:dyDescent="0.2">
      <c r="A2037" s="5">
        <v>1976</v>
      </c>
      <c r="B2037" s="1832">
        <f>'Cap Outlay Deprec 26'!H16</f>
        <v>14154241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499117</v>
      </c>
      <c r="D2039" s="2" t="str">
        <f t="shared" si="30"/>
        <v>Error?</v>
      </c>
    </row>
    <row r="2040" spans="1:4" x14ac:dyDescent="0.2">
      <c r="A2040" s="5">
        <v>1979</v>
      </c>
      <c r="B2040" s="1832">
        <f>'Cap Outlay Deprec 26'!I10</f>
        <v>23133</v>
      </c>
      <c r="D2040" s="2" t="str">
        <f t="shared" si="30"/>
        <v>Error?</v>
      </c>
    </row>
    <row r="2041" spans="1:4" x14ac:dyDescent="0.2">
      <c r="A2041" s="5">
        <v>1980</v>
      </c>
      <c r="B2041" s="1832">
        <f>'Cap Outlay Deprec 26'!I12</f>
        <v>91031</v>
      </c>
      <c r="D2041" s="2" t="str">
        <f t="shared" si="30"/>
        <v>Error?</v>
      </c>
    </row>
    <row r="2042" spans="1:4" x14ac:dyDescent="0.2">
      <c r="A2042" s="5">
        <v>1981</v>
      </c>
      <c r="B2042" s="1832">
        <f>'Cap Outlay Deprec 26'!I13</f>
        <v>7404</v>
      </c>
      <c r="D2042" s="2" t="str">
        <f t="shared" si="30"/>
        <v>Error?</v>
      </c>
    </row>
    <row r="2043" spans="1:4" x14ac:dyDescent="0.2">
      <c r="A2043" s="5">
        <v>1982</v>
      </c>
      <c r="B2043" s="1832">
        <f>'Cap Outlay Deprec 26'!I16</f>
        <v>621767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10121318</v>
      </c>
      <c r="C2051" s="2" t="s">
        <v>569</v>
      </c>
      <c r="D2051" s="2" t="str">
        <f t="shared" si="31"/>
        <v>Error?</v>
      </c>
    </row>
    <row r="2052" spans="1:4" x14ac:dyDescent="0.2">
      <c r="A2052" s="5">
        <v>1991</v>
      </c>
      <c r="B2052" s="1832">
        <f>'Cap Outlay Deprec 26'!K10</f>
        <v>210376</v>
      </c>
      <c r="C2052" s="2" t="s">
        <v>569</v>
      </c>
      <c r="D2052" s="2" t="str">
        <f t="shared" si="31"/>
        <v>Error?</v>
      </c>
    </row>
    <row r="2053" spans="1:4" x14ac:dyDescent="0.2">
      <c r="A2053" s="5">
        <v>1992</v>
      </c>
      <c r="B2053" s="1832">
        <f>'Cap Outlay Deprec 26'!K12</f>
        <v>4238020</v>
      </c>
      <c r="C2053" s="2" t="s">
        <v>569</v>
      </c>
      <c r="D2053" s="2" t="str">
        <f t="shared" si="31"/>
        <v>Error?</v>
      </c>
    </row>
    <row r="2054" spans="1:4" x14ac:dyDescent="0.2">
      <c r="A2054" s="5">
        <v>1993</v>
      </c>
      <c r="B2054" s="1832">
        <f>'Cap Outlay Deprec 26'!K13</f>
        <v>199971</v>
      </c>
      <c r="C2054" s="2" t="s">
        <v>569</v>
      </c>
      <c r="D2054" s="2" t="str">
        <f t="shared" si="31"/>
        <v>Error?</v>
      </c>
    </row>
    <row r="2055" spans="1:4" x14ac:dyDescent="0.2">
      <c r="A2055" s="5">
        <v>1994</v>
      </c>
      <c r="B2055" s="1832">
        <f>'Cap Outlay Deprec 26'!K16</f>
        <v>14776008</v>
      </c>
      <c r="C2055" s="2" t="s">
        <v>569</v>
      </c>
      <c r="D2055" s="2" t="str">
        <f t="shared" si="31"/>
        <v>Error?</v>
      </c>
    </row>
    <row r="2056" spans="1:4" x14ac:dyDescent="0.2">
      <c r="A2056" s="5">
        <v>1995</v>
      </c>
      <c r="B2056" s="1832">
        <f>'Cap Outlay Deprec 26'!L5</f>
        <v>92931</v>
      </c>
      <c r="C2056" s="2" t="s">
        <v>569</v>
      </c>
      <c r="D2056" s="2" t="str">
        <f t="shared" si="31"/>
        <v>Error?</v>
      </c>
    </row>
    <row r="2057" spans="1:4" x14ac:dyDescent="0.2">
      <c r="A2057" s="5">
        <v>1996</v>
      </c>
      <c r="B2057" s="1832">
        <f>'Cap Outlay Deprec 26'!L8</f>
        <v>18553056</v>
      </c>
      <c r="C2057" s="2" t="s">
        <v>569</v>
      </c>
      <c r="D2057" s="2" t="str">
        <f t="shared" si="31"/>
        <v>Error?</v>
      </c>
    </row>
    <row r="2058" spans="1:4" x14ac:dyDescent="0.2">
      <c r="A2058" s="5">
        <v>1997</v>
      </c>
      <c r="B2058" s="1832">
        <f>'Cap Outlay Deprec 26'!L10</f>
        <v>259129</v>
      </c>
      <c r="C2058" s="2" t="s">
        <v>569</v>
      </c>
      <c r="D2058" s="2" t="str">
        <f t="shared" si="31"/>
        <v>Error?</v>
      </c>
    </row>
    <row r="2059" spans="1:4" x14ac:dyDescent="0.2">
      <c r="A2059" s="5">
        <v>1998</v>
      </c>
      <c r="B2059" s="1832">
        <f>'Cap Outlay Deprec 26'!L12</f>
        <v>288982</v>
      </c>
      <c r="C2059" s="2" t="s">
        <v>569</v>
      </c>
      <c r="D2059" s="2" t="str">
        <f t="shared" si="31"/>
        <v>Error?</v>
      </c>
    </row>
    <row r="2060" spans="1:4" x14ac:dyDescent="0.2">
      <c r="A2060" s="5">
        <v>1999</v>
      </c>
      <c r="B2060" s="1832">
        <f>'Cap Outlay Deprec 26'!L13</f>
        <v>16861</v>
      </c>
      <c r="C2060" s="2" t="s">
        <v>569</v>
      </c>
      <c r="D2060" s="2" t="str">
        <f t="shared" si="31"/>
        <v>Error?</v>
      </c>
    </row>
    <row r="2061" spans="1:4" x14ac:dyDescent="0.2">
      <c r="A2061" s="5">
        <v>2000</v>
      </c>
      <c r="B2061" s="1832">
        <f>'Cap Outlay Deprec 26'!L16</f>
        <v>19210960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345757</v>
      </c>
      <c r="C2088" s="2" t="s">
        <v>569</v>
      </c>
      <c r="D2088" s="2" t="str">
        <f t="shared" si="31"/>
        <v>Error?</v>
      </c>
    </row>
    <row r="2089" spans="1:4" x14ac:dyDescent="0.2">
      <c r="A2089" s="5">
        <v>2028</v>
      </c>
      <c r="B2089" s="1832">
        <f>'Expenditures 15-22'!K92</f>
        <v>383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271491</v>
      </c>
      <c r="D2435" s="2" t="str">
        <f t="shared" si="37"/>
        <v>Error?</v>
      </c>
    </row>
    <row r="2436" spans="1:4" x14ac:dyDescent="0.2">
      <c r="A2436" s="10">
        <v>2375</v>
      </c>
      <c r="B2436" s="1832"/>
      <c r="D2436" s="2" t="str">
        <f t="shared" si="37"/>
        <v>OK</v>
      </c>
    </row>
    <row r="2437" spans="1:4" x14ac:dyDescent="0.2">
      <c r="A2437" s="5">
        <v>2376</v>
      </c>
      <c r="B2437" s="1832">
        <f>'Assets-Liab 5-6'!D38</f>
        <v>74132</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152624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4048300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6013713</v>
      </c>
      <c r="C2553" s="2" t="s">
        <v>569</v>
      </c>
      <c r="D2553" s="2" t="str">
        <f t="shared" si="38"/>
        <v>Error?</v>
      </c>
    </row>
    <row r="2554" spans="1:4" x14ac:dyDescent="0.2">
      <c r="A2554" s="5">
        <v>2493</v>
      </c>
      <c r="B2554" s="1832">
        <f>'Acct Summary 7-8'!C7</f>
        <v>1806550</v>
      </c>
      <c r="C2554" s="2" t="s">
        <v>569</v>
      </c>
      <c r="D2554" s="2" t="str">
        <f t="shared" si="38"/>
        <v>Error?</v>
      </c>
    </row>
    <row r="2555" spans="1:4" x14ac:dyDescent="0.2">
      <c r="A2555" s="5">
        <v>2494</v>
      </c>
      <c r="B2555" s="1832">
        <f>'Acct Summary 7-8'!C8</f>
        <v>11868563</v>
      </c>
      <c r="C2555" s="2" t="s">
        <v>569</v>
      </c>
      <c r="D2555" s="2" t="str">
        <f t="shared" si="38"/>
        <v>Error?</v>
      </c>
    </row>
    <row r="2556" spans="1:4" x14ac:dyDescent="0.2">
      <c r="A2556" s="5">
        <v>2495</v>
      </c>
      <c r="B2556" s="1832">
        <f>'Acct Summary 7-8'!C12</f>
        <v>7418102</v>
      </c>
      <c r="C2556" s="2" t="s">
        <v>569</v>
      </c>
      <c r="D2556" s="2" t="str">
        <f t="shared" si="38"/>
        <v>Error?</v>
      </c>
    </row>
    <row r="2557" spans="1:4" x14ac:dyDescent="0.2">
      <c r="A2557" s="5">
        <v>2496</v>
      </c>
      <c r="B2557" s="1832">
        <f>'Acct Summary 7-8'!C13</f>
        <v>3791077</v>
      </c>
      <c r="C2557" s="2" t="s">
        <v>569</v>
      </c>
      <c r="D2557" s="2" t="str">
        <f t="shared" si="38"/>
        <v>Error?</v>
      </c>
    </row>
    <row r="2558" spans="1:4" x14ac:dyDescent="0.2">
      <c r="A2558" s="5">
        <v>2497</v>
      </c>
      <c r="B2558" s="1832">
        <f>'Acct Summary 7-8'!C14</f>
        <v>34837</v>
      </c>
      <c r="C2558" s="2" t="s">
        <v>569</v>
      </c>
      <c r="D2558" s="2" t="str">
        <f t="shared" si="38"/>
        <v>Error?</v>
      </c>
    </row>
    <row r="2559" spans="1:4" x14ac:dyDescent="0.2">
      <c r="A2559" s="5">
        <v>2498</v>
      </c>
      <c r="B2559" s="1832">
        <f>'Acct Summary 7-8'!C15</f>
        <v>346140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11590156</v>
      </c>
      <c r="C2561" s="2" t="s">
        <v>569</v>
      </c>
      <c r="D2561" s="2" t="str">
        <f t="shared" si="39"/>
        <v>Error?</v>
      </c>
    </row>
    <row r="2562" spans="1:4" x14ac:dyDescent="0.2">
      <c r="A2562" s="5">
        <v>2501</v>
      </c>
      <c r="B2562" s="1832">
        <f>'Acct Summary 7-8'!C20</f>
        <v>278407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447925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607142</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1055067</v>
      </c>
      <c r="C2568" s="2" t="s">
        <v>569</v>
      </c>
      <c r="D2568" s="2" t="str">
        <f t="shared" si="39"/>
        <v>Error?</v>
      </c>
    </row>
    <row r="2569" spans="1:4" x14ac:dyDescent="0.2">
      <c r="A2569" s="5">
        <v>2508</v>
      </c>
      <c r="B2569" s="1832">
        <f>'Acct Summary 7-8'!D13</f>
        <v>786982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786982</v>
      </c>
      <c r="C2573" s="2" t="s">
        <v>569</v>
      </c>
      <c r="D2573" s="2" t="str">
        <f t="shared" si="39"/>
        <v>Error?</v>
      </c>
    </row>
    <row r="2574" spans="1:4" x14ac:dyDescent="0.2">
      <c r="A2574" s="5">
        <v>2513</v>
      </c>
      <c r="B2574" s="1832">
        <f>'Acct Summary 7-8'!D20</f>
        <v>268085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203953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146078</v>
      </c>
      <c r="C2593" s="2" t="s">
        <v>569</v>
      </c>
      <c r="D2593" s="2" t="str">
        <f t="shared" si="39"/>
        <v>Error?</v>
      </c>
    </row>
    <row r="2594" spans="1:4" x14ac:dyDescent="0.2">
      <c r="A2594" s="5">
        <v>2533</v>
      </c>
      <c r="B2594" s="1832">
        <f>'Acct Summary 7-8'!F7</f>
        <v>3427</v>
      </c>
      <c r="C2594" s="2" t="s">
        <v>569</v>
      </c>
      <c r="D2594" s="2" t="str">
        <f t="shared" si="39"/>
        <v>Error?</v>
      </c>
    </row>
    <row r="2595" spans="1:4" x14ac:dyDescent="0.2">
      <c r="A2595" s="5">
        <v>2534</v>
      </c>
      <c r="B2595" s="1832">
        <f>'Acct Summary 7-8'!F8</f>
        <v>353458</v>
      </c>
      <c r="C2595" s="2" t="s">
        <v>569</v>
      </c>
      <c r="D2595" s="2" t="str">
        <f t="shared" si="39"/>
        <v>Error?</v>
      </c>
    </row>
    <row r="2596" spans="1:4" x14ac:dyDescent="0.2">
      <c r="A2596" s="5">
        <v>2535</v>
      </c>
      <c r="B2596" s="1832">
        <f>'Acct Summary 7-8'!F13</f>
        <v>297094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297094</v>
      </c>
      <c r="C2600" s="2" t="s">
        <v>569</v>
      </c>
      <c r="D2600" s="2" t="str">
        <f t="shared" si="39"/>
        <v>Error?</v>
      </c>
    </row>
    <row r="2601" spans="1:4" x14ac:dyDescent="0.2">
      <c r="A2601" s="5">
        <v>2540</v>
      </c>
      <c r="B2601" s="1832">
        <f>'Acct Summary 7-8'!F20</f>
        <v>56364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420821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420821</v>
      </c>
      <c r="C2606" s="2" t="s">
        <v>569</v>
      </c>
      <c r="D2606" s="2" t="str">
        <f t="shared" si="39"/>
        <v>Error?</v>
      </c>
    </row>
    <row r="2607" spans="1:4" x14ac:dyDescent="0.2">
      <c r="A2607" s="5">
        <v>2546</v>
      </c>
      <c r="B2607" s="1832">
        <f>'Acct Summary 7-8'!G12</f>
        <v>202583</v>
      </c>
      <c r="C2607" s="2" t="s">
        <v>569</v>
      </c>
      <c r="D2607" s="2" t="str">
        <f t="shared" si="39"/>
        <v>Error?</v>
      </c>
    </row>
    <row r="2608" spans="1:4" x14ac:dyDescent="0.2">
      <c r="A2608" s="5">
        <v>2547</v>
      </c>
      <c r="B2608" s="1832">
        <f>'Acct Summary 7-8'!G13</f>
        <v>202603</v>
      </c>
      <c r="C2608" s="2" t="s">
        <v>569</v>
      </c>
      <c r="D2608" s="2" t="str">
        <f t="shared" si="39"/>
        <v>Error?</v>
      </c>
    </row>
    <row r="2609" spans="1:4" x14ac:dyDescent="0.2">
      <c r="A2609" s="5">
        <v>2548</v>
      </c>
      <c r="B2609" s="1832">
        <f>'Acct Summary 7-8'!G14</f>
        <v>2452</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407638</v>
      </c>
      <c r="C2612" s="2" t="s">
        <v>569</v>
      </c>
      <c r="D2612" s="2" t="str">
        <f t="shared" si="39"/>
        <v>Error?</v>
      </c>
    </row>
    <row r="2613" spans="1:4" x14ac:dyDescent="0.2">
      <c r="A2613" s="5">
        <v>2552</v>
      </c>
      <c r="B2613" s="1832">
        <f>'Acct Summary 7-8'!G20</f>
        <v>13183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547973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547973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698483</v>
      </c>
      <c r="C2634" s="2" t="s">
        <v>569</v>
      </c>
      <c r="D2634" s="2" t="str">
        <f t="shared" si="40"/>
        <v>Error?</v>
      </c>
    </row>
    <row r="2635" spans="1:4" x14ac:dyDescent="0.2">
      <c r="A2635" s="5">
        <v>2574</v>
      </c>
      <c r="B2635" s="1832">
        <f>'Acct Summary 7-8'!E17</f>
        <v>698483</v>
      </c>
      <c r="C2635" s="2" t="s">
        <v>569</v>
      </c>
      <c r="D2635" s="2" t="str">
        <f t="shared" si="40"/>
        <v>Error?</v>
      </c>
    </row>
    <row r="2636" spans="1:4" x14ac:dyDescent="0.2">
      <c r="A2636" s="5">
        <v>2575</v>
      </c>
      <c r="B2636" s="1832">
        <f>'Acct Summary 7-8'!E20</f>
        <v>-150510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v>
      </c>
      <c r="C2658" s="2" t="s">
        <v>569</v>
      </c>
      <c r="D2658" s="2" t="str">
        <f t="shared" si="40"/>
        <v>Error?</v>
      </c>
    </row>
    <row r="2659" spans="1:4" x14ac:dyDescent="0.2">
      <c r="A2659" s="5">
        <v>2598</v>
      </c>
      <c r="B2659" s="1832">
        <f>'Acct Summary 7-8'!H13</f>
        <v>4470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4470</v>
      </c>
      <c r="C2661" s="2" t="s">
        <v>569</v>
      </c>
      <c r="D2661" s="2" t="str">
        <f t="shared" si="40"/>
        <v>Error?</v>
      </c>
    </row>
    <row r="2662" spans="1:4" x14ac:dyDescent="0.2">
      <c r="A2662" s="5">
        <v>2601</v>
      </c>
      <c r="B2662" s="1832">
        <f>'Acct Summary 7-8'!H20</f>
        <v>-4469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58597</v>
      </c>
      <c r="D2718" s="2" t="str">
        <f t="shared" si="41"/>
        <v>Error?</v>
      </c>
    </row>
    <row r="2719" spans="1:4" x14ac:dyDescent="0.2">
      <c r="A2719" s="5">
        <v>2658</v>
      </c>
      <c r="B2719" s="1832">
        <f>'Expenditures 15-22'!D51</f>
        <v>1905</v>
      </c>
      <c r="D2719" s="2" t="str">
        <f t="shared" si="41"/>
        <v>Error?</v>
      </c>
    </row>
    <row r="2720" spans="1:4" x14ac:dyDescent="0.2">
      <c r="A2720" s="5">
        <v>2659</v>
      </c>
      <c r="B2720" s="1832">
        <f>'Expenditures 15-22'!E51</f>
        <v>3601</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970</v>
      </c>
      <c r="D2722" s="2" t="str">
        <f t="shared" si="41"/>
        <v>Error?</v>
      </c>
    </row>
    <row r="2723" spans="1:4" x14ac:dyDescent="0.2">
      <c r="A2723" s="5">
        <v>2662</v>
      </c>
      <c r="B2723" s="1832">
        <f>'Expenditures 15-22'!H51</f>
        <v>1731</v>
      </c>
      <c r="D2723" s="2" t="str">
        <f t="shared" si="41"/>
        <v>Error?</v>
      </c>
    </row>
    <row r="2724" spans="1:4" x14ac:dyDescent="0.2">
      <c r="A2724" s="5">
        <v>2663</v>
      </c>
      <c r="B2724" s="1832">
        <f>'Expenditures 15-22'!K51</f>
        <v>66804</v>
      </c>
      <c r="C2724" s="2" t="s">
        <v>569</v>
      </c>
      <c r="D2724" s="2" t="str">
        <f t="shared" si="41"/>
        <v>Error?</v>
      </c>
    </row>
    <row r="2725" spans="1:4" x14ac:dyDescent="0.2">
      <c r="A2725" s="5">
        <v>2664</v>
      </c>
      <c r="B2725" s="1832">
        <f>'Expenditures 15-22'!D247</f>
        <v>11146</v>
      </c>
      <c r="D2725" s="2" t="str">
        <f t="shared" si="41"/>
        <v>Error?</v>
      </c>
    </row>
    <row r="2726" spans="1:4" x14ac:dyDescent="0.2">
      <c r="A2726" s="5">
        <v>2665</v>
      </c>
      <c r="B2726" s="1832">
        <f>'Expenditures 15-22'!K247</f>
        <v>11146</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345757</v>
      </c>
      <c r="C2789" s="2" t="s">
        <v>569</v>
      </c>
      <c r="D2789" s="2" t="str">
        <f t="shared" si="42"/>
        <v>Error?</v>
      </c>
    </row>
    <row r="2790" spans="1:4" x14ac:dyDescent="0.2">
      <c r="A2790" s="5">
        <v>2729</v>
      </c>
      <c r="B2790" s="1832">
        <f>'Expenditures 15-22'!E102</f>
        <v>345757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500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7823</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1407689</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1452042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153681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1452042</v>
      </c>
      <c r="D2912" s="2" t="str">
        <f t="shared" si="44"/>
        <v>Error?</v>
      </c>
    </row>
    <row r="2913" spans="1:4" x14ac:dyDescent="0.2">
      <c r="A2913" s="5">
        <v>2852</v>
      </c>
      <c r="B2913" s="1832">
        <f>'Assets-Liab 5-6'!I41</f>
        <v>1452042</v>
      </c>
      <c r="C2913" s="2" t="s">
        <v>569</v>
      </c>
      <c r="D2913" s="2" t="str">
        <f t="shared" si="44"/>
        <v>Error?</v>
      </c>
    </row>
    <row r="2914" spans="1:4" x14ac:dyDescent="0.2">
      <c r="A2914" s="5">
        <v>2853</v>
      </c>
      <c r="B2914" s="1832">
        <f>'Assets-Liab 5-6'!L33</f>
        <v>153681</v>
      </c>
      <c r="D2914" s="2" t="str">
        <f t="shared" si="44"/>
        <v>Error?</v>
      </c>
    </row>
    <row r="2915" spans="1:4" x14ac:dyDescent="0.2">
      <c r="A2915" s="10">
        <v>2854</v>
      </c>
      <c r="B2915" s="1832"/>
      <c r="D2915" s="2" t="str">
        <f t="shared" si="44"/>
        <v>OK</v>
      </c>
    </row>
    <row r="2916" spans="1:4" x14ac:dyDescent="0.2">
      <c r="A2916" s="5">
        <v>2855</v>
      </c>
      <c r="B2916" s="1832">
        <f>'Assets-Liab 5-6'!L34</f>
        <v>153681</v>
      </c>
      <c r="C2916" s="2" t="s">
        <v>569</v>
      </c>
      <c r="D2916" s="2" t="str">
        <f t="shared" si="44"/>
        <v>Error?</v>
      </c>
    </row>
    <row r="2917" spans="1:4" x14ac:dyDescent="0.2">
      <c r="A2917" s="5">
        <v>2856</v>
      </c>
      <c r="B2917" s="1832">
        <f>'Assets-Liab 5-6'!L41</f>
        <v>153681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304042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41715</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304042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41715</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138542</v>
      </c>
      <c r="D3055" s="2" t="str">
        <f t="shared" si="46"/>
        <v>Error?</v>
      </c>
    </row>
    <row r="3056" spans="1:4" x14ac:dyDescent="0.2">
      <c r="A3056" s="5">
        <v>2995</v>
      </c>
      <c r="B3056" s="1832">
        <f>'Expenditures 15-22'!D10</f>
        <v>46550</v>
      </c>
      <c r="D3056" s="2" t="str">
        <f t="shared" si="46"/>
        <v>Error?</v>
      </c>
    </row>
    <row r="3057" spans="1:4" x14ac:dyDescent="0.2">
      <c r="A3057" s="5">
        <v>2996</v>
      </c>
      <c r="B3057" s="1832">
        <f>'Expenditures 15-22'!E10</f>
        <v>4498</v>
      </c>
      <c r="D3057" s="2" t="str">
        <f t="shared" si="46"/>
        <v>Error?</v>
      </c>
    </row>
    <row r="3058" spans="1:4" x14ac:dyDescent="0.2">
      <c r="A3058" s="5">
        <v>2997</v>
      </c>
      <c r="B3058" s="1832">
        <f>'Expenditures 15-22'!F10</f>
        <v>11111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200701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5217</v>
      </c>
      <c r="D3064" s="2" t="str">
        <f t="shared" si="46"/>
        <v>Error?</v>
      </c>
    </row>
    <row r="3065" spans="1:4" x14ac:dyDescent="0.2">
      <c r="A3065" s="5">
        <v>3004</v>
      </c>
      <c r="B3065" s="1832">
        <f>'Expenditures 15-22'!K219</f>
        <v>5217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8601</v>
      </c>
      <c r="C3225" s="2" t="s">
        <v>569</v>
      </c>
      <c r="D3225" s="2" t="str">
        <f t="shared" si="49"/>
        <v>Error?</v>
      </c>
    </row>
    <row r="3226" spans="1:4" x14ac:dyDescent="0.2">
      <c r="A3226" s="5">
        <v>3165</v>
      </c>
      <c r="B3226" s="1832">
        <f>'Acct Summary 7-8'!I8</f>
        <v>8601</v>
      </c>
      <c r="C3226" s="2" t="s">
        <v>569</v>
      </c>
      <c r="D3226" s="2" t="str">
        <f t="shared" si="49"/>
        <v>Error?</v>
      </c>
    </row>
    <row r="3227" spans="1:4" x14ac:dyDescent="0.2">
      <c r="A3227" s="5">
        <v>3166</v>
      </c>
      <c r="B3227" s="1832">
        <f>'Acct Summary 7-8'!I20</f>
        <v>8601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278407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205000</v>
      </c>
      <c r="C3237" s="2" t="s">
        <v>569</v>
      </c>
      <c r="D3237" s="2" t="str">
        <f t="shared" si="49"/>
        <v>Error?</v>
      </c>
    </row>
    <row r="3238" spans="1:4" x14ac:dyDescent="0.2">
      <c r="A3238" s="5">
        <v>3177</v>
      </c>
      <c r="B3238" s="1832">
        <f>'Acct Summary 7-8'!D77</f>
        <v>-205000</v>
      </c>
      <c r="C3238" s="2" t="s">
        <v>569</v>
      </c>
      <c r="D3238" s="2" t="str">
        <f t="shared" si="49"/>
        <v>Error?</v>
      </c>
    </row>
    <row r="3239" spans="1:4" x14ac:dyDescent="0.2">
      <c r="A3239" s="5">
        <v>3178</v>
      </c>
      <c r="B3239" s="1832">
        <f>'Acct Summary 7-8'!D78</f>
        <v>63085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56364</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13183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205000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205000</v>
      </c>
      <c r="C3277" s="2" t="s">
        <v>569</v>
      </c>
      <c r="D3277" s="2" t="str">
        <f t="shared" si="50"/>
        <v>Error?</v>
      </c>
    </row>
    <row r="3278" spans="1:4" x14ac:dyDescent="0.2">
      <c r="A3278" s="5">
        <v>3217</v>
      </c>
      <c r="B3278" s="1832">
        <f>'Acct Summary 7-8'!E78</f>
        <v>54490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-4469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8601</v>
      </c>
      <c r="C3320" s="2" t="s">
        <v>569</v>
      </c>
      <c r="D3320" s="2" t="str">
        <f t="shared" si="50"/>
        <v>Error?</v>
      </c>
    </row>
    <row r="3321" spans="1:4" x14ac:dyDescent="0.2">
      <c r="A3321" s="5">
        <v>3260</v>
      </c>
      <c r="B3321" s="1832">
        <f>'Acct Summary 7-8'!I79</f>
        <v>1443441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1452042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1427525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267288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8842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21907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2764</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253832</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1982158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58085</v>
      </c>
      <c r="D3387" s="2" t="str">
        <f t="shared" si="51"/>
        <v>Error?</v>
      </c>
    </row>
    <row r="3388" spans="1:4" x14ac:dyDescent="0.2">
      <c r="A3388" s="5">
        <v>3327</v>
      </c>
      <c r="B3388" s="1832">
        <f>'Expenditures 15-22'!D217</f>
        <v>116324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58085</v>
      </c>
      <c r="C3390" s="2" t="s">
        <v>569</v>
      </c>
      <c r="D3390" s="2" t="str">
        <f t="shared" si="51"/>
        <v>Error?</v>
      </c>
    </row>
    <row r="3391" spans="1:4" x14ac:dyDescent="0.2">
      <c r="A3391" s="5">
        <v>3330</v>
      </c>
      <c r="B3391" s="1832">
        <f>'Expenditures 15-22'!K217</f>
        <v>116324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3413065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711624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156207</v>
      </c>
      <c r="D3417" s="2" t="str">
        <f t="shared" si="52"/>
        <v>Error?</v>
      </c>
    </row>
    <row r="3418" spans="1:4" x14ac:dyDescent="0.2">
      <c r="A3418" s="10">
        <v>3357</v>
      </c>
      <c r="B3418" s="1832"/>
      <c r="D3418" s="2" t="str">
        <f t="shared" si="52"/>
        <v>OK</v>
      </c>
    </row>
    <row r="3419" spans="1:4" x14ac:dyDescent="0.2">
      <c r="A3419" s="5">
        <v>3358</v>
      </c>
      <c r="B3419" s="1832">
        <f>'Assets-Liab 5-6'!F4</f>
        <v>167594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104752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44353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153681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148470</v>
      </c>
      <c r="C3446" s="2" t="s">
        <v>569</v>
      </c>
      <c r="D3446" s="2" t="str">
        <f t="shared" si="52"/>
        <v>Error?</v>
      </c>
    </row>
    <row r="3447" spans="1:4" x14ac:dyDescent="0.2">
      <c r="A3447" s="5">
        <v>3386</v>
      </c>
      <c r="B3447" s="1832">
        <f>'Tax Sched 23'!D16</f>
        <v>148470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170724</v>
      </c>
      <c r="C3449" s="2" t="s">
        <v>569</v>
      </c>
      <c r="D3449" s="2" t="str">
        <f t="shared" si="52"/>
        <v>Error?</v>
      </c>
    </row>
    <row r="3450" spans="1:4" x14ac:dyDescent="0.2">
      <c r="A3450" s="5">
        <v>3389</v>
      </c>
      <c r="B3450" s="1832">
        <f>'Tax Sched 23'!E16</f>
        <v>170724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45576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53243</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98819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98819</v>
      </c>
      <c r="D3567" s="2" t="str">
        <f t="shared" si="54"/>
        <v>Error?</v>
      </c>
    </row>
    <row r="3568" spans="1:4" x14ac:dyDescent="0.2">
      <c r="A3568" s="5">
        <v>3507</v>
      </c>
      <c r="B3568" s="1832">
        <f>'Assets-Liab 5-6'!K41</f>
        <v>98819</v>
      </c>
      <c r="C3568" s="2" t="s">
        <v>569</v>
      </c>
      <c r="D3568" s="2" t="str">
        <f t="shared" si="54"/>
        <v>Error?</v>
      </c>
    </row>
    <row r="3569" spans="1:4" x14ac:dyDescent="0.2">
      <c r="A3569" s="5">
        <v>3508</v>
      </c>
      <c r="B3569" s="1832">
        <f>'Acct Summary 7-8'!K4</f>
        <v>45209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45209</v>
      </c>
      <c r="C3571" s="2" t="s">
        <v>569</v>
      </c>
      <c r="D3571" s="2" t="str">
        <f t="shared" si="54"/>
        <v>Error?</v>
      </c>
    </row>
    <row r="3572" spans="1:4" x14ac:dyDescent="0.2">
      <c r="A3572" s="5">
        <v>3511</v>
      </c>
      <c r="B3572" s="1832">
        <f>'Acct Summary 7-8'!K13</f>
        <v>11963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11963</v>
      </c>
      <c r="C3575" s="2" t="s">
        <v>569</v>
      </c>
      <c r="D3575" s="2" t="str">
        <f t="shared" si="54"/>
        <v>Error?</v>
      </c>
    </row>
    <row r="3576" spans="1:4" x14ac:dyDescent="0.2">
      <c r="A3576" s="5">
        <v>3515</v>
      </c>
      <c r="B3576" s="1832">
        <f>'Acct Summary 7-8'!K20</f>
        <v>33246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33246</v>
      </c>
      <c r="C3588" s="2" t="s">
        <v>569</v>
      </c>
      <c r="D3588" s="2" t="str">
        <f t="shared" si="55"/>
        <v>Error?</v>
      </c>
    </row>
    <row r="3589" spans="1:4" x14ac:dyDescent="0.2">
      <c r="A3589" s="5">
        <v>3528</v>
      </c>
      <c r="B3589" s="1832">
        <f>'Acct Summary 7-8'!K79</f>
        <v>65573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98819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1725</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1725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1725</v>
      </c>
      <c r="C3635" s="2" t="s">
        <v>569</v>
      </c>
      <c r="D3635" s="2" t="str">
        <f t="shared" si="55"/>
        <v>Error?</v>
      </c>
    </row>
    <row r="3636" spans="1:4" x14ac:dyDescent="0.2">
      <c r="A3636" s="5">
        <v>3575</v>
      </c>
      <c r="B3636" s="1832">
        <f>'Expenditures 15-22'!E367</f>
        <v>1725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634</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634</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634</v>
      </c>
      <c r="C3642" s="2" t="s">
        <v>569</v>
      </c>
      <c r="D3642" s="2" t="str">
        <f t="shared" si="55"/>
        <v>Error?</v>
      </c>
    </row>
    <row r="3643" spans="1:4" x14ac:dyDescent="0.2">
      <c r="A3643" s="5">
        <v>3582</v>
      </c>
      <c r="B3643" s="1832">
        <f>'Expenditures 15-22'!F367</f>
        <v>634</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9604</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9604</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9604</v>
      </c>
      <c r="C3649" s="2" t="s">
        <v>569</v>
      </c>
      <c r="D3649" s="2" t="str">
        <f t="shared" si="56"/>
        <v>Error?</v>
      </c>
    </row>
    <row r="3650" spans="1:4" x14ac:dyDescent="0.2">
      <c r="A3650" s="5">
        <v>3589</v>
      </c>
      <c r="B3650" s="1832">
        <f>'Expenditures 15-22'!G367</f>
        <v>9604</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11963</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11963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11963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11963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33246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643525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5106208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16974771</v>
      </c>
      <c r="C4122" s="2" t="s">
        <v>569</v>
      </c>
      <c r="D4122" s="2" t="str">
        <f t="shared" si="63"/>
        <v>Error?</v>
      </c>
    </row>
    <row r="4123" spans="1:4" x14ac:dyDescent="0.2">
      <c r="A4123" s="5">
        <v>4062</v>
      </c>
      <c r="B4123" s="1832">
        <f>'Acct Summary 7-8'!D10</f>
        <v>1055067</v>
      </c>
      <c r="C4123" s="2" t="s">
        <v>569</v>
      </c>
      <c r="D4123" s="2" t="str">
        <f t="shared" si="63"/>
        <v>Error?</v>
      </c>
    </row>
    <row r="4124" spans="1:4" x14ac:dyDescent="0.2">
      <c r="A4124" s="5">
        <v>4063</v>
      </c>
      <c r="B4124" s="1832">
        <f>'Acct Summary 7-8'!E10</f>
        <v>547973</v>
      </c>
      <c r="C4124" s="2" t="s">
        <v>569</v>
      </c>
      <c r="D4124" s="2" t="str">
        <f t="shared" si="63"/>
        <v>Error?</v>
      </c>
    </row>
    <row r="4125" spans="1:4" x14ac:dyDescent="0.2">
      <c r="A4125" s="5">
        <v>4064</v>
      </c>
      <c r="B4125" s="1832">
        <f>'Acct Summary 7-8'!F10</f>
        <v>353458</v>
      </c>
      <c r="C4125" s="2" t="s">
        <v>569</v>
      </c>
      <c r="D4125" s="2" t="str">
        <f t="shared" si="63"/>
        <v>Error?</v>
      </c>
    </row>
    <row r="4126" spans="1:4" x14ac:dyDescent="0.2">
      <c r="A4126" s="5">
        <v>4065</v>
      </c>
      <c r="B4126" s="1832">
        <f>'Acct Summary 7-8'!G10</f>
        <v>420821</v>
      </c>
      <c r="C4126" s="2" t="s">
        <v>569</v>
      </c>
      <c r="D4126" s="2" t="str">
        <f t="shared" si="63"/>
        <v>Error?</v>
      </c>
    </row>
    <row r="4127" spans="1:4" x14ac:dyDescent="0.2">
      <c r="A4127" s="5">
        <v>4066</v>
      </c>
      <c r="B4127" s="1832">
        <f>'Acct Summary 7-8'!H10</f>
        <v>1</v>
      </c>
      <c r="C4127" s="2" t="s">
        <v>569</v>
      </c>
      <c r="D4127" s="2" t="str">
        <f t="shared" si="63"/>
        <v>Error?</v>
      </c>
    </row>
    <row r="4128" spans="1:4" x14ac:dyDescent="0.2">
      <c r="A4128" s="5">
        <v>4067</v>
      </c>
      <c r="B4128" s="1832">
        <f>'Acct Summary 7-8'!I10</f>
        <v>8601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45209</v>
      </c>
      <c r="C4130" s="2" t="s">
        <v>569</v>
      </c>
      <c r="D4130" s="2" t="str">
        <f t="shared" si="63"/>
        <v>Error?</v>
      </c>
    </row>
    <row r="4131" spans="1:4" x14ac:dyDescent="0.2">
      <c r="A4131" s="5">
        <v>4070</v>
      </c>
      <c r="B4131" s="1832">
        <f>'Acct Summary 7-8'!C18</f>
        <v>5106208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16696364</v>
      </c>
      <c r="C4136" s="2" t="s">
        <v>569</v>
      </c>
      <c r="D4136" s="2" t="str">
        <f t="shared" si="63"/>
        <v>Error?</v>
      </c>
    </row>
    <row r="4137" spans="1:4" x14ac:dyDescent="0.2">
      <c r="A4137" s="5">
        <v>4076</v>
      </c>
      <c r="B4137" s="1832">
        <f>'Acct Summary 7-8'!D19</f>
        <v>786982</v>
      </c>
      <c r="C4137" s="2" t="s">
        <v>569</v>
      </c>
      <c r="D4137" s="2" t="str">
        <f t="shared" si="63"/>
        <v>Error?</v>
      </c>
    </row>
    <row r="4138" spans="1:4" x14ac:dyDescent="0.2">
      <c r="A4138" s="5">
        <v>4077</v>
      </c>
      <c r="B4138" s="1832">
        <f>'Acct Summary 7-8'!E19</f>
        <v>698483</v>
      </c>
      <c r="C4138" s="2" t="s">
        <v>569</v>
      </c>
      <c r="D4138" s="2" t="str">
        <f t="shared" si="63"/>
        <v>Error?</v>
      </c>
    </row>
    <row r="4139" spans="1:4" x14ac:dyDescent="0.2">
      <c r="A4139" s="5">
        <v>4078</v>
      </c>
      <c r="B4139" s="1832">
        <f>'Acct Summary 7-8'!F19</f>
        <v>297094</v>
      </c>
      <c r="C4139" s="2" t="s">
        <v>569</v>
      </c>
      <c r="D4139" s="2" t="str">
        <f t="shared" si="63"/>
        <v>Error?</v>
      </c>
    </row>
    <row r="4140" spans="1:4" x14ac:dyDescent="0.2">
      <c r="A4140" s="5">
        <v>4079</v>
      </c>
      <c r="B4140" s="1832">
        <f>'Acct Summary 7-8'!G19</f>
        <v>407638</v>
      </c>
      <c r="C4140" s="2" t="s">
        <v>569</v>
      </c>
      <c r="D4140" s="2" t="str">
        <f t="shared" si="63"/>
        <v>Error?</v>
      </c>
    </row>
    <row r="4141" spans="1:4" x14ac:dyDescent="0.2">
      <c r="A4141" s="5">
        <v>4080</v>
      </c>
      <c r="B4141" s="1832">
        <f>'Acct Summary 7-8'!H19</f>
        <v>4470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11963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8445000</v>
      </c>
      <c r="C4171" s="2" t="s">
        <v>569</v>
      </c>
      <c r="D4171" s="2" t="str">
        <f t="shared" si="64"/>
        <v>Error?</v>
      </c>
    </row>
    <row r="4172" spans="1:4" x14ac:dyDescent="0.2">
      <c r="A4172" s="5">
        <v>4111</v>
      </c>
      <c r="B4172" s="1832">
        <f>'Short-Term Long-Term Debt 24'!J49</f>
        <v>8288600</v>
      </c>
      <c r="C4172" s="2" t="s">
        <v>569</v>
      </c>
      <c r="D4172" s="2" t="str">
        <f t="shared" si="64"/>
        <v>Error?</v>
      </c>
    </row>
    <row r="4173" spans="1:4" x14ac:dyDescent="0.2">
      <c r="A4173" s="5">
        <v>4112</v>
      </c>
      <c r="B4173" s="1832">
        <f>'Short-Term Long-Term Debt 24'!H49</f>
        <v>285000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2764.02</v>
      </c>
      <c r="C4265" s="2" t="s">
        <v>569</v>
      </c>
      <c r="D4265" s="2" t="str">
        <f t="shared" si="65"/>
        <v>Error?</v>
      </c>
      <c r="E4265" s="125"/>
    </row>
    <row r="4266" spans="1:5" x14ac:dyDescent="0.2">
      <c r="A4266" s="12">
        <v>4205</v>
      </c>
      <c r="B4266" s="1832">
        <f>('FP Info 3'!F10)*100000</f>
        <v>341.47</v>
      </c>
      <c r="C4266" s="2" t="s">
        <v>569</v>
      </c>
      <c r="D4266" s="2" t="str">
        <f t="shared" si="65"/>
        <v>Error?</v>
      </c>
      <c r="E4266" s="125"/>
    </row>
    <row r="4267" spans="1:5" x14ac:dyDescent="0.2">
      <c r="A4267" s="12">
        <v>4206</v>
      </c>
      <c r="B4267" s="1832">
        <f>('FP Info 3'!H10)*100000</f>
        <v>86.78</v>
      </c>
      <c r="C4267" s="2" t="s">
        <v>569</v>
      </c>
      <c r="D4267" s="2" t="str">
        <f t="shared" si="65"/>
        <v>Error?</v>
      </c>
      <c r="E4267" s="125"/>
    </row>
    <row r="4268" spans="1:5" x14ac:dyDescent="0.2">
      <c r="A4268" s="12">
        <v>4207</v>
      </c>
      <c r="B4268" s="1832">
        <f>('FP Info 3'!J10)*100000</f>
        <v>3191.9999999999995</v>
      </c>
      <c r="C4268" s="2" t="s">
        <v>569</v>
      </c>
      <c r="D4268" s="2" t="str">
        <f t="shared" si="65"/>
        <v>Error?</v>
      </c>
    </row>
    <row r="4269" spans="1:5" x14ac:dyDescent="0.2">
      <c r="A4269" s="12">
        <v>4208</v>
      </c>
      <c r="B4269" s="1832">
        <f>'FP Info 3'!J16</f>
        <v>10300479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45261</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38252</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3427</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23041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49851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11668</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11668</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40241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69717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3144</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121407942</v>
      </c>
      <c r="D4995" s="2" t="str">
        <f t="shared" si="77"/>
        <v>Error?</v>
      </c>
    </row>
    <row r="4996" spans="1:4" x14ac:dyDescent="0.2">
      <c r="A4996" s="12">
        <v>4935</v>
      </c>
      <c r="B4996" s="1832">
        <f>'FP Info 3'!H31</f>
        <v>8377147.9980000006</v>
      </c>
      <c r="D4996" s="2" t="str">
        <f t="shared" si="77"/>
        <v>Error?</v>
      </c>
    </row>
    <row r="4997" spans="1:4" x14ac:dyDescent="0.2">
      <c r="A4997" s="12">
        <v>4936</v>
      </c>
      <c r="B4997" s="1832">
        <f>'FP Info 3'!H37</f>
        <v>8445000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3242045</v>
      </c>
      <c r="D5061" s="2" t="str">
        <f t="shared" si="78"/>
        <v>Error?</v>
      </c>
    </row>
    <row r="5062" spans="1:4" x14ac:dyDescent="0.2">
      <c r="A5062" s="10">
        <v>5001</v>
      </c>
      <c r="B5062" s="1832"/>
      <c r="D5062" s="2" t="str">
        <f t="shared" si="78"/>
        <v>OK</v>
      </c>
    </row>
    <row r="5063" spans="1:4" x14ac:dyDescent="0.2">
      <c r="A5063" s="5">
        <v>5002</v>
      </c>
      <c r="B5063" s="1832">
        <f>'Revenues 9-14'!C7</f>
        <v>22772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3264817</v>
      </c>
      <c r="C5066" s="2" t="s">
        <v>569</v>
      </c>
      <c r="D5066" s="2" t="str">
        <f t="shared" si="78"/>
        <v>Error?</v>
      </c>
    </row>
    <row r="5067" spans="1:4" x14ac:dyDescent="0.2">
      <c r="A5067" s="5">
        <v>5006</v>
      </c>
      <c r="B5067" s="1832">
        <f>'Revenues 9-14'!C14</f>
        <v>5009</v>
      </c>
      <c r="D5067" s="2" t="str">
        <f t="shared" si="78"/>
        <v>Error?</v>
      </c>
    </row>
    <row r="5068" spans="1:4" x14ac:dyDescent="0.2">
      <c r="A5068" s="5">
        <v>5007</v>
      </c>
      <c r="B5068" s="1832">
        <f>'Revenues 9-14'!C15</f>
        <v>8237</v>
      </c>
      <c r="D5068" s="2" t="str">
        <f t="shared" si="78"/>
        <v>Error?</v>
      </c>
    </row>
    <row r="5069" spans="1:4" x14ac:dyDescent="0.2">
      <c r="A5069" s="5">
        <v>5008</v>
      </c>
      <c r="B5069" s="1832">
        <f>'Revenues 9-14'!C16</f>
        <v>213930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227176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165118</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165118</v>
      </c>
      <c r="C5087" s="2" t="s">
        <v>569</v>
      </c>
      <c r="D5087" s="2" t="str">
        <f t="shared" si="78"/>
        <v>Error?</v>
      </c>
    </row>
    <row r="5088" spans="1:4" x14ac:dyDescent="0.2">
      <c r="A5088" s="5">
        <v>5027</v>
      </c>
      <c r="B5088" s="1832">
        <f>'Revenues 9-14'!C65</f>
        <v>33312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33312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1726</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5260</v>
      </c>
      <c r="D5094" s="2" t="str">
        <f t="shared" si="78"/>
        <v>Error?</v>
      </c>
    </row>
    <row r="5095" spans="1:4" x14ac:dyDescent="0.2">
      <c r="A5095" s="5">
        <v>5034</v>
      </c>
      <c r="B5095" s="1832">
        <f>'Revenues 9-14'!C74</f>
        <v>938</v>
      </c>
      <c r="D5095" s="2" t="str">
        <f t="shared" si="78"/>
        <v>Error?</v>
      </c>
    </row>
    <row r="5096" spans="1:4" x14ac:dyDescent="0.2">
      <c r="A5096" s="5">
        <v>5035</v>
      </c>
      <c r="B5096" s="1832">
        <f>'Revenues 9-14'!C75</f>
        <v>7924</v>
      </c>
      <c r="C5096" s="2" t="s">
        <v>569</v>
      </c>
      <c r="D5096" s="2" t="str">
        <f t="shared" si="78"/>
        <v>Error?</v>
      </c>
    </row>
    <row r="5097" spans="1:4" x14ac:dyDescent="0.2">
      <c r="A5097" s="5">
        <v>5036</v>
      </c>
      <c r="B5097" s="1832">
        <f>'Revenues 9-14'!C77</f>
        <v>12373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9022</v>
      </c>
      <c r="D5099" s="2" t="str">
        <f t="shared" si="78"/>
        <v>Error?</v>
      </c>
    </row>
    <row r="5100" spans="1:4" x14ac:dyDescent="0.2">
      <c r="A5100" s="5">
        <v>5039</v>
      </c>
      <c r="B5100" s="1832">
        <f>'Revenues 9-14'!C80</f>
        <v>1237</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22632</v>
      </c>
      <c r="C5102" s="2" t="s">
        <v>569</v>
      </c>
      <c r="D5102" s="2" t="str">
        <f t="shared" si="78"/>
        <v>Error?</v>
      </c>
    </row>
    <row r="5103" spans="1:4" x14ac:dyDescent="0.2">
      <c r="A5103" s="5">
        <v>5042</v>
      </c>
      <c r="B5103" s="1832">
        <f>'Revenues 9-14'!C84</f>
        <v>21308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21308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275373</v>
      </c>
      <c r="D5114" s="2" t="str">
        <f t="shared" si="78"/>
        <v>Error?</v>
      </c>
    </row>
    <row r="5115" spans="1:4" x14ac:dyDescent="0.2">
      <c r="A5115" s="5">
        <v>5054</v>
      </c>
      <c r="B5115" s="1832">
        <f>'Revenues 9-14'!C98</f>
        <v>25605</v>
      </c>
      <c r="D5115" s="2" t="str">
        <f t="shared" si="78"/>
        <v>Error?</v>
      </c>
    </row>
    <row r="5116" spans="1:4" x14ac:dyDescent="0.2">
      <c r="A5116" s="5">
        <v>5055</v>
      </c>
      <c r="B5116" s="1832">
        <f>'Revenues 9-14'!C99</f>
        <v>3157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1764</v>
      </c>
      <c r="D5119" s="2" t="str">
        <f t="shared" ref="D5119:D5182" si="79">IF(ISBLANK(B5119),"OK",IF(A5119-B5119=0,"OK","Error?"))</f>
        <v>Error?</v>
      </c>
    </row>
    <row r="5120" spans="1:4" x14ac:dyDescent="0.2">
      <c r="A5120" s="5">
        <v>5059</v>
      </c>
      <c r="B5120" s="1832">
        <f>'Revenues 9-14'!C108</f>
        <v>306013</v>
      </c>
      <c r="C5120" s="2" t="s">
        <v>569</v>
      </c>
      <c r="D5120" s="2" t="str">
        <f t="shared" si="79"/>
        <v>Error?</v>
      </c>
    </row>
    <row r="5121" spans="1:4" x14ac:dyDescent="0.2">
      <c r="A5121" s="5">
        <v>5060</v>
      </c>
      <c r="B5121" s="1832">
        <f>'Revenues 9-14'!C109</f>
        <v>4048300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5718811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5718811</v>
      </c>
      <c r="C5132" s="2" t="s">
        <v>569</v>
      </c>
      <c r="D5132" s="2" t="str">
        <f t="shared" si="79"/>
        <v>Error?</v>
      </c>
    </row>
    <row r="5133" spans="1:4" x14ac:dyDescent="0.2">
      <c r="A5133" s="5">
        <v>5072</v>
      </c>
      <c r="B5133" s="1832">
        <f>'Revenues 9-14'!C125</f>
        <v>84392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65838</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150230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10307</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131221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294902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6013713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431055</v>
      </c>
      <c r="D5239" s="2" t="str">
        <f t="shared" si="80"/>
        <v>Error?</v>
      </c>
    </row>
    <row r="5240" spans="1:4" x14ac:dyDescent="0.2">
      <c r="A5240" s="5">
        <v>5179</v>
      </c>
      <c r="B5240" s="1832">
        <f>'Revenues 9-14'!C192</f>
        <v>1224</v>
      </c>
      <c r="D5240" s="2" t="str">
        <f t="shared" si="80"/>
        <v>Error?</v>
      </c>
    </row>
    <row r="5241" spans="1:4" x14ac:dyDescent="0.2">
      <c r="A5241" s="5">
        <v>5180</v>
      </c>
      <c r="B5241" s="1832">
        <f>'Revenues 9-14'!C193</f>
        <v>165895</v>
      </c>
      <c r="D5241" s="2" t="str">
        <f t="shared" si="80"/>
        <v>Error?</v>
      </c>
    </row>
    <row r="5242" spans="1:4" x14ac:dyDescent="0.2">
      <c r="A5242" s="5">
        <v>5181</v>
      </c>
      <c r="B5242" s="1832">
        <f>'Revenues 9-14'!C194</f>
        <v>238539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849393</v>
      </c>
      <c r="C5246" s="2" t="s">
        <v>569</v>
      </c>
      <c r="D5246" s="2" t="str">
        <f t="shared" si="80"/>
        <v>Error?</v>
      </c>
    </row>
    <row r="5247" spans="1:4" x14ac:dyDescent="0.2">
      <c r="A5247" s="5">
        <v>5186</v>
      </c>
      <c r="B5247" s="1832">
        <f>'Revenues 9-14'!C200</f>
        <v>444798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40241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483050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17911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261678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279589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1806550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1806550</v>
      </c>
      <c r="C5326" s="2" t="s">
        <v>569</v>
      </c>
      <c r="D5326" s="2" t="str">
        <f t="shared" si="82"/>
        <v>Error?</v>
      </c>
    </row>
    <row r="5327" spans="1:5" x14ac:dyDescent="0.2">
      <c r="A5327" s="5">
        <v>5266</v>
      </c>
      <c r="B5327" s="1832">
        <f>'Revenues 9-14'!C268</f>
        <v>11868563</v>
      </c>
      <c r="C5327" s="2" t="s">
        <v>569</v>
      </c>
      <c r="D5327" s="2" t="str">
        <f t="shared" si="82"/>
        <v>Error?</v>
      </c>
    </row>
    <row r="5328" spans="1:5" x14ac:dyDescent="0.2">
      <c r="A5328" s="5">
        <v>5267</v>
      </c>
      <c r="B5328" s="1832">
        <f>'Revenues 9-14'!D5</f>
        <v>421154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421154</v>
      </c>
      <c r="C5334" s="2" t="s">
        <v>569</v>
      </c>
      <c r="D5334" s="2" t="str">
        <f t="shared" si="82"/>
        <v>Error?</v>
      </c>
    </row>
    <row r="5335" spans="1:4" x14ac:dyDescent="0.2">
      <c r="A5335" s="5">
        <v>5274</v>
      </c>
      <c r="B5335" s="1832">
        <f>'Revenues 9-14'!D14</f>
        <v>646</v>
      </c>
      <c r="D5335" s="2" t="str">
        <f t="shared" si="82"/>
        <v>Error?</v>
      </c>
    </row>
    <row r="5336" spans="1:4" x14ac:dyDescent="0.2">
      <c r="A5336" s="5">
        <v>5275</v>
      </c>
      <c r="B5336" s="1832">
        <f>'Revenues 9-14'!D15</f>
        <v>1063</v>
      </c>
      <c r="D5336" s="2" t="str">
        <f t="shared" si="82"/>
        <v>Error?</v>
      </c>
    </row>
    <row r="5337" spans="1:4" x14ac:dyDescent="0.2">
      <c r="A5337" s="5">
        <v>5276</v>
      </c>
      <c r="B5337" s="1832">
        <f>'Revenues 9-14'!D16</f>
        <v>21885</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23594</v>
      </c>
      <c r="C5339" s="2" t="s">
        <v>569</v>
      </c>
      <c r="D5339" s="2" t="str">
        <f t="shared" si="82"/>
        <v>Error?</v>
      </c>
    </row>
    <row r="5340" spans="1:4" x14ac:dyDescent="0.2">
      <c r="A5340" s="5">
        <v>5279</v>
      </c>
      <c r="B5340" s="1832">
        <f>'Revenues 9-14'!D65</f>
        <v>2674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2674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53</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503</v>
      </c>
      <c r="C5355" s="2" t="s">
        <v>569</v>
      </c>
      <c r="D5355" s="2" t="str">
        <f t="shared" si="82"/>
        <v>Error?</v>
      </c>
    </row>
    <row r="5356" spans="1:4" x14ac:dyDescent="0.2">
      <c r="A5356" s="5">
        <v>5295</v>
      </c>
      <c r="B5356" s="1832">
        <f>'Revenues 9-14'!D109</f>
        <v>447925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561881</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561881</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45261</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607142</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1055067</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248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248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547725</v>
      </c>
      <c r="C5526" s="2" t="s">
        <v>569</v>
      </c>
      <c r="D5526" s="2" t="str">
        <f t="shared" si="85"/>
        <v>Error?</v>
      </c>
    </row>
    <row r="5527" spans="1:4" x14ac:dyDescent="0.2">
      <c r="A5527" s="5">
        <v>5466</v>
      </c>
      <c r="B5527" s="1832">
        <f>'Revenues 9-14'!E109</f>
        <v>547973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547973</v>
      </c>
      <c r="C5552" s="2" t="s">
        <v>569</v>
      </c>
      <c r="D5552" s="2" t="str">
        <f t="shared" si="85"/>
        <v>Error?</v>
      </c>
    </row>
    <row r="5553" spans="1:4" x14ac:dyDescent="0.2">
      <c r="A5553" s="5">
        <v>5492</v>
      </c>
      <c r="B5553" s="1832">
        <f>'Revenues 9-14'!F5</f>
        <v>103938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103938</v>
      </c>
      <c r="C5557" s="2" t="s">
        <v>569</v>
      </c>
      <c r="D5557" s="2" t="str">
        <f t="shared" si="85"/>
        <v>Error?</v>
      </c>
    </row>
    <row r="5558" spans="1:4" x14ac:dyDescent="0.2">
      <c r="A5558" s="5">
        <v>5497</v>
      </c>
      <c r="B5558" s="1832">
        <f>'Revenues 9-14'!F14</f>
        <v>159</v>
      </c>
      <c r="D5558" s="2" t="str">
        <f t="shared" si="85"/>
        <v>Error?</v>
      </c>
    </row>
    <row r="5559" spans="1:4" x14ac:dyDescent="0.2">
      <c r="A5559" s="5">
        <v>5498</v>
      </c>
      <c r="B5559" s="1832">
        <f>'Revenues 9-14'!F15</f>
        <v>262</v>
      </c>
      <c r="D5559" s="2" t="str">
        <f t="shared" si="85"/>
        <v>Error?</v>
      </c>
    </row>
    <row r="5560" spans="1:4" x14ac:dyDescent="0.2">
      <c r="A5560" s="5">
        <v>5499</v>
      </c>
      <c r="B5560" s="1832">
        <f>'Revenues 9-14'!F16</f>
        <v>96798</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97219</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2796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2796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203953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18711</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18711</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117367</v>
      </c>
      <c r="D5617" s="2" t="str">
        <f t="shared" si="86"/>
        <v>Error?</v>
      </c>
    </row>
    <row r="5618" spans="1:5" x14ac:dyDescent="0.2">
      <c r="A5618" s="5">
        <v>5557</v>
      </c>
      <c r="B5618" s="1832">
        <f>'Revenues 9-14'!F155</f>
        <v>117367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136078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146078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3427</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3427</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3427</v>
      </c>
      <c r="C5719" s="2" t="s">
        <v>569</v>
      </c>
      <c r="D5719" s="2" t="str">
        <f t="shared" si="88"/>
        <v>Error?</v>
      </c>
    </row>
    <row r="5720" spans="1:4" x14ac:dyDescent="0.2">
      <c r="A5720" s="5">
        <v>5659</v>
      </c>
      <c r="B5720" s="1832">
        <f>'Revenues 9-14'!F268</f>
        <v>353458</v>
      </c>
      <c r="C5720" s="2" t="s">
        <v>569</v>
      </c>
      <c r="D5720" s="2" t="str">
        <f t="shared" si="88"/>
        <v>Error?</v>
      </c>
    </row>
    <row r="5721" spans="1:4" x14ac:dyDescent="0.2">
      <c r="A5721" s="5">
        <v>5660</v>
      </c>
      <c r="B5721" s="1832">
        <f>'Revenues 9-14'!G5</f>
        <v>148470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148470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296940</v>
      </c>
      <c r="C5725" s="2" t="s">
        <v>569</v>
      </c>
      <c r="D5725" s="2" t="str">
        <f t="shared" si="88"/>
        <v>Error?</v>
      </c>
    </row>
    <row r="5726" spans="1:4" x14ac:dyDescent="0.2">
      <c r="A5726" s="5">
        <v>5665</v>
      </c>
      <c r="B5726" s="1832">
        <f>'Revenues 9-14'!G14</f>
        <v>456</v>
      </c>
      <c r="D5726" s="2" t="str">
        <f t="shared" si="88"/>
        <v>Error?</v>
      </c>
    </row>
    <row r="5727" spans="1:4" x14ac:dyDescent="0.2">
      <c r="A5727" s="5">
        <v>5666</v>
      </c>
      <c r="B5727" s="1832">
        <f>'Revenues 9-14'!G15</f>
        <v>749</v>
      </c>
      <c r="D5727" s="2" t="str">
        <f t="shared" si="88"/>
        <v>Error?</v>
      </c>
    </row>
    <row r="5728" spans="1:4" x14ac:dyDescent="0.2">
      <c r="A5728" s="5">
        <v>5667</v>
      </c>
      <c r="B5728" s="1832">
        <f>'Revenues 9-14'!G16</f>
        <v>120741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121946</v>
      </c>
      <c r="C5730" s="2" t="s">
        <v>569</v>
      </c>
      <c r="D5730" s="2" t="str">
        <f t="shared" si="88"/>
        <v>Error?</v>
      </c>
    </row>
    <row r="5731" spans="1:4" x14ac:dyDescent="0.2">
      <c r="A5731" s="5">
        <v>5670</v>
      </c>
      <c r="B5731" s="1832">
        <f>'Revenues 9-14'!G65</f>
        <v>1935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1935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420821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8601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8601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8601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44545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44545</v>
      </c>
      <c r="C5987" s="2" t="s">
        <v>569</v>
      </c>
      <c r="D5987" s="2" t="str">
        <f t="shared" si="92"/>
        <v>Error?</v>
      </c>
    </row>
    <row r="5988" spans="1:4" x14ac:dyDescent="0.2">
      <c r="A5988" s="5">
        <v>5927</v>
      </c>
      <c r="B5988" s="1832">
        <f>'Revenues 9-14'!K14</f>
        <v>68</v>
      </c>
      <c r="D5988" s="2" t="str">
        <f t="shared" si="92"/>
        <v>Error?</v>
      </c>
    </row>
    <row r="5989" spans="1:4" x14ac:dyDescent="0.2">
      <c r="A5989" s="5">
        <v>5928</v>
      </c>
      <c r="B5989" s="1832">
        <f>'Revenues 9-14'!K15</f>
        <v>112</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180</v>
      </c>
      <c r="C5992" s="2" t="s">
        <v>569</v>
      </c>
      <c r="D5992" s="2" t="str">
        <f t="shared" si="92"/>
        <v>Error?</v>
      </c>
    </row>
    <row r="5993" spans="1:4" x14ac:dyDescent="0.2">
      <c r="A5993" s="5">
        <v>5932</v>
      </c>
      <c r="B5993" s="1832">
        <f>'Revenues 9-14'!K65</f>
        <v>484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484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45209</v>
      </c>
      <c r="C6023" s="2" t="s">
        <v>569</v>
      </c>
      <c r="D6023" s="2" t="str">
        <f t="shared" si="93"/>
        <v>Error?</v>
      </c>
    </row>
    <row r="6024" spans="1:5" x14ac:dyDescent="0.2">
      <c r="A6024" s="5">
        <v>5963</v>
      </c>
      <c r="B6024" s="1832">
        <f>'Revenues 9-14'!G109</f>
        <v>420821</v>
      </c>
      <c r="C6024" s="2" t="s">
        <v>569</v>
      </c>
      <c r="D6024" s="2" t="str">
        <f t="shared" si="93"/>
        <v>Error?</v>
      </c>
    </row>
    <row r="6025" spans="1:5" x14ac:dyDescent="0.2">
      <c r="A6025" s="5">
        <v>5964</v>
      </c>
      <c r="B6025" s="1832">
        <f>'Revenues 9-14'!H109</f>
        <v>1</v>
      </c>
      <c r="C6025" s="2" t="s">
        <v>569</v>
      </c>
      <c r="D6025" s="2" t="str">
        <f t="shared" si="93"/>
        <v>Error?</v>
      </c>
    </row>
    <row r="6026" spans="1:5" x14ac:dyDescent="0.2">
      <c r="A6026" s="5">
        <v>5965</v>
      </c>
      <c r="B6026" s="1832">
        <f>'Revenues 9-14'!I109</f>
        <v>8601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45209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65930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1105.0999999999999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278407</v>
      </c>
      <c r="D6267" s="2" t="str">
        <f t="shared" si="96"/>
        <v>Error?</v>
      </c>
      <c r="E6267" s="2" t="s">
        <v>189</v>
      </c>
    </row>
    <row r="6268" spans="1:5" x14ac:dyDescent="0.2">
      <c r="A6268">
        <v>6207</v>
      </c>
      <c r="B6268" s="1832">
        <f>'Acct Summary 7-8'!D82</f>
        <v>63085</v>
      </c>
      <c r="D6268" s="2" t="str">
        <f t="shared" si="96"/>
        <v>Error?</v>
      </c>
      <c r="E6268" s="2" t="s">
        <v>189</v>
      </c>
    </row>
    <row r="6269" spans="1:5" x14ac:dyDescent="0.2">
      <c r="A6269">
        <v>6208</v>
      </c>
      <c r="B6269" s="1832">
        <f>'Acct Summary 7-8'!E82</f>
        <v>54490</v>
      </c>
      <c r="D6269" s="2" t="str">
        <f t="shared" si="96"/>
        <v>Error?</v>
      </c>
      <c r="E6269" s="2" t="s">
        <v>189</v>
      </c>
    </row>
    <row r="6270" spans="1:5" x14ac:dyDescent="0.2">
      <c r="A6270">
        <v>6209</v>
      </c>
      <c r="B6270" s="1832">
        <f>'Acct Summary 7-8'!F82</f>
        <v>56364</v>
      </c>
      <c r="D6270" s="2" t="str">
        <f t="shared" si="96"/>
        <v>Error?</v>
      </c>
      <c r="E6270" s="2" t="s">
        <v>189</v>
      </c>
    </row>
    <row r="6271" spans="1:5" x14ac:dyDescent="0.2">
      <c r="A6271">
        <v>6210</v>
      </c>
      <c r="B6271" s="1832">
        <f>'Acct Summary 7-8'!G82</f>
        <v>13183</v>
      </c>
      <c r="D6271" s="2" t="str">
        <f t="shared" ref="D6271:D6334" si="97">IF(ISBLANK(B6271),"OK",IF(A6271-B6271=0,"OK","Error?"))</f>
        <v>Error?</v>
      </c>
      <c r="E6271" s="2" t="s">
        <v>189</v>
      </c>
    </row>
    <row r="6272" spans="1:5" x14ac:dyDescent="0.2">
      <c r="A6272">
        <v>6211</v>
      </c>
      <c r="B6272" s="1832">
        <f>'Acct Summary 7-8'!H82</f>
        <v>-4469</v>
      </c>
      <c r="D6272" s="2" t="str">
        <f t="shared" si="97"/>
        <v>Error?</v>
      </c>
      <c r="E6272" s="2" t="s">
        <v>189</v>
      </c>
    </row>
    <row r="6273" spans="1:5" x14ac:dyDescent="0.2">
      <c r="A6273">
        <v>6212</v>
      </c>
      <c r="B6273" s="1832">
        <f>'Acct Summary 7-8'!I82</f>
        <v>8601</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33246</v>
      </c>
      <c r="D6275" s="2" t="str">
        <f t="shared" si="97"/>
        <v>Error?</v>
      </c>
      <c r="E6275" s="2" t="s">
        <v>189</v>
      </c>
    </row>
    <row r="6276" spans="1:5" x14ac:dyDescent="0.2">
      <c r="A6276">
        <v>6215</v>
      </c>
      <c r="B6276" s="1832">
        <f>'Acct Summary 7-8'!C83</f>
        <v>3.7820147171554748E-2</v>
      </c>
      <c r="D6276" s="2" t="str">
        <f t="shared" si="97"/>
        <v>Error?</v>
      </c>
      <c r="E6276" s="2" t="s">
        <v>189</v>
      </c>
    </row>
    <row r="6277" spans="1:5" x14ac:dyDescent="0.2">
      <c r="A6277">
        <v>6216</v>
      </c>
      <c r="B6277" s="1832">
        <f>'Acct Summary 7-8'!D83</f>
        <v>6.7908836276031628E-2</v>
      </c>
      <c r="D6277" s="2" t="str">
        <f t="shared" si="97"/>
        <v>Error?</v>
      </c>
      <c r="E6277" s="2" t="s">
        <v>189</v>
      </c>
    </row>
    <row r="6278" spans="1:5" x14ac:dyDescent="0.2">
      <c r="A6278">
        <v>6217</v>
      </c>
      <c r="B6278" s="1832">
        <f>'Acct Summary 7-8'!E83</f>
        <v>0.34840153452685424</v>
      </c>
      <c r="D6278" s="2" t="str">
        <f t="shared" si="97"/>
        <v>Error?</v>
      </c>
      <c r="E6278" s="2" t="s">
        <v>189</v>
      </c>
    </row>
    <row r="6279" spans="1:5" x14ac:dyDescent="0.2">
      <c r="A6279">
        <v>6218</v>
      </c>
      <c r="B6279" s="1832">
        <f>'Acct Summary 7-8'!F83</f>
        <v>0.10098722519843047</v>
      </c>
      <c r="D6279" s="2" t="str">
        <f t="shared" si="97"/>
        <v>Error?</v>
      </c>
      <c r="E6279" s="2" t="s">
        <v>189</v>
      </c>
    </row>
    <row r="6280" spans="1:5" x14ac:dyDescent="0.2">
      <c r="A6280">
        <v>6219</v>
      </c>
      <c r="B6280" s="1832">
        <f>'Acct Summary 7-8'!G83</f>
        <v>4.3084092907122291E-2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5.9233823815013614E-3</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0.33643327700138637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205000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114</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91195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147327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246474</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383</v>
      </c>
      <c r="D6981" s="2" t="str">
        <f t="shared" si="108"/>
        <v>Error?</v>
      </c>
    </row>
    <row r="6982" spans="1:4" x14ac:dyDescent="0.2">
      <c r="A6982">
        <v>6921</v>
      </c>
      <c r="B6982" s="1832">
        <f>'Expenditures 15-22'!K85</f>
        <v>383</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383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4430</v>
      </c>
      <c r="D7073" s="2" t="str">
        <f t="shared" si="109"/>
        <v>Error?</v>
      </c>
    </row>
    <row r="7074" spans="1:4" x14ac:dyDescent="0.2">
      <c r="A7074">
        <v>7013</v>
      </c>
      <c r="B7074" s="1832">
        <f>'Expenditures 15-22'!K216</f>
        <v>4430</v>
      </c>
      <c r="D7074" s="2" t="str">
        <f t="shared" si="109"/>
        <v>Error?</v>
      </c>
    </row>
    <row r="7075" spans="1:4" x14ac:dyDescent="0.2">
      <c r="A7075">
        <v>7014</v>
      </c>
      <c r="B7075" s="1832">
        <f>'Expenditures 15-22'!D218</f>
        <v>16197</v>
      </c>
      <c r="D7075" s="2" t="str">
        <f t="shared" si="109"/>
        <v>Error?</v>
      </c>
    </row>
    <row r="7076" spans="1:4" x14ac:dyDescent="0.2">
      <c r="A7076">
        <v>7015</v>
      </c>
      <c r="B7076" s="1832">
        <f>'Expenditures 15-22'!K218</f>
        <v>16197</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18513</v>
      </c>
      <c r="D7246" s="2" t="str">
        <f t="shared" si="112"/>
        <v>Error?</v>
      </c>
    </row>
    <row r="7247" spans="1:4" x14ac:dyDescent="0.2">
      <c r="A7247">
        <f t="shared" si="113"/>
        <v>7186</v>
      </c>
      <c r="B7247" s="1832">
        <f>'Expenditures 15-22'!E7</f>
        <v>4292</v>
      </c>
      <c r="D7247" s="2" t="str">
        <f t="shared" si="112"/>
        <v>Error?</v>
      </c>
    </row>
    <row r="7248" spans="1:4" x14ac:dyDescent="0.2">
      <c r="A7248">
        <f t="shared" si="113"/>
        <v>7187</v>
      </c>
      <c r="B7248" s="1832">
        <f>'Expenditures 15-22'!F7</f>
        <v>21834</v>
      </c>
      <c r="D7248" s="2" t="str">
        <f t="shared" si="112"/>
        <v>Error?</v>
      </c>
    </row>
    <row r="7249" spans="1:4" x14ac:dyDescent="0.2">
      <c r="A7249">
        <f t="shared" si="113"/>
        <v>7188</v>
      </c>
      <c r="B7249" s="1832">
        <f>'Expenditures 15-22'!G7</f>
        <v>11493</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198428</v>
      </c>
      <c r="D7251" s="2" t="str">
        <f t="shared" si="112"/>
        <v>Error?</v>
      </c>
    </row>
    <row r="7252" spans="1:4" x14ac:dyDescent="0.2">
      <c r="A7252">
        <f t="shared" si="113"/>
        <v>7191</v>
      </c>
      <c r="B7252" s="1832">
        <f>'Expenditures 15-22'!D9</f>
        <v>34695</v>
      </c>
      <c r="D7252" s="2" t="str">
        <f t="shared" si="112"/>
        <v>Error?</v>
      </c>
    </row>
    <row r="7253" spans="1:4" x14ac:dyDescent="0.2">
      <c r="A7253">
        <f t="shared" si="113"/>
        <v>7192</v>
      </c>
      <c r="B7253" s="1832">
        <f>'Expenditures 15-22'!E9</f>
        <v>399</v>
      </c>
      <c r="D7253" s="2" t="str">
        <f t="shared" si="112"/>
        <v>Error?</v>
      </c>
    </row>
    <row r="7254" spans="1:4" x14ac:dyDescent="0.2">
      <c r="A7254">
        <f t="shared" si="113"/>
        <v>7193</v>
      </c>
      <c r="B7254" s="1832">
        <f>'Expenditures 15-22'!F9</f>
        <v>12952</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6324</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6324</v>
      </c>
      <c r="D7618" s="2" t="str">
        <f t="shared" si="124"/>
        <v>Error?</v>
      </c>
      <c r="E7618" s="2" t="s">
        <v>19</v>
      </c>
    </row>
    <row r="7619" spans="1:5" x14ac:dyDescent="0.2">
      <c r="A7619">
        <f t="shared" si="123"/>
        <v>7558</v>
      </c>
      <c r="B7619" s="1832">
        <f>'Cap Outlay Deprec 26'!H14</f>
        <v>5241</v>
      </c>
      <c r="D7619" s="2" t="str">
        <f t="shared" si="124"/>
        <v>Error?</v>
      </c>
      <c r="E7619" s="2" t="s">
        <v>19</v>
      </c>
    </row>
    <row r="7620" spans="1:5" x14ac:dyDescent="0.2">
      <c r="A7620">
        <f t="shared" si="123"/>
        <v>7559</v>
      </c>
      <c r="B7620" s="1832">
        <f>'Cap Outlay Deprec 26'!I14</f>
        <v>1082</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6323</v>
      </c>
      <c r="D7622" s="2" t="str">
        <f t="shared" si="124"/>
        <v>Error?</v>
      </c>
      <c r="E7622" s="2" t="s">
        <v>19</v>
      </c>
    </row>
    <row r="7623" spans="1:5" x14ac:dyDescent="0.2">
      <c r="A7623">
        <f t="shared" si="123"/>
        <v>7562</v>
      </c>
      <c r="B7623" s="1832">
        <f>'Cap Outlay Deprec 26'!L14</f>
        <v>1</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621767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205000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12680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547725</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547725</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22773</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262725</v>
      </c>
      <c r="D7724" s="2" t="str">
        <f t="shared" si="126"/>
        <v>Error?</v>
      </c>
      <c r="E7724" s="2" t="s">
        <v>822</v>
      </c>
      <c r="F7724" s="2"/>
    </row>
    <row r="7725" spans="1:6" x14ac:dyDescent="0.2">
      <c r="A7725">
        <v>7664</v>
      </c>
      <c r="B7725" s="1832">
        <f>'Rest Tax Levies-Tort Im 25'!J19</f>
        <v>285000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547725</v>
      </c>
      <c r="D7727" s="2" t="str">
        <f t="shared" si="126"/>
        <v>Error?</v>
      </c>
      <c r="E7727" s="2" t="s">
        <v>822</v>
      </c>
    </row>
    <row r="7728" spans="1:6" x14ac:dyDescent="0.2">
      <c r="A7728">
        <v>7667</v>
      </c>
      <c r="B7728" s="1832">
        <f>'Revenues 9-14'!E103</f>
        <v>547725</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547725</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9785000</v>
      </c>
      <c r="D7817" s="2" t="str">
        <f t="shared" si="128"/>
        <v>Error?</v>
      </c>
      <c r="E7817" s="4" t="s">
        <v>1963</v>
      </c>
    </row>
    <row r="7818" spans="1:5" x14ac:dyDescent="0.2">
      <c r="A7818">
        <v>7757</v>
      </c>
      <c r="B7818" s="1832">
        <f>'PCTC-OEPP 27-28'!F172</f>
        <v>522043</v>
      </c>
      <c r="D7818" s="2" t="str">
        <f t="shared" si="128"/>
        <v>Error?</v>
      </c>
      <c r="E7818" s="4" t="s">
        <v>1977</v>
      </c>
    </row>
    <row r="7819" spans="1:5" x14ac:dyDescent="0.2">
      <c r="A7819">
        <v>7758</v>
      </c>
      <c r="B7819" s="1832">
        <f>'PCTC-OEPP 27-28'!F173</f>
        <v>514187</v>
      </c>
      <c r="D7819" s="2" t="str">
        <f t="shared" si="128"/>
        <v>Error?</v>
      </c>
      <c r="E7819" s="4" t="s">
        <v>1977</v>
      </c>
    </row>
    <row r="7820" spans="1:5" x14ac:dyDescent="0.2">
      <c r="A7820">
        <v>7759</v>
      </c>
      <c r="B7820" s="1832">
        <f>'ICR Computation 30'!E40</f>
        <v>-175975</v>
      </c>
      <c r="D7820" s="2" t="str">
        <f t="shared" si="128"/>
        <v>Error?</v>
      </c>
    </row>
    <row r="7821" spans="1:5" x14ac:dyDescent="0.2">
      <c r="A7821">
        <v>7760</v>
      </c>
      <c r="B7821" s="1832">
        <f>'ICR Computation 30'!G40</f>
        <v>-175975</v>
      </c>
      <c r="D7821" s="2" t="str">
        <f t="shared" si="128"/>
        <v>Error?</v>
      </c>
    </row>
    <row r="7822" spans="1:5" x14ac:dyDescent="0.2">
      <c r="A7822" s="1">
        <v>7761</v>
      </c>
      <c r="B7822" s="1832">
        <f>'PCTC-OEPP 27-28'!F14</f>
        <v>13780353</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135834</v>
      </c>
      <c r="D7826" s="2" t="str">
        <f t="shared" si="129"/>
        <v>Error?</v>
      </c>
      <c r="E7826" s="4" t="s">
        <v>1995</v>
      </c>
    </row>
    <row r="7827" spans="1:5" x14ac:dyDescent="0.2">
      <c r="A7827">
        <v>7766</v>
      </c>
      <c r="B7827" s="1832">
        <f>'PCTC-OEPP 27-28'!F35</f>
        <v>246474</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6655</v>
      </c>
      <c r="D7830" s="2" t="str">
        <f t="shared" si="129"/>
        <v>Error?</v>
      </c>
      <c r="E7830" s="4" t="s">
        <v>1995</v>
      </c>
    </row>
    <row r="7831" spans="1:5" x14ac:dyDescent="0.2">
      <c r="A7831">
        <v>7770</v>
      </c>
      <c r="B7831" s="1832">
        <f>'PCTC-OEPP 27-28'!F52</f>
        <v>34837</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1399268</v>
      </c>
      <c r="D7834" s="2" t="str">
        <f t="shared" si="129"/>
        <v>Error?</v>
      </c>
      <c r="E7834" s="4" t="s">
        <v>1995</v>
      </c>
    </row>
    <row r="7835" spans="1:5" x14ac:dyDescent="0.2">
      <c r="A7835">
        <v>7774</v>
      </c>
      <c r="B7835" s="1832">
        <f>'PCTC-OEPP 27-28'!F78</f>
        <v>12381085</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11203.587910596327</v>
      </c>
      <c r="D7837" s="2" t="str">
        <f t="shared" si="129"/>
        <v>Error?</v>
      </c>
      <c r="E7837" s="4" t="s">
        <v>1995</v>
      </c>
    </row>
    <row r="7838" spans="1:5" x14ac:dyDescent="0.2">
      <c r="A7838">
        <v>7777</v>
      </c>
      <c r="B7838" s="1832">
        <f>'PCTC-OEPP 27-28'!F96</f>
        <v>22632</v>
      </c>
      <c r="D7838" s="2" t="str">
        <f t="shared" si="129"/>
        <v>Error?</v>
      </c>
      <c r="E7838" s="4" t="s">
        <v>1995</v>
      </c>
    </row>
    <row r="7839" spans="1:5" x14ac:dyDescent="0.2">
      <c r="A7839">
        <v>7778</v>
      </c>
      <c r="B7839" s="1832">
        <f>'PCTC-OEPP 27-28'!F102</f>
        <v>450</v>
      </c>
      <c r="D7839" s="2" t="str">
        <f t="shared" si="129"/>
        <v>Error?</v>
      </c>
      <c r="E7839" s="4" t="s">
        <v>1995</v>
      </c>
    </row>
    <row r="7840" spans="1:5" x14ac:dyDescent="0.2">
      <c r="A7840">
        <v>7779</v>
      </c>
      <c r="B7840" s="1832">
        <f>'PCTC-OEPP 27-28'!F103</f>
        <v>25605</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168941</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117367</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3144</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11668</v>
      </c>
      <c r="D7857" s="2" t="str">
        <f t="shared" si="129"/>
        <v>Error?</v>
      </c>
      <c r="E7857" s="4" t="s">
        <v>1995</v>
      </c>
    </row>
    <row r="7858" spans="1:5" x14ac:dyDescent="0.2">
      <c r="A7858">
        <v>7797</v>
      </c>
      <c r="B7858" s="1832">
        <f>'PCTC-OEPP 27-28'!F126</f>
        <v>849393</v>
      </c>
      <c r="D7858" s="2" t="str">
        <f t="shared" si="129"/>
        <v>Error?</v>
      </c>
      <c r="E7858" s="4" t="s">
        <v>1995</v>
      </c>
    </row>
    <row r="7859" spans="1:5" x14ac:dyDescent="0.2">
      <c r="A7859">
        <v>7798</v>
      </c>
      <c r="B7859" s="1832">
        <f>'PCTC-OEPP 27-28'!F127</f>
        <v>486477</v>
      </c>
      <c r="D7859" s="2" t="str">
        <f t="shared" si="129"/>
        <v>Error?</v>
      </c>
      <c r="E7859" s="4" t="s">
        <v>1995</v>
      </c>
    </row>
    <row r="7860" spans="1:5" x14ac:dyDescent="0.2">
      <c r="A7860">
        <v>7799</v>
      </c>
      <c r="B7860" s="1832">
        <f>'PCTC-OEPP 27-28'!F128</f>
        <v>40241</v>
      </c>
      <c r="D7860" s="2" t="str">
        <f t="shared" si="129"/>
        <v>Error?</v>
      </c>
      <c r="E7860" s="4" t="s">
        <v>1995</v>
      </c>
    </row>
    <row r="7861" spans="1:5" x14ac:dyDescent="0.2">
      <c r="A7861">
        <v>7800</v>
      </c>
      <c r="B7861" s="1832">
        <f>'PCTC-OEPP 27-28'!F129</f>
        <v>261678</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69717</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23041</v>
      </c>
      <c r="D7874" s="2" t="str">
        <f t="shared" si="129"/>
        <v>Error?</v>
      </c>
      <c r="E7874" s="4" t="s">
        <v>1995</v>
      </c>
    </row>
    <row r="7875" spans="1:5" x14ac:dyDescent="0.2">
      <c r="A7875">
        <v>7814</v>
      </c>
      <c r="B7875" s="1832">
        <f>'PCTC-OEPP 27-28'!F170</f>
        <v>49851</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3251235</v>
      </c>
      <c r="D7877" s="2" t="str">
        <f t="shared" si="129"/>
        <v>Error?</v>
      </c>
      <c r="E7877" s="4" t="s">
        <v>1995</v>
      </c>
    </row>
    <row r="7878" spans="1:5" x14ac:dyDescent="0.2">
      <c r="A7878">
        <v>7817</v>
      </c>
      <c r="B7878" s="1832">
        <f>'PCTC-OEPP 27-28'!F176</f>
        <v>9129850</v>
      </c>
      <c r="D7878" s="2" t="str">
        <f t="shared" si="129"/>
        <v>Error?</v>
      </c>
      <c r="E7878" s="4" t="s">
        <v>1995</v>
      </c>
    </row>
    <row r="7879" spans="1:5" x14ac:dyDescent="0.2">
      <c r="A7879">
        <v>7818</v>
      </c>
      <c r="B7879" s="1832">
        <f>'PCTC-OEPP 27-28'!F178</f>
        <v>9751617</v>
      </c>
      <c r="D7879" s="2" t="str">
        <f t="shared" si="129"/>
        <v>Error?</v>
      </c>
      <c r="E7879" s="4" t="s">
        <v>1995</v>
      </c>
    </row>
    <row r="7880" spans="1:5" x14ac:dyDescent="0.2">
      <c r="A7880">
        <v>7819</v>
      </c>
      <c r="B7880" s="1832">
        <f>'PCTC-OEPP 27-28'!F180</f>
        <v>8824.19419057099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3" zoomScale="110" zoomScaleNormal="110" workbookViewId="0">
      <selection activeCell="B124" sqref="B124"/>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6" t="s">
        <v>1181</v>
      </c>
      <c r="B2" s="2516"/>
      <c r="C2" s="2516"/>
      <c r="D2" s="2516"/>
      <c r="E2" s="2516"/>
      <c r="F2" s="2516"/>
      <c r="G2" s="2516"/>
      <c r="H2" s="2516"/>
      <c r="I2" s="2516"/>
      <c r="J2" s="2516"/>
      <c r="K2" s="2516"/>
      <c r="L2" s="2516"/>
    </row>
    <row r="3" spans="1:29" ht="13.5" customHeight="1" x14ac:dyDescent="0.2">
      <c r="A3" s="2548" t="s">
        <v>1180</v>
      </c>
      <c r="B3" s="2548"/>
      <c r="C3" s="2548"/>
      <c r="D3" s="2548"/>
      <c r="E3" s="2548"/>
      <c r="F3" s="2548"/>
      <c r="G3" s="2548"/>
      <c r="H3" s="2548"/>
      <c r="I3" s="2548"/>
      <c r="J3" s="2548"/>
      <c r="K3" s="2548"/>
      <c r="L3" s="2548"/>
    </row>
    <row r="4" spans="1:29" ht="13.5" customHeight="1" x14ac:dyDescent="0.2">
      <c r="A4" s="2537" t="str">
        <f>"Year Ending June 30, "&amp;'AFR20'!E2</f>
        <v>Year Ending June 30, 2020</v>
      </c>
      <c r="B4" s="2538"/>
      <c r="C4" s="2538"/>
      <c r="D4" s="2538"/>
      <c r="E4" s="2538"/>
      <c r="F4" s="2538"/>
      <c r="G4" s="2538"/>
      <c r="H4" s="2538"/>
      <c r="I4" s="2538"/>
      <c r="J4" s="2538"/>
      <c r="K4" s="2538"/>
      <c r="L4" s="253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9" t="str">
        <f>COVER!A17</f>
        <v xml:space="preserve">  Lincoln ESD 27</v>
      </c>
      <c r="B7" s="2540"/>
      <c r="C7" s="2540"/>
      <c r="D7" s="2541"/>
      <c r="E7" s="2542">
        <f>COVER!A13</f>
        <v>17054027002</v>
      </c>
      <c r="F7" s="2543"/>
      <c r="G7" s="2549" t="str">
        <f>COVER!T23</f>
        <v>066-005243</v>
      </c>
      <c r="H7" s="2550"/>
      <c r="I7" s="2550"/>
      <c r="J7" s="2550"/>
      <c r="K7" s="2550"/>
      <c r="L7" s="255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2"/>
      <c r="B9" s="2553"/>
      <c r="C9" s="2553"/>
      <c r="D9" s="2553"/>
      <c r="E9" s="2553"/>
      <c r="F9" s="2554"/>
      <c r="G9" s="2522" t="str">
        <f>COVER!T13</f>
        <v>J.M. ABBOTT &amp; ASSOCIATES, LTD.</v>
      </c>
      <c r="H9" s="2555"/>
      <c r="I9" s="2555"/>
      <c r="J9" s="2555"/>
      <c r="K9" s="2555"/>
      <c r="L9" s="2556"/>
    </row>
    <row r="10" spans="1:29" ht="13.5" customHeight="1" x14ac:dyDescent="0.2">
      <c r="A10" s="2528" t="str">
        <f>COVER!A38</f>
        <v>KENT FROEBE</v>
      </c>
      <c r="B10" s="2529"/>
      <c r="C10" s="2529"/>
      <c r="D10" s="2529"/>
      <c r="E10" s="2529"/>
      <c r="F10" s="2530"/>
      <c r="G10" s="2522" t="str">
        <f>COVER!T17</f>
        <v>207 S. MCLEAN ST.</v>
      </c>
      <c r="H10" s="2523"/>
      <c r="I10" s="2523"/>
      <c r="J10" s="2523"/>
      <c r="K10" s="2523"/>
      <c r="L10" s="2524"/>
    </row>
    <row r="11" spans="1:29" ht="13.5" customHeight="1" x14ac:dyDescent="0.2">
      <c r="A11" s="963" t="s">
        <v>1502</v>
      </c>
      <c r="B11" s="964"/>
      <c r="C11" s="965"/>
      <c r="D11" s="970"/>
      <c r="E11" s="965"/>
      <c r="F11" s="969"/>
      <c r="G11" s="2522" t="str">
        <f>COVER!T19</f>
        <v>LINCOLN</v>
      </c>
      <c r="H11" s="2523"/>
      <c r="I11" s="2523"/>
      <c r="J11" s="2523"/>
      <c r="K11" s="2523"/>
      <c r="L11" s="2524"/>
    </row>
    <row r="12" spans="1:29" ht="13.5" customHeight="1" x14ac:dyDescent="0.2">
      <c r="A12" s="2531" t="s">
        <v>1501</v>
      </c>
      <c r="B12" s="2532"/>
      <c r="C12" s="2532"/>
      <c r="D12" s="2532"/>
      <c r="E12" s="2532"/>
      <c r="F12" s="2533"/>
      <c r="G12" s="2525"/>
      <c r="H12" s="2526"/>
      <c r="I12" s="2526"/>
      <c r="J12" s="2526"/>
      <c r="K12" s="2526"/>
      <c r="L12" s="2527"/>
    </row>
    <row r="13" spans="1:29" ht="13.5" customHeight="1" x14ac:dyDescent="0.2">
      <c r="A13" s="2522"/>
      <c r="B13" s="2523"/>
      <c r="C13" s="2523"/>
      <c r="D13" s="2523"/>
      <c r="E13" s="2523"/>
      <c r="F13" s="2524"/>
      <c r="G13" s="2517" t="s">
        <v>1503</v>
      </c>
      <c r="H13" s="2518"/>
      <c r="I13" s="2534" t="str">
        <f>COVER!T25</f>
        <v>debbie@jmabbott.com</v>
      </c>
      <c r="J13" s="2535"/>
      <c r="K13" s="2535"/>
      <c r="L13" s="2536"/>
    </row>
    <row r="14" spans="1:29" ht="13.5" customHeight="1" x14ac:dyDescent="0.2">
      <c r="A14" s="2522" t="str">
        <f>COVER!A19</f>
        <v>304 EIGHTH STREET</v>
      </c>
      <c r="B14" s="2523"/>
      <c r="C14" s="2523"/>
      <c r="D14" s="2523"/>
      <c r="E14" s="2523"/>
      <c r="F14" s="2524"/>
      <c r="G14" s="974" t="s">
        <v>1175</v>
      </c>
      <c r="H14" s="972"/>
      <c r="I14" s="972"/>
      <c r="J14" s="972"/>
      <c r="K14" s="972"/>
      <c r="L14" s="973"/>
    </row>
    <row r="15" spans="1:29" ht="13.5" customHeight="1" x14ac:dyDescent="0.2">
      <c r="A15" s="2522" t="str">
        <f>COVER!A21</f>
        <v>LINCOLN</v>
      </c>
      <c r="B15" s="2523"/>
      <c r="C15" s="2523"/>
      <c r="D15" s="2523"/>
      <c r="E15" s="2523"/>
      <c r="F15" s="2524"/>
      <c r="G15" s="2519" t="str">
        <f>COVER!T15</f>
        <v>DEBRA LAST</v>
      </c>
      <c r="H15" s="2520"/>
      <c r="I15" s="2520"/>
      <c r="J15" s="2520"/>
      <c r="K15" s="2520"/>
      <c r="L15" s="2521"/>
    </row>
    <row r="16" spans="1:29" ht="12.2" customHeight="1" x14ac:dyDescent="0.2">
      <c r="A16" s="2545">
        <f>COVER!A25</f>
        <v>62656</v>
      </c>
      <c r="B16" s="2546"/>
      <c r="C16" s="2546"/>
      <c r="D16" s="2546"/>
      <c r="E16" s="2546"/>
      <c r="F16" s="2547"/>
      <c r="G16" s="2557"/>
      <c r="H16" s="2558"/>
      <c r="I16" s="2558"/>
      <c r="J16" s="2558"/>
      <c r="K16" s="2558"/>
      <c r="L16" s="2559"/>
    </row>
    <row r="17" spans="1:13" ht="12.2" customHeight="1" x14ac:dyDescent="0.2">
      <c r="A17" s="2560"/>
      <c r="B17" s="2546"/>
      <c r="C17" s="2546"/>
      <c r="D17" s="2546"/>
      <c r="E17" s="2546"/>
      <c r="F17" s="2547"/>
      <c r="G17" s="974" t="s">
        <v>1174</v>
      </c>
      <c r="H17" s="972"/>
      <c r="I17" s="972"/>
      <c r="J17" s="972"/>
      <c r="K17" s="976" t="s">
        <v>1173</v>
      </c>
      <c r="L17" s="969"/>
      <c r="M17" s="962"/>
    </row>
    <row r="18" spans="1:13" ht="12.2" customHeight="1" x14ac:dyDescent="0.2">
      <c r="A18" s="2528"/>
      <c r="B18" s="2529"/>
      <c r="C18" s="2529"/>
      <c r="D18" s="2529"/>
      <c r="E18" s="2529"/>
      <c r="F18" s="2530"/>
      <c r="G18" s="2539" t="str">
        <f>COVER!T21</f>
        <v>217-735-1576</v>
      </c>
      <c r="H18" s="2540"/>
      <c r="I18" s="2540"/>
      <c r="J18" s="2540"/>
      <c r="K18" s="2539" t="str">
        <f>COVER!X21</f>
        <v>217-735-5866</v>
      </c>
      <c r="L18" s="254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2099</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t="s">
        <v>2048</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27" top="0.68" bottom="1" header="0.26" footer="0.5"/>
  <pageSetup scale="99"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25" zoomScale="125" zoomScaleNormal="125" workbookViewId="0">
      <selection activeCell="B124" sqref="B12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1" t="str">
        <f>'Single Audit Cover'!A7</f>
        <v xml:space="preserve">  Lincoln ESD 27</v>
      </c>
      <c r="B1" s="2562"/>
      <c r="C1" s="2562"/>
      <c r="D1" s="2562"/>
    </row>
    <row r="2" spans="1:11" s="991" customFormat="1" ht="12.75" x14ac:dyDescent="0.2">
      <c r="A2" s="2563">
        <f>'Single Audit Cover'!E7</f>
        <v>17054027002</v>
      </c>
      <c r="B2" s="2564"/>
      <c r="C2" s="2564"/>
      <c r="D2" s="2564"/>
    </row>
    <row r="3" spans="1:11" s="991" customFormat="1" ht="12.75" x14ac:dyDescent="0.2">
      <c r="A3" s="2561" t="s">
        <v>1496</v>
      </c>
      <c r="B3" s="2562"/>
      <c r="C3" s="2562"/>
      <c r="D3" s="256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2048</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2048</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2048</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2048</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2048</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2048</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2048</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2048</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2048</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2048</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2099</v>
      </c>
      <c r="C42" s="1008">
        <v>11</v>
      </c>
      <c r="D42" s="1019" t="s">
        <v>1557</v>
      </c>
      <c r="E42" s="290"/>
    </row>
    <row r="43" spans="1:5" ht="3" customHeight="1" x14ac:dyDescent="0.2">
      <c r="A43" s="998"/>
      <c r="B43" s="1015"/>
      <c r="C43" s="1016"/>
      <c r="D43" s="997"/>
    </row>
    <row r="44" spans="1:5" x14ac:dyDescent="0.2">
      <c r="A44" s="998"/>
      <c r="B44" s="1001" t="s">
        <v>2048</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2048</v>
      </c>
      <c r="C48" s="1002">
        <f>C44+1</f>
        <v>13</v>
      </c>
      <c r="D48" s="1013" t="s">
        <v>1558</v>
      </c>
    </row>
    <row r="49" spans="1:4" ht="3" customHeight="1" x14ac:dyDescent="0.2">
      <c r="A49" s="998"/>
      <c r="B49" s="1005"/>
      <c r="C49" s="1002"/>
      <c r="D49" s="1013"/>
    </row>
    <row r="50" spans="1:4" x14ac:dyDescent="0.2">
      <c r="A50" s="998"/>
      <c r="B50" s="1001" t="s">
        <v>2048</v>
      </c>
      <c r="C50" s="1002">
        <f>C48+1</f>
        <v>14</v>
      </c>
      <c r="D50" s="1013" t="s">
        <v>1202</v>
      </c>
    </row>
    <row r="51" spans="1:4" ht="3" customHeight="1" x14ac:dyDescent="0.2">
      <c r="A51" s="998"/>
      <c r="B51" s="1005"/>
      <c r="C51" s="1002"/>
      <c r="D51" s="1013"/>
    </row>
    <row r="52" spans="1:4" x14ac:dyDescent="0.2">
      <c r="A52" s="998"/>
      <c r="B52" s="1001" t="s">
        <v>2048</v>
      </c>
      <c r="C52" s="1002">
        <f>C50+1</f>
        <v>15</v>
      </c>
      <c r="D52" s="1013" t="s">
        <v>1201</v>
      </c>
    </row>
    <row r="53" spans="1:4" ht="3" customHeight="1" x14ac:dyDescent="0.2">
      <c r="A53" s="998"/>
      <c r="B53" s="1005"/>
      <c r="C53" s="1002"/>
      <c r="D53" s="1013"/>
    </row>
    <row r="54" spans="1:4" x14ac:dyDescent="0.2">
      <c r="A54" s="998"/>
      <c r="B54" s="1001" t="s">
        <v>2099</v>
      </c>
      <c r="C54" s="1002">
        <f>C52+1</f>
        <v>16</v>
      </c>
      <c r="D54" s="1013" t="s">
        <v>1200</v>
      </c>
    </row>
    <row r="55" spans="1:4" ht="3" customHeight="1" x14ac:dyDescent="0.2">
      <c r="A55" s="998"/>
      <c r="B55" s="1005"/>
      <c r="C55" s="1002"/>
      <c r="D55" s="1013"/>
    </row>
    <row r="56" spans="1:4" x14ac:dyDescent="0.2">
      <c r="A56" s="998"/>
      <c r="B56" s="1001" t="s">
        <v>2048</v>
      </c>
      <c r="C56" s="1002">
        <f>C54+1</f>
        <v>17</v>
      </c>
      <c r="D56" s="997" t="s">
        <v>1686</v>
      </c>
    </row>
    <row r="57" spans="1:4" ht="10.5" customHeight="1" x14ac:dyDescent="0.2">
      <c r="A57" s="998"/>
      <c r="D57" s="1013" t="s">
        <v>1687</v>
      </c>
    </row>
    <row r="58" spans="1:4" x14ac:dyDescent="0.2">
      <c r="A58" s="998"/>
      <c r="C58" s="1020" t="s">
        <v>2048</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2048</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2048</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2048</v>
      </c>
      <c r="D69" s="1013" t="s">
        <v>1691</v>
      </c>
    </row>
    <row r="70" spans="1:4" x14ac:dyDescent="0.2">
      <c r="A70" s="998"/>
      <c r="D70" s="1022" t="s">
        <v>1196</v>
      </c>
    </row>
    <row r="71" spans="1:4" ht="3" customHeight="1" x14ac:dyDescent="0.2">
      <c r="A71" s="998"/>
      <c r="D71" s="997"/>
    </row>
    <row r="72" spans="1:4" x14ac:dyDescent="0.2">
      <c r="A72" s="998"/>
      <c r="B72" s="1001" t="s">
        <v>2048</v>
      </c>
      <c r="C72" s="1002">
        <f>C56+1</f>
        <v>18</v>
      </c>
      <c r="D72" s="1023" t="s">
        <v>1692</v>
      </c>
    </row>
    <row r="73" spans="1:4" ht="3" customHeight="1" x14ac:dyDescent="0.2">
      <c r="A73" s="998"/>
      <c r="B73" s="1005"/>
      <c r="C73" s="1002"/>
      <c r="D73" s="1023"/>
    </row>
    <row r="74" spans="1:4" x14ac:dyDescent="0.2">
      <c r="A74" s="998"/>
      <c r="B74" s="1001" t="s">
        <v>2048</v>
      </c>
      <c r="C74" s="1002">
        <f>C72+1</f>
        <v>19</v>
      </c>
      <c r="D74" s="1013" t="s">
        <v>1195</v>
      </c>
    </row>
    <row r="75" spans="1:4" ht="3" customHeight="1" x14ac:dyDescent="0.2">
      <c r="A75" s="998"/>
      <c r="B75" s="1005"/>
      <c r="C75" s="1002"/>
      <c r="D75" s="1013"/>
    </row>
    <row r="76" spans="1:4" x14ac:dyDescent="0.2">
      <c r="A76" s="998"/>
      <c r="B76" s="1001" t="s">
        <v>2048</v>
      </c>
      <c r="C76" s="1002">
        <f>C74+1</f>
        <v>20</v>
      </c>
      <c r="D76" s="1024" t="s">
        <v>1693</v>
      </c>
    </row>
    <row r="77" spans="1:4" ht="3" customHeight="1" x14ac:dyDescent="0.2">
      <c r="A77" s="998"/>
      <c r="B77" s="1005"/>
      <c r="C77" s="1002"/>
      <c r="D77" s="1024"/>
    </row>
    <row r="78" spans="1:4" x14ac:dyDescent="0.2">
      <c r="A78" s="998"/>
      <c r="B78" s="1001" t="s">
        <v>2048</v>
      </c>
      <c r="C78" s="1002">
        <f>C76+1</f>
        <v>21</v>
      </c>
      <c r="D78" s="997" t="s">
        <v>1694</v>
      </c>
    </row>
    <row r="79" spans="1:4" ht="3" customHeight="1" x14ac:dyDescent="0.2">
      <c r="A79" s="998"/>
      <c r="B79" s="1005"/>
      <c r="C79" s="1002"/>
      <c r="D79" s="997"/>
    </row>
    <row r="80" spans="1:4" x14ac:dyDescent="0.2">
      <c r="A80" s="998"/>
      <c r="B80" s="1001" t="s">
        <v>2048</v>
      </c>
      <c r="C80" s="1002">
        <f>C78+1</f>
        <v>22</v>
      </c>
      <c r="D80" s="1025" t="s">
        <v>1695</v>
      </c>
    </row>
    <row r="81" spans="1:4" ht="3" customHeight="1" x14ac:dyDescent="0.2">
      <c r="A81" s="998"/>
      <c r="B81" s="1005"/>
      <c r="C81" s="1002"/>
      <c r="D81" s="1025"/>
    </row>
    <row r="82" spans="1:4" x14ac:dyDescent="0.2">
      <c r="A82" s="998"/>
      <c r="B82" s="1001" t="s">
        <v>2048</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2048</v>
      </c>
      <c r="C85" s="1002">
        <f>C82+1</f>
        <v>24</v>
      </c>
      <c r="D85" s="1013" t="s">
        <v>1193</v>
      </c>
    </row>
    <row r="86" spans="1:4" ht="3" customHeight="1" x14ac:dyDescent="0.2">
      <c r="A86" s="998"/>
      <c r="B86" s="1005"/>
      <c r="C86" s="1002"/>
      <c r="D86" s="1013"/>
    </row>
    <row r="87" spans="1:4" x14ac:dyDescent="0.2">
      <c r="A87" s="998"/>
      <c r="B87" s="1001" t="s">
        <v>2048</v>
      </c>
      <c r="C87" s="1002">
        <f>C85+1</f>
        <v>25</v>
      </c>
      <c r="D87" s="1013" t="s">
        <v>1192</v>
      </c>
    </row>
    <row r="88" spans="1:4" ht="3" customHeight="1" x14ac:dyDescent="0.2">
      <c r="A88" s="998"/>
      <c r="B88" s="1005"/>
      <c r="C88" s="1002"/>
      <c r="D88" s="1013"/>
    </row>
    <row r="89" spans="1:4" x14ac:dyDescent="0.2">
      <c r="A89" s="998"/>
      <c r="B89" s="1001" t="s">
        <v>2048</v>
      </c>
      <c r="C89" s="1002">
        <f>C87+1</f>
        <v>26</v>
      </c>
      <c r="D89" s="1013" t="s">
        <v>1191</v>
      </c>
    </row>
    <row r="90" spans="1:4" ht="3" customHeight="1" x14ac:dyDescent="0.2">
      <c r="A90" s="998"/>
      <c r="B90" s="1005"/>
      <c r="C90" s="1002"/>
      <c r="D90" s="1013"/>
    </row>
    <row r="91" spans="1:4" x14ac:dyDescent="0.2">
      <c r="A91" s="998"/>
      <c r="B91" s="1001" t="s">
        <v>2099</v>
      </c>
      <c r="C91" s="1002">
        <f>C89+1</f>
        <v>27</v>
      </c>
      <c r="D91" s="1013" t="s">
        <v>1697</v>
      </c>
    </row>
    <row r="92" spans="1:4" x14ac:dyDescent="0.2">
      <c r="A92" s="998"/>
      <c r="B92" s="1026"/>
      <c r="C92" s="1020" t="s">
        <v>2099</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2048</v>
      </c>
      <c r="C96" s="1002">
        <f>C91+1</f>
        <v>28</v>
      </c>
      <c r="D96" s="1013" t="s">
        <v>1698</v>
      </c>
    </row>
    <row r="97" spans="1:4" ht="3" customHeight="1" x14ac:dyDescent="0.2">
      <c r="A97" s="998"/>
      <c r="B97" s="1005"/>
      <c r="C97" s="1002"/>
      <c r="D97" s="1013"/>
    </row>
    <row r="98" spans="1:4" x14ac:dyDescent="0.2">
      <c r="A98" s="998"/>
      <c r="B98" s="1001" t="s">
        <v>2048</v>
      </c>
      <c r="C98" s="1002">
        <f>C96+1</f>
        <v>29</v>
      </c>
      <c r="D98" s="1027" t="s">
        <v>1699</v>
      </c>
    </row>
    <row r="99" spans="1:4" ht="3" customHeight="1" x14ac:dyDescent="0.2">
      <c r="A99" s="998"/>
      <c r="B99" s="1005"/>
      <c r="C99" s="1002"/>
      <c r="D99" s="1027"/>
    </row>
    <row r="100" spans="1:4" x14ac:dyDescent="0.2">
      <c r="A100" s="998"/>
      <c r="B100" s="1001" t="s">
        <v>2048</v>
      </c>
      <c r="C100" s="1002">
        <f>C98+1</f>
        <v>30</v>
      </c>
      <c r="D100" s="1013" t="s">
        <v>1700</v>
      </c>
    </row>
    <row r="101" spans="1:4" ht="3" customHeight="1" x14ac:dyDescent="0.2">
      <c r="A101" s="998"/>
      <c r="B101" s="1005"/>
      <c r="C101" s="1002"/>
      <c r="D101" s="1028"/>
    </row>
    <row r="102" spans="1:4" x14ac:dyDescent="0.2">
      <c r="A102" s="998"/>
      <c r="B102" s="1001" t="s">
        <v>2048</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2099</v>
      </c>
      <c r="C106" s="1002">
        <f>C102+1</f>
        <v>32</v>
      </c>
      <c r="D106" s="997" t="s">
        <v>1563</v>
      </c>
    </row>
    <row r="107" spans="1:4" ht="3" customHeight="1" x14ac:dyDescent="0.2">
      <c r="A107" s="998"/>
      <c r="B107" s="1005"/>
      <c r="C107" s="1002"/>
      <c r="D107" s="997"/>
    </row>
    <row r="108" spans="1:4" x14ac:dyDescent="0.2">
      <c r="A108" s="998"/>
      <c r="B108" s="1001" t="s">
        <v>2099</v>
      </c>
      <c r="C108" s="1002">
        <v>33</v>
      </c>
      <c r="D108" s="997" t="s">
        <v>1701</v>
      </c>
    </row>
    <row r="109" spans="1:4" ht="3" customHeight="1" x14ac:dyDescent="0.2">
      <c r="A109" s="998"/>
      <c r="B109" s="1005"/>
      <c r="C109" s="1002"/>
      <c r="D109" s="997"/>
    </row>
    <row r="110" spans="1:4" x14ac:dyDescent="0.2">
      <c r="A110" s="998"/>
      <c r="B110" s="1001" t="s">
        <v>2099</v>
      </c>
      <c r="C110" s="1002">
        <f>C108+1</f>
        <v>34</v>
      </c>
      <c r="D110" s="997" t="s">
        <v>1188</v>
      </c>
    </row>
    <row r="111" spans="1:4" ht="3" customHeight="1" x14ac:dyDescent="0.2">
      <c r="A111" s="998"/>
      <c r="B111" s="1005"/>
      <c r="C111" s="1002"/>
      <c r="D111" s="997"/>
    </row>
    <row r="112" spans="1:4" x14ac:dyDescent="0.2">
      <c r="A112" s="998"/>
      <c r="B112" s="1001" t="s">
        <v>2099</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2099</v>
      </c>
      <c r="C115" s="1002">
        <f>C112+1</f>
        <v>36</v>
      </c>
      <c r="D115" s="1013" t="s">
        <v>1185</v>
      </c>
    </row>
    <row r="116" spans="1:4" ht="3" customHeight="1" x14ac:dyDescent="0.2">
      <c r="A116" s="998"/>
      <c r="B116" s="1005"/>
      <c r="C116" s="1002"/>
      <c r="D116" s="1013"/>
    </row>
    <row r="117" spans="1:4" x14ac:dyDescent="0.2">
      <c r="A117" s="998"/>
      <c r="B117" s="1001" t="s">
        <v>2099</v>
      </c>
      <c r="C117" s="1002">
        <f>C115+1</f>
        <v>37</v>
      </c>
      <c r="D117" s="1013" t="s">
        <v>1702</v>
      </c>
    </row>
    <row r="118" spans="1:4" ht="3" customHeight="1" x14ac:dyDescent="0.2">
      <c r="A118" s="998"/>
      <c r="B118" s="1005"/>
      <c r="C118" s="1002"/>
      <c r="D118" s="1013"/>
    </row>
    <row r="119" spans="1:4" x14ac:dyDescent="0.2">
      <c r="A119" s="998"/>
      <c r="B119" s="1001" t="s">
        <v>2099</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2099</v>
      </c>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5" right="0" top="0.5" bottom="0.15" header="0.3" footer="0.3"/>
  <pageSetup scale="71"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6" t="str">
        <f>'Single Audit Cover'!A7</f>
        <v xml:space="preserve">  Lincoln ESD 27</v>
      </c>
      <c r="B1" s="2566"/>
      <c r="C1" s="2566"/>
      <c r="D1" s="2566"/>
      <c r="E1" s="2566"/>
    </row>
    <row r="2" spans="1:5" x14ac:dyDescent="0.2">
      <c r="A2" s="2567">
        <f>'Single Audit Cover'!E7</f>
        <v>17054027002</v>
      </c>
      <c r="B2" s="2567"/>
      <c r="C2" s="2567"/>
      <c r="D2" s="2567"/>
      <c r="E2" s="2567"/>
    </row>
    <row r="3" spans="1:5" ht="4.5" customHeight="1" x14ac:dyDescent="0.2"/>
    <row r="4" spans="1:5" x14ac:dyDescent="0.2">
      <c r="A4" s="2566" t="s">
        <v>1234</v>
      </c>
      <c r="B4" s="2566"/>
      <c r="C4" s="2566"/>
      <c r="D4" s="2566"/>
      <c r="E4" s="2566"/>
    </row>
    <row r="5" spans="1:5" x14ac:dyDescent="0.2">
      <c r="A5" s="2569" t="str">
        <f>'Single Audit Cover'!A4</f>
        <v>Year Ending June 30, 2020</v>
      </c>
      <c r="B5" s="2569"/>
      <c r="C5" s="2569"/>
      <c r="D5" s="2569"/>
      <c r="E5" s="2569"/>
    </row>
    <row r="6" spans="1:5" x14ac:dyDescent="0.2">
      <c r="A6" s="2566" t="s">
        <v>1233</v>
      </c>
      <c r="B6" s="2566"/>
      <c r="C6" s="2566"/>
      <c r="D6" s="2566"/>
      <c r="E6" s="2566"/>
    </row>
    <row r="8" spans="1:5" x14ac:dyDescent="0.2">
      <c r="A8" s="1036" t="s">
        <v>1232</v>
      </c>
    </row>
    <row r="10" spans="1:5" x14ac:dyDescent="0.2">
      <c r="A10" s="1037" t="s">
        <v>1231</v>
      </c>
      <c r="B10" s="1038" t="s">
        <v>1230</v>
      </c>
      <c r="C10" s="1038"/>
      <c r="D10" s="1039">
        <f>SUM('Acct Summary 7-8'!C7:K7)</f>
        <v>1809977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65930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-49851</v>
      </c>
    </row>
    <row r="19" spans="1:4" ht="13.5" thickBot="1" x14ac:dyDescent="0.25">
      <c r="A19" s="1041" t="s">
        <v>1224</v>
      </c>
      <c r="D19" s="1042">
        <f>SUM(D10:D17)</f>
        <v>1826056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8"/>
      <c r="B24" s="2568"/>
      <c r="D24" s="1044"/>
    </row>
    <row r="25" spans="1:4" x14ac:dyDescent="0.2">
      <c r="A25" s="2565"/>
      <c r="B25" s="2565"/>
      <c r="D25" s="1044"/>
    </row>
    <row r="26" spans="1:4" x14ac:dyDescent="0.2">
      <c r="A26" s="2565"/>
      <c r="B26" s="2565"/>
      <c r="D26" s="1044"/>
    </row>
    <row r="27" spans="1:4" x14ac:dyDescent="0.2">
      <c r="A27" s="2565"/>
      <c r="B27" s="2565"/>
      <c r="D27" s="1044"/>
    </row>
    <row r="28" spans="1:4" x14ac:dyDescent="0.2">
      <c r="A28" s="2565"/>
      <c r="B28" s="2565"/>
      <c r="D28" s="1044"/>
    </row>
    <row r="29" spans="1:4" x14ac:dyDescent="0.2">
      <c r="A29" s="2565"/>
      <c r="B29" s="2565"/>
      <c r="D29" s="1044"/>
    </row>
    <row r="30" spans="1:4" x14ac:dyDescent="0.2">
      <c r="A30" s="2565"/>
      <c r="B30" s="2565"/>
      <c r="D30" s="1044"/>
    </row>
    <row r="32" spans="1:4" x14ac:dyDescent="0.2">
      <c r="A32" s="1036" t="s">
        <v>1222</v>
      </c>
      <c r="D32" s="1039">
        <f>SUM(D19:D30)</f>
        <v>1826056</v>
      </c>
    </row>
    <row r="33" spans="1:4" x14ac:dyDescent="0.2">
      <c r="D33" s="1045"/>
    </row>
    <row r="34" spans="1:4" x14ac:dyDescent="0.2">
      <c r="A34" s="295" t="s">
        <v>1221</v>
      </c>
    </row>
    <row r="35" spans="1:4" x14ac:dyDescent="0.2">
      <c r="A35" s="295" t="s">
        <v>1220</v>
      </c>
      <c r="B35" s="1034" t="s">
        <v>1219</v>
      </c>
      <c r="D35" s="1046">
        <v>1827016</v>
      </c>
    </row>
    <row r="37" spans="1:4" x14ac:dyDescent="0.2">
      <c r="A37" s="1036" t="s">
        <v>1218</v>
      </c>
    </row>
    <row r="39" spans="1:4" ht="13.35" customHeight="1" x14ac:dyDescent="0.2">
      <c r="A39" s="1043" t="s">
        <v>1217</v>
      </c>
    </row>
    <row r="40" spans="1:4" x14ac:dyDescent="0.2">
      <c r="A40" s="2565" t="s">
        <v>2151</v>
      </c>
      <c r="B40" s="2565"/>
      <c r="D40" s="1044"/>
    </row>
    <row r="41" spans="1:4" x14ac:dyDescent="0.2">
      <c r="A41" s="2565" t="s">
        <v>2152</v>
      </c>
      <c r="B41" s="2565"/>
      <c r="D41" s="1047">
        <v>-960</v>
      </c>
    </row>
    <row r="42" spans="1:4" x14ac:dyDescent="0.2">
      <c r="A42" s="2565"/>
      <c r="B42" s="2565"/>
      <c r="D42" s="1047"/>
    </row>
    <row r="43" spans="1:4" x14ac:dyDescent="0.2">
      <c r="A43" s="2565"/>
      <c r="B43" s="2565"/>
      <c r="D43" s="1047"/>
    </row>
    <row r="44" spans="1:4" x14ac:dyDescent="0.2">
      <c r="A44" s="2565"/>
      <c r="B44" s="2565"/>
      <c r="D44" s="1047"/>
    </row>
    <row r="45" spans="1:4" x14ac:dyDescent="0.2">
      <c r="A45" s="2565"/>
      <c r="B45" s="2565"/>
      <c r="D45" s="1047"/>
    </row>
    <row r="47" spans="1:4" x14ac:dyDescent="0.2">
      <c r="B47" s="1048" t="s">
        <v>1216</v>
      </c>
      <c r="C47" s="1048"/>
      <c r="D47" s="1049">
        <f>SUM(D35:D45)</f>
        <v>1826056</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8"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10" zoomScaleNormal="100" workbookViewId="0">
      <selection activeCell="B22" sqref="B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tr">
        <f>'Single Audit Cover'!A7</f>
        <v xml:space="preserve">  Lincoln ESD 27</v>
      </c>
      <c r="C1" s="2570"/>
      <c r="D1" s="2570"/>
      <c r="E1" s="2570"/>
      <c r="F1" s="2570"/>
      <c r="G1" s="2570"/>
      <c r="H1" s="2570"/>
      <c r="I1" s="2570"/>
      <c r="J1" s="2570"/>
      <c r="K1" s="2570"/>
      <c r="L1" s="2570"/>
      <c r="M1" s="2570"/>
    </row>
    <row r="2" spans="2:14" ht="15" x14ac:dyDescent="0.2">
      <c r="B2" s="2571">
        <f>'Single Audit Cover'!E7</f>
        <v>17054027002</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4"/>
      <c r="J5" s="1914"/>
    </row>
    <row r="6" spans="2:14" x14ac:dyDescent="0.2">
      <c r="B6" s="1079"/>
      <c r="C6" s="1080"/>
      <c r="D6" s="1081" t="s">
        <v>1254</v>
      </c>
      <c r="E6" s="1082" t="s">
        <v>524</v>
      </c>
      <c r="F6" s="1083"/>
      <c r="G6" s="1084" t="s">
        <v>1708</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6" t="s">
        <v>2082</v>
      </c>
      <c r="C11" s="1821"/>
      <c r="D11" s="1822"/>
      <c r="E11" s="1823"/>
      <c r="F11" s="1823"/>
      <c r="G11" s="1823"/>
      <c r="H11" s="1823"/>
      <c r="I11" s="1823"/>
      <c r="J11" s="1823"/>
      <c r="K11" s="1823"/>
      <c r="L11" s="1823">
        <f>+G11+I11+K11</f>
        <v>0</v>
      </c>
      <c r="M11" s="1823"/>
    </row>
    <row r="12" spans="2:14" ht="20.100000000000001" customHeight="1" x14ac:dyDescent="0.2">
      <c r="B12" s="2037" t="s">
        <v>2083</v>
      </c>
      <c r="C12" s="1824"/>
      <c r="D12" s="1825"/>
      <c r="E12" s="1826"/>
      <c r="F12" s="1826"/>
      <c r="G12" s="1826"/>
      <c r="H12" s="1826"/>
      <c r="I12" s="1826"/>
      <c r="J12" s="1826"/>
      <c r="K12" s="1826"/>
      <c r="L12" s="1823">
        <f t="shared" ref="L12:L27" si="0">+G12+I12+K12</f>
        <v>0</v>
      </c>
      <c r="M12" s="1826"/>
    </row>
    <row r="13" spans="2:14" ht="20.100000000000001" customHeight="1" x14ac:dyDescent="0.2">
      <c r="B13" s="2038" t="s">
        <v>2084</v>
      </c>
      <c r="C13" s="1824"/>
      <c r="D13" s="1825"/>
      <c r="E13" s="1826"/>
      <c r="F13" s="1826"/>
      <c r="G13" s="1826"/>
      <c r="H13" s="1826"/>
      <c r="I13" s="1826"/>
      <c r="J13" s="1826"/>
      <c r="K13" s="1826"/>
      <c r="L13" s="1823">
        <f t="shared" si="0"/>
        <v>0</v>
      </c>
      <c r="M13" s="1826"/>
    </row>
    <row r="14" spans="2:14" ht="20.100000000000001" customHeight="1" x14ac:dyDescent="0.2">
      <c r="B14" s="2039" t="s">
        <v>2085</v>
      </c>
      <c r="C14" s="1824">
        <v>10.555</v>
      </c>
      <c r="D14" s="1825" t="s">
        <v>2091</v>
      </c>
      <c r="E14" s="1826">
        <v>354021</v>
      </c>
      <c r="F14" s="1826">
        <v>147698</v>
      </c>
      <c r="G14" s="1826">
        <f>+E14</f>
        <v>354021</v>
      </c>
      <c r="H14" s="1826">
        <v>0</v>
      </c>
      <c r="I14" s="1826">
        <v>147698</v>
      </c>
      <c r="J14" s="1826">
        <v>0</v>
      </c>
      <c r="K14" s="1826">
        <v>0</v>
      </c>
      <c r="L14" s="1823">
        <f t="shared" si="0"/>
        <v>501719</v>
      </c>
      <c r="M14" s="1826" t="s">
        <v>2099</v>
      </c>
    </row>
    <row r="15" spans="2:14" ht="20.100000000000001" customHeight="1" x14ac:dyDescent="0.2">
      <c r="B15" s="2039" t="s">
        <v>2085</v>
      </c>
      <c r="C15" s="1824">
        <v>10.555</v>
      </c>
      <c r="D15" s="1825" t="s">
        <v>2092</v>
      </c>
      <c r="E15" s="1826">
        <v>0</v>
      </c>
      <c r="F15" s="1826">
        <v>283357</v>
      </c>
      <c r="G15" s="1826">
        <v>0</v>
      </c>
      <c r="H15" s="1826">
        <v>0</v>
      </c>
      <c r="I15" s="1826">
        <v>283357</v>
      </c>
      <c r="J15" s="1826">
        <v>0</v>
      </c>
      <c r="K15" s="1826">
        <v>0</v>
      </c>
      <c r="L15" s="1823">
        <f t="shared" si="0"/>
        <v>283357</v>
      </c>
      <c r="M15" s="1826" t="s">
        <v>2099</v>
      </c>
    </row>
    <row r="16" spans="2:14" ht="20.100000000000001" customHeight="1" x14ac:dyDescent="0.2">
      <c r="B16" s="2039" t="s">
        <v>2086</v>
      </c>
      <c r="C16" s="1824">
        <v>10.553000000000001</v>
      </c>
      <c r="D16" s="1825" t="s">
        <v>2093</v>
      </c>
      <c r="E16" s="1826">
        <v>140091</v>
      </c>
      <c r="F16" s="1826">
        <v>59056</v>
      </c>
      <c r="G16" s="1826">
        <f>+E16</f>
        <v>140091</v>
      </c>
      <c r="H16" s="1826">
        <v>0</v>
      </c>
      <c r="I16" s="1826">
        <v>59056</v>
      </c>
      <c r="J16" s="1826">
        <v>0</v>
      </c>
      <c r="K16" s="1826">
        <v>0</v>
      </c>
      <c r="L16" s="1823">
        <f t="shared" si="0"/>
        <v>199147</v>
      </c>
      <c r="M16" s="1826" t="s">
        <v>2099</v>
      </c>
    </row>
    <row r="17" spans="2:14" ht="20.100000000000001" customHeight="1" x14ac:dyDescent="0.2">
      <c r="B17" s="2039" t="s">
        <v>2086</v>
      </c>
      <c r="C17" s="1824">
        <v>10.553000000000001</v>
      </c>
      <c r="D17" s="1825" t="s">
        <v>2094</v>
      </c>
      <c r="E17" s="1826">
        <v>0</v>
      </c>
      <c r="F17" s="1826">
        <v>106839</v>
      </c>
      <c r="G17" s="1826">
        <v>0</v>
      </c>
      <c r="H17" s="1826">
        <v>0</v>
      </c>
      <c r="I17" s="1826">
        <v>106839</v>
      </c>
      <c r="J17" s="1826">
        <v>0</v>
      </c>
      <c r="K17" s="1826">
        <v>0</v>
      </c>
      <c r="L17" s="1823">
        <f t="shared" si="0"/>
        <v>106839</v>
      </c>
      <c r="M17" s="1826" t="s">
        <v>2099</v>
      </c>
    </row>
    <row r="18" spans="2:14" ht="20.100000000000001" customHeight="1" x14ac:dyDescent="0.2">
      <c r="B18" s="2039" t="s">
        <v>2087</v>
      </c>
      <c r="C18" s="1824">
        <v>10.555999999999999</v>
      </c>
      <c r="D18" s="1825" t="s">
        <v>2095</v>
      </c>
      <c r="E18" s="1826">
        <v>1067</v>
      </c>
      <c r="F18" s="1826">
        <v>442</v>
      </c>
      <c r="G18" s="1826">
        <f>+E18</f>
        <v>1067</v>
      </c>
      <c r="H18" s="1826">
        <v>0</v>
      </c>
      <c r="I18" s="1826">
        <v>442</v>
      </c>
      <c r="J18" s="1826">
        <v>0</v>
      </c>
      <c r="K18" s="1826">
        <v>0</v>
      </c>
      <c r="L18" s="1823">
        <f t="shared" si="0"/>
        <v>1509</v>
      </c>
      <c r="M18" s="1826" t="s">
        <v>2099</v>
      </c>
    </row>
    <row r="19" spans="2:14" ht="20.100000000000001" customHeight="1" x14ac:dyDescent="0.2">
      <c r="B19" s="2039" t="s">
        <v>2087</v>
      </c>
      <c r="C19" s="1824">
        <v>10.555999999999999</v>
      </c>
      <c r="D19" s="1825" t="s">
        <v>2096</v>
      </c>
      <c r="E19" s="1826">
        <v>0</v>
      </c>
      <c r="F19" s="1826">
        <v>782</v>
      </c>
      <c r="G19" s="1826">
        <v>0</v>
      </c>
      <c r="H19" s="1826">
        <v>0</v>
      </c>
      <c r="I19" s="1826">
        <v>782</v>
      </c>
      <c r="J19" s="1826">
        <v>0</v>
      </c>
      <c r="K19" s="1826">
        <v>0</v>
      </c>
      <c r="L19" s="1823">
        <f t="shared" si="0"/>
        <v>782</v>
      </c>
      <c r="M19" s="1826" t="s">
        <v>2099</v>
      </c>
    </row>
    <row r="20" spans="2:14" ht="20.100000000000001" customHeight="1" x14ac:dyDescent="0.2">
      <c r="B20" s="2039" t="s">
        <v>2088</v>
      </c>
      <c r="C20" s="1824">
        <v>10.558999999999999</v>
      </c>
      <c r="D20" s="1825" t="s">
        <v>2097</v>
      </c>
      <c r="E20" s="1826">
        <v>0</v>
      </c>
      <c r="F20" s="1826">
        <v>16838</v>
      </c>
      <c r="G20" s="1826">
        <v>5000</v>
      </c>
      <c r="H20" s="1826">
        <v>0</v>
      </c>
      <c r="I20" s="1826">
        <v>11838</v>
      </c>
      <c r="J20" s="1826">
        <v>0</v>
      </c>
      <c r="K20" s="1826">
        <v>0</v>
      </c>
      <c r="L20" s="1823">
        <f t="shared" si="0"/>
        <v>16838</v>
      </c>
      <c r="M20" s="1826" t="s">
        <v>2099</v>
      </c>
    </row>
    <row r="21" spans="2:14" ht="20.100000000000001" customHeight="1" x14ac:dyDescent="0.2">
      <c r="B21" s="2039" t="s">
        <v>2088</v>
      </c>
      <c r="C21" s="1824">
        <v>10.558999999999999</v>
      </c>
      <c r="D21" s="1825" t="s">
        <v>2098</v>
      </c>
      <c r="E21" s="1826">
        <v>0</v>
      </c>
      <c r="F21" s="1826">
        <v>221701</v>
      </c>
      <c r="G21" s="1826">
        <v>0</v>
      </c>
      <c r="H21" s="1826">
        <v>0</v>
      </c>
      <c r="I21" s="1826">
        <v>121729</v>
      </c>
      <c r="J21" s="1826">
        <v>0</v>
      </c>
      <c r="K21" s="1826">
        <v>0</v>
      </c>
      <c r="L21" s="1823">
        <f t="shared" si="0"/>
        <v>121729</v>
      </c>
      <c r="M21" s="1826" t="s">
        <v>2099</v>
      </c>
    </row>
    <row r="22" spans="2:14" ht="20.100000000000001" customHeight="1" x14ac:dyDescent="0.2">
      <c r="B22" s="2039" t="s">
        <v>2089</v>
      </c>
      <c r="C22" s="1824">
        <v>10.555</v>
      </c>
      <c r="D22" s="1825" t="s">
        <v>2099</v>
      </c>
      <c r="E22" s="1826">
        <v>36432</v>
      </c>
      <c r="F22" s="1826">
        <v>42554</v>
      </c>
      <c r="G22" s="1826">
        <v>36432</v>
      </c>
      <c r="H22" s="1826">
        <v>0</v>
      </c>
      <c r="I22" s="1826">
        <v>42554</v>
      </c>
      <c r="J22" s="1826">
        <v>0</v>
      </c>
      <c r="K22" s="1826">
        <v>0</v>
      </c>
      <c r="L22" s="1823">
        <f t="shared" si="0"/>
        <v>78986</v>
      </c>
      <c r="M22" s="1826" t="s">
        <v>2099</v>
      </c>
    </row>
    <row r="23" spans="2:14" ht="20.100000000000001" customHeight="1" x14ac:dyDescent="0.2">
      <c r="B23" s="2039" t="s">
        <v>2176</v>
      </c>
      <c r="C23" s="1824">
        <v>10.555</v>
      </c>
      <c r="D23" s="1825" t="s">
        <v>2099</v>
      </c>
      <c r="E23" s="1826">
        <v>19560</v>
      </c>
      <c r="F23" s="1826">
        <v>23376</v>
      </c>
      <c r="G23" s="1826">
        <v>19560</v>
      </c>
      <c r="H23" s="1826">
        <v>0</v>
      </c>
      <c r="I23" s="1826">
        <v>23376</v>
      </c>
      <c r="J23" s="1826">
        <v>0</v>
      </c>
      <c r="K23" s="1826">
        <v>0</v>
      </c>
      <c r="L23" s="1823">
        <f t="shared" si="0"/>
        <v>42936</v>
      </c>
      <c r="M23" s="1826" t="s">
        <v>2099</v>
      </c>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2041" t="s">
        <v>2090</v>
      </c>
      <c r="C25" s="1824"/>
      <c r="D25" s="1825"/>
      <c r="E25" s="1826">
        <f>SUM(E14:E24)</f>
        <v>551171</v>
      </c>
      <c r="F25" s="1826">
        <f>SUM(F14:F24)</f>
        <v>902643</v>
      </c>
      <c r="G25" s="1826">
        <f t="shared" ref="G25:K25" si="1">SUM(G14:G24)</f>
        <v>556171</v>
      </c>
      <c r="H25" s="1826">
        <f t="shared" si="1"/>
        <v>0</v>
      </c>
      <c r="I25" s="1826">
        <f t="shared" si="1"/>
        <v>797671</v>
      </c>
      <c r="J25" s="1826">
        <f t="shared" si="1"/>
        <v>0</v>
      </c>
      <c r="K25" s="1826">
        <f t="shared" si="1"/>
        <v>0</v>
      </c>
      <c r="L25" s="1823">
        <f t="shared" si="0"/>
        <v>1353842</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topLeftCell="A7" zoomScaleNormal="100" workbookViewId="0">
      <selection activeCell="F22" sqref="F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tr">
        <f>'Single Audit Cover'!A7</f>
        <v xml:space="preserve">  Lincoln ESD 27</v>
      </c>
      <c r="C1" s="2570"/>
      <c r="D1" s="2570"/>
      <c r="E1" s="2570"/>
      <c r="F1" s="2570"/>
      <c r="G1" s="2570"/>
      <c r="H1" s="2570"/>
      <c r="I1" s="2570"/>
      <c r="J1" s="2570"/>
      <c r="K1" s="2570"/>
      <c r="L1" s="2570"/>
      <c r="M1" s="2570"/>
    </row>
    <row r="2" spans="2:14" ht="15" x14ac:dyDescent="0.2">
      <c r="B2" s="2571">
        <f>'Single Audit Cover'!E7</f>
        <v>17054027002</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4"/>
      <c r="J5" s="1914"/>
    </row>
    <row r="6" spans="2:14" x14ac:dyDescent="0.2">
      <c r="B6" s="1079"/>
      <c r="C6" s="1080"/>
      <c r="D6" s="1081" t="s">
        <v>1254</v>
      </c>
      <c r="E6" s="1082" t="s">
        <v>524</v>
      </c>
      <c r="F6" s="1083"/>
      <c r="G6" s="1084" t="s">
        <v>1708</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9" t="s">
        <v>2100</v>
      </c>
      <c r="C11" s="1821">
        <v>10.582000000000001</v>
      </c>
      <c r="D11" s="1822" t="s">
        <v>2101</v>
      </c>
      <c r="E11" s="1823">
        <v>0</v>
      </c>
      <c r="F11" s="1823">
        <v>2779</v>
      </c>
      <c r="G11" s="1823">
        <v>0</v>
      </c>
      <c r="H11" s="1823">
        <v>0</v>
      </c>
      <c r="I11" s="1823">
        <v>2779</v>
      </c>
      <c r="J11" s="1823">
        <v>0</v>
      </c>
      <c r="K11" s="1823">
        <v>0</v>
      </c>
      <c r="L11" s="1823">
        <f>+G11+I11+K11</f>
        <v>2779</v>
      </c>
      <c r="M11" s="1823" t="s">
        <v>2099</v>
      </c>
    </row>
    <row r="12" spans="2:14" ht="20.100000000000001" customHeight="1" x14ac:dyDescent="0.2">
      <c r="B12" s="2039" t="s">
        <v>2100</v>
      </c>
      <c r="C12" s="1824">
        <v>10.582000000000001</v>
      </c>
      <c r="D12" s="1825" t="s">
        <v>2102</v>
      </c>
      <c r="E12" s="1826">
        <v>0</v>
      </c>
      <c r="F12" s="1826">
        <v>9901</v>
      </c>
      <c r="G12" s="1826">
        <v>0</v>
      </c>
      <c r="H12" s="1826">
        <v>0</v>
      </c>
      <c r="I12" s="1826">
        <v>9901</v>
      </c>
      <c r="J12" s="1826">
        <v>0</v>
      </c>
      <c r="K12" s="1826">
        <v>0</v>
      </c>
      <c r="L12" s="1823">
        <f t="shared" ref="L12:L27" si="0">+G12+I12+K12</f>
        <v>9901</v>
      </c>
      <c r="M12" s="1826" t="s">
        <v>2099</v>
      </c>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2036" t="s">
        <v>2103</v>
      </c>
      <c r="C14" s="1824"/>
      <c r="D14" s="1825"/>
      <c r="E14" s="1826">
        <f>+E12+E11+' SEFA'!E25</f>
        <v>551171</v>
      </c>
      <c r="F14" s="1826">
        <f>+F12+F11+' SEFA'!F25</f>
        <v>915323</v>
      </c>
      <c r="G14" s="1826">
        <f>+G12+G11+' SEFA'!G25</f>
        <v>556171</v>
      </c>
      <c r="H14" s="1826">
        <f>+H12+H11+' SEFA'!H25</f>
        <v>0</v>
      </c>
      <c r="I14" s="1826">
        <f>+I12+I11+' SEFA'!I25</f>
        <v>810351</v>
      </c>
      <c r="J14" s="1826">
        <f>+J12+J11+' SEFA'!J25</f>
        <v>0</v>
      </c>
      <c r="K14" s="1826">
        <f>+K12+K11+' SEFA'!K25</f>
        <v>0</v>
      </c>
      <c r="L14" s="1823">
        <f t="shared" si="0"/>
        <v>1366522</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2036" t="s">
        <v>2104</v>
      </c>
      <c r="C16" s="1824"/>
      <c r="D16" s="1825"/>
      <c r="E16" s="1826"/>
      <c r="F16" s="1826"/>
      <c r="G16" s="1826"/>
      <c r="H16" s="1826"/>
      <c r="I16" s="1826"/>
      <c r="J16" s="1826"/>
      <c r="K16" s="1826"/>
      <c r="L16" s="1823">
        <f t="shared" si="0"/>
        <v>0</v>
      </c>
      <c r="M16" s="1826"/>
    </row>
    <row r="17" spans="2:14" ht="20.100000000000001" customHeight="1" x14ac:dyDescent="0.2">
      <c r="B17" s="2037" t="s">
        <v>2083</v>
      </c>
      <c r="C17" s="1824"/>
      <c r="D17" s="1825"/>
      <c r="E17" s="1826"/>
      <c r="F17" s="1826"/>
      <c r="G17" s="1826"/>
      <c r="H17" s="1826"/>
      <c r="I17" s="1826"/>
      <c r="J17" s="1826"/>
      <c r="K17" s="1826"/>
      <c r="L17" s="1823">
        <f t="shared" si="0"/>
        <v>0</v>
      </c>
      <c r="M17" s="1826"/>
    </row>
    <row r="18" spans="2:14" ht="20.100000000000001" customHeight="1" x14ac:dyDescent="0.2">
      <c r="B18" s="2038" t="s">
        <v>2105</v>
      </c>
      <c r="C18" s="1824">
        <v>84.01</v>
      </c>
      <c r="D18" s="1825" t="s">
        <v>2110</v>
      </c>
      <c r="E18" s="1826">
        <v>232323</v>
      </c>
      <c r="F18" s="1826">
        <v>223670</v>
      </c>
      <c r="G18" s="1826">
        <v>363592</v>
      </c>
      <c r="H18" s="1826">
        <v>0</v>
      </c>
      <c r="I18" s="1826">
        <v>92401</v>
      </c>
      <c r="J18" s="1826">
        <v>0</v>
      </c>
      <c r="K18" s="1826">
        <v>0</v>
      </c>
      <c r="L18" s="1823">
        <f t="shared" si="0"/>
        <v>455993</v>
      </c>
      <c r="M18" s="1826">
        <v>480179</v>
      </c>
    </row>
    <row r="19" spans="2:14" ht="20.100000000000001" customHeight="1" x14ac:dyDescent="0.2">
      <c r="B19" s="2038" t="s">
        <v>2105</v>
      </c>
      <c r="C19" s="1824">
        <v>84.01</v>
      </c>
      <c r="D19" s="1825" t="s">
        <v>2111</v>
      </c>
      <c r="E19" s="1826">
        <v>0</v>
      </c>
      <c r="F19" s="1826">
        <v>221128</v>
      </c>
      <c r="G19" s="1826">
        <v>0</v>
      </c>
      <c r="H19" s="1826">
        <v>0</v>
      </c>
      <c r="I19" s="1826">
        <v>329255</v>
      </c>
      <c r="J19" s="1826">
        <v>0</v>
      </c>
      <c r="K19" s="1826">
        <v>0</v>
      </c>
      <c r="L19" s="1823">
        <f t="shared" si="0"/>
        <v>329255</v>
      </c>
      <c r="M19" s="1826">
        <v>472190</v>
      </c>
    </row>
    <row r="20" spans="2:14" ht="20.100000000000001" customHeight="1" x14ac:dyDescent="0.2">
      <c r="B20" s="2038" t="s">
        <v>2106</v>
      </c>
      <c r="C20" s="1824">
        <v>84.01</v>
      </c>
      <c r="D20" s="1825" t="s">
        <v>2112</v>
      </c>
      <c r="E20" s="1826">
        <v>15300</v>
      </c>
      <c r="F20" s="1826">
        <v>34578</v>
      </c>
      <c r="G20" s="1826">
        <v>35007</v>
      </c>
      <c r="H20" s="1826">
        <v>0</v>
      </c>
      <c r="I20" s="1826">
        <v>14871</v>
      </c>
      <c r="J20" s="1826">
        <v>0</v>
      </c>
      <c r="K20" s="1826">
        <v>0</v>
      </c>
      <c r="L20" s="1823">
        <f t="shared" si="0"/>
        <v>49878</v>
      </c>
      <c r="M20" s="1826">
        <v>49878</v>
      </c>
    </row>
    <row r="21" spans="2:14" ht="20.100000000000001" customHeight="1" x14ac:dyDescent="0.2">
      <c r="B21" s="2038" t="s">
        <v>2106</v>
      </c>
      <c r="C21" s="1824">
        <v>84.01</v>
      </c>
      <c r="D21" s="1825" t="s">
        <v>2113</v>
      </c>
      <c r="E21" s="1826">
        <v>0</v>
      </c>
      <c r="F21" s="1826">
        <v>7101</v>
      </c>
      <c r="G21" s="1826">
        <v>0</v>
      </c>
      <c r="H21" s="1826">
        <v>0</v>
      </c>
      <c r="I21" s="1826">
        <v>14054</v>
      </c>
      <c r="J21" s="1826">
        <v>0</v>
      </c>
      <c r="K21" s="1826">
        <v>0</v>
      </c>
      <c r="L21" s="1823">
        <f t="shared" si="0"/>
        <v>14054</v>
      </c>
      <c r="M21" s="1826">
        <v>30000</v>
      </c>
    </row>
    <row r="22" spans="2:14" ht="20.100000000000001" customHeight="1" x14ac:dyDescent="0.2">
      <c r="B22" s="2038" t="s">
        <v>2107</v>
      </c>
      <c r="C22" s="1824">
        <v>84.367000000000004</v>
      </c>
      <c r="D22" s="1825" t="s">
        <v>2114</v>
      </c>
      <c r="E22" s="1826">
        <v>54319</v>
      </c>
      <c r="F22" s="1826">
        <v>27644</v>
      </c>
      <c r="G22" s="1826">
        <v>67387</v>
      </c>
      <c r="H22" s="1826">
        <v>0</v>
      </c>
      <c r="I22" s="1826">
        <v>14576</v>
      </c>
      <c r="J22" s="1826">
        <v>0</v>
      </c>
      <c r="K22" s="1826">
        <v>0</v>
      </c>
      <c r="L22" s="1823">
        <f t="shared" si="0"/>
        <v>81963</v>
      </c>
      <c r="M22" s="1826">
        <v>89747</v>
      </c>
    </row>
    <row r="23" spans="2:14" ht="20.100000000000001" customHeight="1" x14ac:dyDescent="0.2">
      <c r="B23" s="2038" t="s">
        <v>2107</v>
      </c>
      <c r="C23" s="1824">
        <v>84.367000000000004</v>
      </c>
      <c r="D23" s="1825" t="s">
        <v>2115</v>
      </c>
      <c r="E23" s="1826">
        <v>0</v>
      </c>
      <c r="F23" s="1826">
        <v>42073</v>
      </c>
      <c r="G23" s="1826">
        <v>0</v>
      </c>
      <c r="H23" s="1826">
        <v>0</v>
      </c>
      <c r="I23" s="1826">
        <v>58905</v>
      </c>
      <c r="J23" s="1826">
        <v>0</v>
      </c>
      <c r="K23" s="1826">
        <v>0</v>
      </c>
      <c r="L23" s="1823">
        <f t="shared" si="0"/>
        <v>58905</v>
      </c>
      <c r="M23" s="1826">
        <v>74407</v>
      </c>
    </row>
    <row r="24" spans="2:14" ht="20.100000000000001" customHeight="1" x14ac:dyDescent="0.2">
      <c r="B24" s="2038" t="s">
        <v>2108</v>
      </c>
      <c r="C24" s="1824">
        <v>84.424000000000007</v>
      </c>
      <c r="D24" s="1825" t="s">
        <v>2116</v>
      </c>
      <c r="E24" s="1826">
        <v>20775</v>
      </c>
      <c r="F24" s="1826">
        <v>1382</v>
      </c>
      <c r="G24" s="1826">
        <v>21616</v>
      </c>
      <c r="H24" s="1826">
        <v>0</v>
      </c>
      <c r="I24" s="1826">
        <v>541</v>
      </c>
      <c r="J24" s="1826">
        <v>0</v>
      </c>
      <c r="K24" s="1826">
        <v>0</v>
      </c>
      <c r="L24" s="1823">
        <f t="shared" si="0"/>
        <v>22157</v>
      </c>
      <c r="M24" s="1826">
        <v>34595</v>
      </c>
    </row>
    <row r="25" spans="2:14" ht="20.100000000000001" customHeight="1" x14ac:dyDescent="0.2">
      <c r="B25" s="2038" t="s">
        <v>2108</v>
      </c>
      <c r="C25" s="1824">
        <v>84.424000000000007</v>
      </c>
      <c r="D25" s="1825" t="s">
        <v>2117</v>
      </c>
      <c r="E25" s="1826">
        <v>0</v>
      </c>
      <c r="F25" s="1826">
        <v>38859</v>
      </c>
      <c r="G25" s="1826">
        <v>0</v>
      </c>
      <c r="H25" s="1826">
        <v>0</v>
      </c>
      <c r="I25" s="1826">
        <v>38859</v>
      </c>
      <c r="J25" s="1826">
        <v>0</v>
      </c>
      <c r="K25" s="1826">
        <v>0</v>
      </c>
      <c r="L25" s="1823">
        <f t="shared" si="0"/>
        <v>38859</v>
      </c>
      <c r="M25" s="1826">
        <v>42434</v>
      </c>
    </row>
    <row r="26" spans="2:14" ht="20.100000000000001" customHeight="1" x14ac:dyDescent="0.2">
      <c r="B26" s="2038" t="s">
        <v>2109</v>
      </c>
      <c r="C26" s="1824">
        <v>84.358000000000004</v>
      </c>
      <c r="D26" s="1825" t="s">
        <v>2118</v>
      </c>
      <c r="E26" s="1826">
        <v>8388</v>
      </c>
      <c r="F26" s="1826">
        <v>5521</v>
      </c>
      <c r="G26" s="1826">
        <v>8388</v>
      </c>
      <c r="H26" s="1826">
        <v>0</v>
      </c>
      <c r="I26" s="1826">
        <v>5521</v>
      </c>
      <c r="J26" s="1826">
        <v>0</v>
      </c>
      <c r="K26" s="1826">
        <v>0</v>
      </c>
      <c r="L26" s="1823">
        <f t="shared" si="0"/>
        <v>13909</v>
      </c>
      <c r="M26" s="1826">
        <v>20877</v>
      </c>
    </row>
    <row r="27" spans="2:14" ht="20.100000000000001" customHeight="1" x14ac:dyDescent="0.2">
      <c r="B27" s="2038" t="s">
        <v>2109</v>
      </c>
      <c r="C27" s="1824">
        <v>84.358000000000004</v>
      </c>
      <c r="D27" s="1825" t="s">
        <v>2119</v>
      </c>
      <c r="E27" s="1826">
        <v>0</v>
      </c>
      <c r="F27" s="1826">
        <v>6147</v>
      </c>
      <c r="G27" s="1826">
        <v>0</v>
      </c>
      <c r="H27" s="1826">
        <v>0</v>
      </c>
      <c r="I27" s="1826">
        <v>6147</v>
      </c>
      <c r="J27" s="1826">
        <v>0</v>
      </c>
      <c r="K27" s="1826">
        <v>0</v>
      </c>
      <c r="L27" s="1823">
        <f t="shared" si="0"/>
        <v>6147</v>
      </c>
      <c r="M27" s="1826">
        <v>21496</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8" t="s">
        <v>1158</v>
      </c>
      <c r="B2" s="2158"/>
      <c r="C2" s="2158"/>
      <c r="D2" s="2158"/>
      <c r="E2" s="2158"/>
      <c r="F2" s="2158"/>
      <c r="G2" s="2158"/>
      <c r="H2" s="2158"/>
      <c r="I2" s="2158"/>
      <c r="J2" s="2158"/>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2" t="s">
        <v>1616</v>
      </c>
      <c r="B35" s="2173"/>
      <c r="C35" s="2173"/>
      <c r="D35" s="2173"/>
      <c r="E35" s="2174"/>
      <c r="F35" s="2174"/>
      <c r="G35" s="2174"/>
      <c r="H35" s="2174"/>
      <c r="I35" s="21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2" t="s">
        <v>310</v>
      </c>
      <c r="B47" s="2175"/>
      <c r="C47" s="2175"/>
      <c r="D47" s="2175"/>
      <c r="E47" s="2176"/>
      <c r="F47" s="2176"/>
      <c r="G47" s="2176"/>
      <c r="H47" s="2176"/>
      <c r="I47" s="21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9"/>
      <c r="C57" s="2180"/>
      <c r="D57" s="2180"/>
      <c r="E57" s="2180"/>
      <c r="F57" s="2180"/>
      <c r="G57" s="2180"/>
      <c r="H57" s="2180"/>
      <c r="I57" s="2180"/>
      <c r="J57" s="2181"/>
    </row>
    <row r="58" spans="1:10" s="176" customFormat="1" x14ac:dyDescent="0.2">
      <c r="A58" s="248"/>
      <c r="B58" s="2182"/>
      <c r="C58" s="2183"/>
      <c r="D58" s="2183"/>
      <c r="E58" s="2183"/>
      <c r="F58" s="2183"/>
      <c r="G58" s="2183"/>
      <c r="H58" s="2183"/>
      <c r="I58" s="2183"/>
      <c r="J58" s="2184"/>
    </row>
    <row r="59" spans="1:10" s="176" customFormat="1" x14ac:dyDescent="0.2">
      <c r="A59" s="248"/>
      <c r="B59" s="2182"/>
      <c r="C59" s="2183"/>
      <c r="D59" s="2183"/>
      <c r="E59" s="2183"/>
      <c r="F59" s="2183"/>
      <c r="G59" s="2183"/>
      <c r="H59" s="2183"/>
      <c r="I59" s="2183"/>
      <c r="J59" s="2184"/>
    </row>
    <row r="60" spans="1:10" s="176" customFormat="1" x14ac:dyDescent="0.2">
      <c r="A60" s="248"/>
      <c r="B60" s="2182"/>
      <c r="C60" s="2183"/>
      <c r="D60" s="2183"/>
      <c r="E60" s="2183"/>
      <c r="F60" s="2183"/>
      <c r="G60" s="2183"/>
      <c r="H60" s="2183"/>
      <c r="I60" s="2183"/>
      <c r="J60" s="2184"/>
    </row>
    <row r="61" spans="1:10" s="176" customFormat="1" x14ac:dyDescent="0.2">
      <c r="A61" s="248"/>
      <c r="B61" s="2182"/>
      <c r="C61" s="2183"/>
      <c r="D61" s="2183"/>
      <c r="E61" s="2183"/>
      <c r="F61" s="2183"/>
      <c r="G61" s="2183"/>
      <c r="H61" s="2183"/>
      <c r="I61" s="2183"/>
      <c r="J61" s="2184"/>
    </row>
    <row r="62" spans="1:10" s="176" customFormat="1" x14ac:dyDescent="0.2">
      <c r="A62" s="248"/>
      <c r="B62" s="2182"/>
      <c r="C62" s="2183"/>
      <c r="D62" s="2183"/>
      <c r="E62" s="2183"/>
      <c r="F62" s="2183"/>
      <c r="G62" s="2183"/>
      <c r="H62" s="2183"/>
      <c r="I62" s="2183"/>
      <c r="J62" s="2184"/>
    </row>
    <row r="63" spans="1:10" s="176" customFormat="1" x14ac:dyDescent="0.2">
      <c r="A63" s="248"/>
      <c r="B63" s="2182"/>
      <c r="C63" s="2183"/>
      <c r="D63" s="2183"/>
      <c r="E63" s="2183"/>
      <c r="F63" s="2183"/>
      <c r="G63" s="2183"/>
      <c r="H63" s="2183"/>
      <c r="I63" s="2183"/>
      <c r="J63" s="2184"/>
    </row>
    <row r="64" spans="1:10" s="176" customFormat="1" x14ac:dyDescent="0.2">
      <c r="A64" s="248"/>
      <c r="B64" s="2182"/>
      <c r="C64" s="2183"/>
      <c r="D64" s="2183"/>
      <c r="E64" s="2183"/>
      <c r="F64" s="2183"/>
      <c r="G64" s="2183"/>
      <c r="H64" s="2183"/>
      <c r="I64" s="2183"/>
      <c r="J64" s="2184"/>
    </row>
    <row r="65" spans="1:11" s="176" customFormat="1" x14ac:dyDescent="0.2">
      <c r="A65" s="248"/>
      <c r="B65" s="2182"/>
      <c r="C65" s="2183"/>
      <c r="D65" s="2183"/>
      <c r="E65" s="2183"/>
      <c r="F65" s="2183"/>
      <c r="G65" s="2183"/>
      <c r="H65" s="2183"/>
      <c r="I65" s="2183"/>
      <c r="J65" s="2184"/>
    </row>
    <row r="66" spans="1:11" s="176" customFormat="1" x14ac:dyDescent="0.2">
      <c r="A66" s="248"/>
      <c r="B66" s="2182"/>
      <c r="C66" s="2183"/>
      <c r="D66" s="2183"/>
      <c r="E66" s="2183"/>
      <c r="F66" s="2183"/>
      <c r="G66" s="2183"/>
      <c r="H66" s="2183"/>
      <c r="I66" s="2183"/>
      <c r="J66" s="2184"/>
    </row>
    <row r="67" spans="1:11" s="176" customFormat="1" ht="9" customHeight="1" x14ac:dyDescent="0.2">
      <c r="A67" s="249"/>
      <c r="B67" s="2185"/>
      <c r="C67" s="2186"/>
      <c r="D67" s="2186"/>
      <c r="E67" s="2186"/>
      <c r="F67" s="2186"/>
      <c r="G67" s="2186"/>
      <c r="H67" s="2186"/>
      <c r="I67" s="2186"/>
      <c r="J67" s="218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2" t="s">
        <v>1312</v>
      </c>
      <c r="B70" s="2175"/>
      <c r="C70" s="2175"/>
      <c r="D70" s="2175"/>
      <c r="E70" s="2176"/>
      <c r="F70" s="2176"/>
      <c r="G70" s="2176"/>
      <c r="H70" s="2176"/>
      <c r="I70" s="217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7" t="s">
        <v>1309</v>
      </c>
      <c r="B83" s="2177"/>
      <c r="C83" s="2177"/>
      <c r="D83" s="2178"/>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8" t="s">
        <v>1986</v>
      </c>
      <c r="B85" s="2188"/>
      <c r="C85" s="2188"/>
      <c r="D85" s="2189"/>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0" t="s">
        <v>1986</v>
      </c>
      <c r="B88" s="2191"/>
      <c r="C88" s="2191"/>
      <c r="D88" s="2192"/>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9"/>
      <c r="C102" s="2160"/>
      <c r="D102" s="2160"/>
      <c r="E102" s="2160"/>
      <c r="F102" s="2160"/>
      <c r="G102" s="2160"/>
      <c r="H102" s="2160"/>
      <c r="I102" s="2161"/>
    </row>
    <row r="103" spans="1:9" s="176" customFormat="1" ht="11.25" customHeight="1" x14ac:dyDescent="0.2">
      <c r="A103" s="294"/>
      <c r="B103" s="2162"/>
      <c r="C103" s="2163"/>
      <c r="D103" s="2163"/>
      <c r="E103" s="2163"/>
      <c r="F103" s="2163"/>
      <c r="G103" s="2163"/>
      <c r="H103" s="2163"/>
      <c r="I103" s="2164"/>
    </row>
    <row r="104" spans="1:9" s="176" customFormat="1" ht="11.25" customHeight="1" x14ac:dyDescent="0.2">
      <c r="A104" s="294"/>
      <c r="B104" s="2162"/>
      <c r="C104" s="2163"/>
      <c r="D104" s="2163"/>
      <c r="E104" s="2163"/>
      <c r="F104" s="2163"/>
      <c r="G104" s="2163"/>
      <c r="H104" s="2163"/>
      <c r="I104" s="2164"/>
    </row>
    <row r="105" spans="1:9" s="176" customFormat="1" x14ac:dyDescent="0.2">
      <c r="A105" s="294"/>
      <c r="B105" s="2162"/>
      <c r="C105" s="2163"/>
      <c r="D105" s="2163"/>
      <c r="E105" s="2163"/>
      <c r="F105" s="2163"/>
      <c r="G105" s="2163"/>
      <c r="H105" s="2163"/>
      <c r="I105" s="2164"/>
    </row>
    <row r="106" spans="1:9" s="176" customFormat="1" ht="11.25" customHeight="1" x14ac:dyDescent="0.2">
      <c r="A106" s="294"/>
      <c r="B106" s="2162"/>
      <c r="C106" s="2163"/>
      <c r="D106" s="2163"/>
      <c r="E106" s="2163"/>
      <c r="F106" s="2163"/>
      <c r="G106" s="2163"/>
      <c r="H106" s="2163"/>
      <c r="I106" s="2164"/>
    </row>
    <row r="107" spans="1:9" s="176" customFormat="1" ht="11.25" customHeight="1" x14ac:dyDescent="0.2">
      <c r="A107" s="294"/>
      <c r="B107" s="2162"/>
      <c r="C107" s="2163"/>
      <c r="D107" s="2163"/>
      <c r="E107" s="2163"/>
      <c r="F107" s="2163"/>
      <c r="G107" s="2163"/>
      <c r="H107" s="2163"/>
      <c r="I107" s="2164"/>
    </row>
    <row r="108" spans="1:9" s="176" customFormat="1" ht="11.25" customHeight="1" x14ac:dyDescent="0.2">
      <c r="A108" s="294"/>
      <c r="B108" s="2162"/>
      <c r="C108" s="2163"/>
      <c r="D108" s="2163"/>
      <c r="E108" s="2163"/>
      <c r="F108" s="2163"/>
      <c r="G108" s="2163"/>
      <c r="H108" s="2163"/>
      <c r="I108" s="2164"/>
    </row>
    <row r="109" spans="1:9" s="176" customFormat="1" ht="11.25" customHeight="1" x14ac:dyDescent="0.2">
      <c r="A109" s="294"/>
      <c r="B109" s="2162"/>
      <c r="C109" s="2163"/>
      <c r="D109" s="2163"/>
      <c r="E109" s="2163"/>
      <c r="F109" s="2163"/>
      <c r="G109" s="2163"/>
      <c r="H109" s="2163"/>
      <c r="I109" s="2164"/>
    </row>
    <row r="110" spans="1:9" s="176" customFormat="1" ht="11.25" customHeight="1" x14ac:dyDescent="0.2">
      <c r="A110" s="294"/>
      <c r="B110" s="2162"/>
      <c r="C110" s="2163"/>
      <c r="D110" s="2163"/>
      <c r="E110" s="2163"/>
      <c r="F110" s="2163"/>
      <c r="G110" s="2163"/>
      <c r="H110" s="2163"/>
      <c r="I110" s="2164"/>
    </row>
    <row r="111" spans="1:9" s="176" customFormat="1" ht="11.25" customHeight="1" x14ac:dyDescent="0.2">
      <c r="A111" s="294"/>
      <c r="B111" s="2162"/>
      <c r="C111" s="2163"/>
      <c r="D111" s="2163"/>
      <c r="E111" s="2163"/>
      <c r="F111" s="2163"/>
      <c r="G111" s="2163"/>
      <c r="H111" s="2163"/>
      <c r="I111" s="2164"/>
    </row>
    <row r="112" spans="1:9" s="176" customFormat="1" ht="11.25" customHeight="1" x14ac:dyDescent="0.2">
      <c r="A112" s="294"/>
      <c r="B112" s="2165"/>
      <c r="C112" s="2166"/>
      <c r="D112" s="2166"/>
      <c r="E112" s="2166"/>
      <c r="F112" s="2166"/>
      <c r="G112" s="2166"/>
      <c r="H112" s="2166"/>
      <c r="I112" s="21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8" t="s">
        <v>2056</v>
      </c>
      <c r="D114" s="216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9" t="s">
        <v>1319</v>
      </c>
      <c r="D117" s="2170"/>
      <c r="E117" s="2171"/>
      <c r="F117" s="2171"/>
      <c r="G117" s="2171"/>
      <c r="H117" s="217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35"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Normal="100" workbookViewId="0">
      <selection activeCell="F22" sqref="F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tr">
        <f>'Single Audit Cover'!A7</f>
        <v xml:space="preserve">  Lincoln ESD 27</v>
      </c>
      <c r="C1" s="2570"/>
      <c r="D1" s="2570"/>
      <c r="E1" s="2570"/>
      <c r="F1" s="2570"/>
      <c r="G1" s="2570"/>
      <c r="H1" s="2570"/>
      <c r="I1" s="2570"/>
      <c r="J1" s="2570"/>
      <c r="K1" s="2570"/>
      <c r="L1" s="2570"/>
      <c r="M1" s="2570"/>
    </row>
    <row r="2" spans="2:14" ht="15" x14ac:dyDescent="0.2">
      <c r="B2" s="2571">
        <f>'Single Audit Cover'!E7</f>
        <v>17054027002</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4"/>
      <c r="J5" s="1914"/>
    </row>
    <row r="6" spans="2:14" x14ac:dyDescent="0.2">
      <c r="B6" s="1079"/>
      <c r="C6" s="1080"/>
      <c r="D6" s="1081" t="s">
        <v>1254</v>
      </c>
      <c r="E6" s="1082" t="s">
        <v>524</v>
      </c>
      <c r="F6" s="1083"/>
      <c r="G6" s="1084" t="s">
        <v>1708</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7" t="s">
        <v>2131</v>
      </c>
      <c r="C11" s="1821" t="s">
        <v>2132</v>
      </c>
      <c r="D11" s="1822" t="s">
        <v>2133</v>
      </c>
      <c r="E11" s="1823">
        <v>0</v>
      </c>
      <c r="F11" s="1823">
        <v>0</v>
      </c>
      <c r="G11" s="1823">
        <v>0</v>
      </c>
      <c r="H11" s="1823">
        <v>0</v>
      </c>
      <c r="I11" s="1823">
        <v>88597</v>
      </c>
      <c r="J11" s="1823">
        <v>0</v>
      </c>
      <c r="K11" s="1823">
        <v>0</v>
      </c>
      <c r="L11" s="1823">
        <f t="shared" ref="L11:L22" si="0">+G11+I11+K11</f>
        <v>88597</v>
      </c>
      <c r="M11" s="1823">
        <v>373382</v>
      </c>
    </row>
    <row r="12" spans="2:14" ht="20.100000000000001" customHeight="1" x14ac:dyDescent="0.2">
      <c r="B12" s="2040" t="s">
        <v>2120</v>
      </c>
      <c r="C12" s="1821"/>
      <c r="D12" s="1822"/>
      <c r="E12" s="1823"/>
      <c r="F12" s="1823"/>
      <c r="G12" s="1823"/>
      <c r="H12" s="1823"/>
      <c r="I12" s="1823"/>
      <c r="J12" s="1823"/>
      <c r="K12" s="1823"/>
      <c r="L12" s="1823">
        <f t="shared" si="0"/>
        <v>0</v>
      </c>
      <c r="M12" s="1826"/>
    </row>
    <row r="13" spans="2:14" ht="20.100000000000001" customHeight="1" x14ac:dyDescent="0.2">
      <c r="B13" s="2038" t="s">
        <v>2121</v>
      </c>
      <c r="C13" s="1824"/>
      <c r="D13" s="1825"/>
      <c r="E13" s="1826"/>
      <c r="F13" s="1826"/>
      <c r="G13" s="1826"/>
      <c r="H13" s="1826"/>
      <c r="I13" s="1826"/>
      <c r="J13" s="1826"/>
      <c r="K13" s="1826"/>
      <c r="L13" s="1823">
        <f t="shared" si="0"/>
        <v>0</v>
      </c>
      <c r="M13" s="1826"/>
    </row>
    <row r="14" spans="2:14" ht="20.100000000000001" customHeight="1" x14ac:dyDescent="0.2">
      <c r="B14" s="2039" t="s">
        <v>2122</v>
      </c>
      <c r="C14" s="1824">
        <v>84.173000000000002</v>
      </c>
      <c r="D14" s="1825" t="s">
        <v>2125</v>
      </c>
      <c r="E14" s="1826">
        <v>13369</v>
      </c>
      <c r="F14" s="1826">
        <v>957</v>
      </c>
      <c r="G14" s="1826">
        <v>14326</v>
      </c>
      <c r="H14" s="1826">
        <v>0</v>
      </c>
      <c r="I14" s="1826">
        <v>0</v>
      </c>
      <c r="J14" s="1826">
        <v>0</v>
      </c>
      <c r="K14" s="1826">
        <v>0</v>
      </c>
      <c r="L14" s="1823">
        <f t="shared" si="0"/>
        <v>14326</v>
      </c>
      <c r="M14" s="1826">
        <v>14344</v>
      </c>
    </row>
    <row r="15" spans="2:14" ht="20.100000000000001" customHeight="1" x14ac:dyDescent="0.2">
      <c r="B15" s="2039" t="s">
        <v>2123</v>
      </c>
      <c r="C15" s="1824">
        <v>84.027000000000001</v>
      </c>
      <c r="D15" s="1825" t="s">
        <v>2127</v>
      </c>
      <c r="E15" s="1826">
        <v>216193</v>
      </c>
      <c r="F15" s="1826">
        <v>49998</v>
      </c>
      <c r="G15" s="1826">
        <v>266191</v>
      </c>
      <c r="H15" s="1826">
        <v>0</v>
      </c>
      <c r="I15" s="1826">
        <v>0</v>
      </c>
      <c r="J15" s="1826">
        <v>0</v>
      </c>
      <c r="K15" s="1826">
        <v>0</v>
      </c>
      <c r="L15" s="1823">
        <f t="shared" si="0"/>
        <v>266191</v>
      </c>
      <c r="M15" s="1826">
        <v>266191</v>
      </c>
    </row>
    <row r="16" spans="2:14" ht="20.100000000000001" customHeight="1" x14ac:dyDescent="0.2">
      <c r="B16" s="2038" t="s">
        <v>2124</v>
      </c>
      <c r="C16" s="1824"/>
      <c r="D16" s="1825"/>
      <c r="E16" s="1826"/>
      <c r="F16" s="1826"/>
      <c r="G16" s="1826"/>
      <c r="H16" s="1826"/>
      <c r="I16" s="1826"/>
      <c r="J16" s="1826"/>
      <c r="K16" s="1826"/>
      <c r="L16" s="1823">
        <f t="shared" si="0"/>
        <v>0</v>
      </c>
      <c r="M16" s="1826"/>
    </row>
    <row r="17" spans="2:14" ht="20.100000000000001" customHeight="1" x14ac:dyDescent="0.2">
      <c r="B17" s="2039" t="s">
        <v>2122</v>
      </c>
      <c r="C17" s="1824">
        <v>84.173000000000002</v>
      </c>
      <c r="D17" s="1825" t="s">
        <v>2126</v>
      </c>
      <c r="E17" s="1826">
        <v>0</v>
      </c>
      <c r="F17" s="1826">
        <v>16954</v>
      </c>
      <c r="G17" s="1826">
        <v>0</v>
      </c>
      <c r="H17" s="1826">
        <v>0</v>
      </c>
      <c r="I17" s="1826">
        <v>20220</v>
      </c>
      <c r="J17" s="1826">
        <v>0</v>
      </c>
      <c r="K17" s="1826">
        <v>0</v>
      </c>
      <c r="L17" s="1823">
        <f t="shared" si="0"/>
        <v>20220</v>
      </c>
      <c r="M17" s="1826">
        <v>20220</v>
      </c>
    </row>
    <row r="18" spans="2:14" ht="20.100000000000001" customHeight="1" x14ac:dyDescent="0.2">
      <c r="B18" s="2039" t="s">
        <v>2123</v>
      </c>
      <c r="C18" s="1824">
        <v>84.027000000000001</v>
      </c>
      <c r="D18" s="1825" t="s">
        <v>2128</v>
      </c>
      <c r="E18" s="1826">
        <v>0</v>
      </c>
      <c r="F18" s="1826">
        <v>208980</v>
      </c>
      <c r="G18" s="1826">
        <v>0</v>
      </c>
      <c r="H18" s="1826">
        <v>0</v>
      </c>
      <c r="I18" s="1826">
        <v>269849</v>
      </c>
      <c r="J18" s="1826">
        <v>0</v>
      </c>
      <c r="K18" s="1826">
        <v>0</v>
      </c>
      <c r="L18" s="1823">
        <f t="shared" si="0"/>
        <v>269849</v>
      </c>
      <c r="M18" s="1826">
        <v>331057</v>
      </c>
    </row>
    <row r="19" spans="2:14" ht="20.100000000000001" customHeight="1" x14ac:dyDescent="0.2">
      <c r="B19" s="2039" t="s">
        <v>2123</v>
      </c>
      <c r="C19" s="1824">
        <v>84.027000000000001</v>
      </c>
      <c r="D19" s="1825" t="s">
        <v>2129</v>
      </c>
      <c r="E19" s="1826">
        <v>0</v>
      </c>
      <c r="F19" s="1826">
        <v>2700</v>
      </c>
      <c r="G19" s="1826">
        <v>0</v>
      </c>
      <c r="H19" s="1826">
        <v>0</v>
      </c>
      <c r="I19" s="1826">
        <v>2700</v>
      </c>
      <c r="J19" s="1826">
        <v>0</v>
      </c>
      <c r="K19" s="1826">
        <v>0</v>
      </c>
      <c r="L19" s="1823">
        <f t="shared" si="0"/>
        <v>2700</v>
      </c>
      <c r="M19" s="1826">
        <v>2700</v>
      </c>
    </row>
    <row r="20" spans="2:14" ht="20.100000000000001" customHeight="1" x14ac:dyDescent="0.2">
      <c r="B20" s="2040" t="s">
        <v>2130</v>
      </c>
      <c r="C20" s="1824"/>
      <c r="D20" s="1825"/>
      <c r="E20" s="1826">
        <f>SUM(E14:E19)</f>
        <v>229562</v>
      </c>
      <c r="F20" s="1826">
        <f t="shared" ref="F20" si="1">SUM(F14:F19)</f>
        <v>279589</v>
      </c>
      <c r="G20" s="1826">
        <f t="shared" ref="G20" si="2">SUM(G14:G19)</f>
        <v>280517</v>
      </c>
      <c r="H20" s="1826">
        <f t="shared" ref="H20" si="3">SUM(H14:H19)</f>
        <v>0</v>
      </c>
      <c r="I20" s="1826">
        <f t="shared" ref="I20" si="4">SUM(I14:I19)</f>
        <v>292769</v>
      </c>
      <c r="J20" s="1826">
        <f t="shared" ref="J20" si="5">SUM(J14:J19)</f>
        <v>0</v>
      </c>
      <c r="K20" s="1826">
        <f t="shared" ref="K20" si="6">SUM(K14:K19)</f>
        <v>0</v>
      </c>
      <c r="L20" s="1823">
        <f t="shared" si="0"/>
        <v>573286</v>
      </c>
      <c r="M20" s="1826"/>
    </row>
    <row r="21" spans="2:14" ht="20.100000000000001" customHeight="1" x14ac:dyDescent="0.2">
      <c r="B21" s="2039"/>
      <c r="C21" s="1824"/>
      <c r="D21" s="1825"/>
      <c r="E21" s="1826"/>
      <c r="F21" s="1826"/>
      <c r="G21" s="1826"/>
      <c r="H21" s="1826"/>
      <c r="I21" s="1826"/>
      <c r="J21" s="1826"/>
      <c r="K21" s="1826"/>
      <c r="L21" s="1823">
        <f t="shared" si="0"/>
        <v>0</v>
      </c>
      <c r="M21" s="1826"/>
    </row>
    <row r="22" spans="2:14" ht="20.100000000000001" customHeight="1" x14ac:dyDescent="0.2">
      <c r="B22" s="2040" t="s">
        <v>2134</v>
      </c>
      <c r="C22" s="1824"/>
      <c r="D22" s="1825"/>
      <c r="E22" s="1826">
        <f>+E20+E11+' SEFA A'!E27+' SEFA A'!E26+' SEFA A'!E25+' SEFA A'!E24+' SEFA A'!E23+' SEFA A'!E22+' SEFA A'!E21+' SEFA A'!E20+' SEFA A'!E19+' SEFA A'!E18</f>
        <v>560667</v>
      </c>
      <c r="F22" s="1826">
        <f>+F20+F11+' SEFA A'!F27+' SEFA A'!F26+' SEFA A'!F25+' SEFA A'!F24+' SEFA A'!F23+' SEFA A'!F22+' SEFA A'!F21+' SEFA A'!F20+' SEFA A'!F19+' SEFA A'!F18</f>
        <v>887692</v>
      </c>
      <c r="G22" s="1826">
        <f>+G20+G11+' SEFA A'!G27+' SEFA A'!G26+' SEFA A'!G25+' SEFA A'!G24+' SEFA A'!G23+' SEFA A'!G22+' SEFA A'!G21+' SEFA A'!G20+' SEFA A'!G19+' SEFA A'!G18</f>
        <v>776507</v>
      </c>
      <c r="H22" s="1826">
        <f>+H20+H11+' SEFA A'!H27+' SEFA A'!H26+' SEFA A'!H25+' SEFA A'!H24+' SEFA A'!H23+' SEFA A'!H22+' SEFA A'!H21+' SEFA A'!H20+' SEFA A'!H19+' SEFA A'!H18</f>
        <v>0</v>
      </c>
      <c r="I22" s="1826">
        <f>+I20+I11+' SEFA A'!I27+' SEFA A'!I26+' SEFA A'!I25+' SEFA A'!I24+' SEFA A'!I23+' SEFA A'!I22+' SEFA A'!I21+' SEFA A'!I20+' SEFA A'!I19+' SEFA A'!I18</f>
        <v>956496</v>
      </c>
      <c r="J22" s="1826">
        <f>+J20+J11+' SEFA A'!J27+' SEFA A'!J26+' SEFA A'!J25+' SEFA A'!J24+' SEFA A'!J23+' SEFA A'!J22+' SEFA A'!J21+' SEFA A'!J20+' SEFA A'!J19+' SEFA A'!J18</f>
        <v>0</v>
      </c>
      <c r="K22" s="1826">
        <f>+K20+K11+' SEFA A'!K27+' SEFA A'!K26+' SEFA A'!K25+' SEFA A'!K24+' SEFA A'!K23+' SEFA A'!K22+' SEFA A'!K21+' SEFA A'!K20+' SEFA A'!K19+' SEFA A'!K18</f>
        <v>0</v>
      </c>
      <c r="L22" s="1823">
        <f t="shared" si="0"/>
        <v>1733003</v>
      </c>
      <c r="M22" s="1826"/>
    </row>
    <row r="23" spans="2:14" ht="20.100000000000001" customHeight="1" x14ac:dyDescent="0.2">
      <c r="B23" s="1113"/>
      <c r="C23" s="1824"/>
      <c r="D23" s="1825"/>
      <c r="E23" s="1826"/>
      <c r="F23" s="1826"/>
      <c r="G23" s="1826"/>
      <c r="H23" s="1826"/>
      <c r="I23" s="1826"/>
      <c r="J23" s="1826"/>
      <c r="K23" s="1826"/>
      <c r="L23" s="1823">
        <f t="shared" ref="L23:L27" si="7">+G23+I23+K23</f>
        <v>0</v>
      </c>
      <c r="M23" s="1826"/>
    </row>
    <row r="24" spans="2:14" ht="20.100000000000001" customHeight="1" x14ac:dyDescent="0.2">
      <c r="B24" s="1113"/>
      <c r="C24" s="1824"/>
      <c r="D24" s="1825"/>
      <c r="E24" s="1826"/>
      <c r="F24" s="1826"/>
      <c r="G24" s="1826"/>
      <c r="H24" s="1826"/>
      <c r="I24" s="1826"/>
      <c r="J24" s="1826"/>
      <c r="K24" s="1826"/>
      <c r="L24" s="1823">
        <f t="shared" si="7"/>
        <v>0</v>
      </c>
      <c r="M24" s="1826"/>
    </row>
    <row r="25" spans="2:14" ht="20.100000000000001" customHeight="1" x14ac:dyDescent="0.2">
      <c r="B25" s="1113"/>
      <c r="C25" s="1824"/>
      <c r="D25" s="1825"/>
      <c r="E25" s="1826"/>
      <c r="F25" s="1826"/>
      <c r="G25" s="1826"/>
      <c r="H25" s="1826"/>
      <c r="I25" s="1826"/>
      <c r="J25" s="1826"/>
      <c r="K25" s="1826"/>
      <c r="L25" s="1823">
        <f t="shared" si="7"/>
        <v>0</v>
      </c>
      <c r="M25" s="1826"/>
    </row>
    <row r="26" spans="2:14" ht="20.100000000000001" customHeight="1" x14ac:dyDescent="0.2">
      <c r="B26" s="1113"/>
      <c r="C26" s="1824"/>
      <c r="D26" s="1825"/>
      <c r="E26" s="1826"/>
      <c r="F26" s="1826"/>
      <c r="G26" s="1826"/>
      <c r="H26" s="1826"/>
      <c r="I26" s="1826"/>
      <c r="J26" s="1826"/>
      <c r="K26" s="1826"/>
      <c r="L26" s="1823">
        <f t="shared" si="7"/>
        <v>0</v>
      </c>
      <c r="M26" s="1826"/>
    </row>
    <row r="27" spans="2:14" ht="20.100000000000001" customHeight="1" x14ac:dyDescent="0.2">
      <c r="B27" s="1113"/>
      <c r="C27" s="1824"/>
      <c r="D27" s="1825"/>
      <c r="E27" s="1826"/>
      <c r="F27" s="1826"/>
      <c r="G27" s="1826"/>
      <c r="H27" s="1826"/>
      <c r="I27" s="1826"/>
      <c r="J27" s="1826"/>
      <c r="K27" s="1826"/>
      <c r="L27" s="1823">
        <f t="shared" si="7"/>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41B</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F22" sqref="F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8" t="str">
        <f>'Single Audit Cover'!A7</f>
        <v xml:space="preserve">  Lincoln ESD 27</v>
      </c>
      <c r="C1" s="2570"/>
      <c r="D1" s="2570"/>
      <c r="E1" s="2570"/>
      <c r="F1" s="2570"/>
      <c r="G1" s="2570"/>
      <c r="H1" s="2570"/>
      <c r="I1" s="2570"/>
      <c r="J1" s="2570"/>
      <c r="K1" s="2570"/>
      <c r="L1" s="2570"/>
      <c r="M1" s="2570"/>
    </row>
    <row r="2" spans="2:14" ht="15" x14ac:dyDescent="0.2">
      <c r="B2" s="2571">
        <f>'Single Audit Cover'!E7</f>
        <v>17054027002</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4"/>
      <c r="J5" s="1914"/>
    </row>
    <row r="6" spans="2:14" x14ac:dyDescent="0.2">
      <c r="B6" s="1079"/>
      <c r="C6" s="1080"/>
      <c r="D6" s="1081" t="s">
        <v>1254</v>
      </c>
      <c r="E6" s="1082" t="s">
        <v>524</v>
      </c>
      <c r="F6" s="1083"/>
      <c r="G6" s="1084" t="s">
        <v>1708</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6" t="s">
        <v>2135</v>
      </c>
      <c r="C11" s="1821"/>
      <c r="D11" s="1822"/>
      <c r="E11" s="1823"/>
      <c r="F11" s="1823"/>
      <c r="G11" s="1823"/>
      <c r="H11" s="1823"/>
      <c r="I11" s="1823"/>
      <c r="J11" s="1823"/>
      <c r="K11" s="1823"/>
      <c r="L11" s="1823">
        <f>+G11+I11+K11</f>
        <v>0</v>
      </c>
      <c r="M11" s="1823"/>
    </row>
    <row r="12" spans="2:14" ht="20.100000000000001" customHeight="1" x14ac:dyDescent="0.2">
      <c r="B12" s="2037" t="s">
        <v>2136</v>
      </c>
      <c r="C12" s="1824"/>
      <c r="D12" s="1825"/>
      <c r="E12" s="1826"/>
      <c r="F12" s="1826"/>
      <c r="G12" s="1826"/>
      <c r="H12" s="1826"/>
      <c r="I12" s="1826"/>
      <c r="J12" s="1826"/>
      <c r="K12" s="1826"/>
      <c r="L12" s="1823">
        <f t="shared" ref="L12:L27" si="0">+G12+I12+K12</f>
        <v>0</v>
      </c>
      <c r="M12" s="1826"/>
    </row>
    <row r="13" spans="2:14" ht="20.100000000000001" customHeight="1" x14ac:dyDescent="0.2">
      <c r="B13" s="2038" t="s">
        <v>2137</v>
      </c>
      <c r="C13" s="1824">
        <v>93.778000000000006</v>
      </c>
      <c r="D13" s="1825" t="s">
        <v>2138</v>
      </c>
      <c r="E13" s="1826">
        <v>15486</v>
      </c>
      <c r="F13" s="1826">
        <v>5787</v>
      </c>
      <c r="G13" s="1826">
        <v>21273</v>
      </c>
      <c r="H13" s="1826">
        <v>0</v>
      </c>
      <c r="I13" s="1826">
        <v>0</v>
      </c>
      <c r="J13" s="1826">
        <v>0</v>
      </c>
      <c r="K13" s="1826">
        <v>0</v>
      </c>
      <c r="L13" s="1823">
        <f t="shared" si="0"/>
        <v>21273</v>
      </c>
      <c r="M13" s="1826" t="s">
        <v>2099</v>
      </c>
    </row>
    <row r="14" spans="2:14" ht="20.100000000000001" customHeight="1" x14ac:dyDescent="0.2">
      <c r="B14" s="2038" t="s">
        <v>2137</v>
      </c>
      <c r="C14" s="1824">
        <v>93.778000000000006</v>
      </c>
      <c r="D14" s="1825" t="s">
        <v>2139</v>
      </c>
      <c r="E14" s="1826">
        <v>0</v>
      </c>
      <c r="F14" s="1826">
        <v>18214</v>
      </c>
      <c r="G14" s="1826">
        <v>0</v>
      </c>
      <c r="H14" s="1826">
        <v>0</v>
      </c>
      <c r="I14" s="1826">
        <v>29201</v>
      </c>
      <c r="J14" s="1826">
        <v>0</v>
      </c>
      <c r="K14" s="1826">
        <v>0</v>
      </c>
      <c r="L14" s="1823">
        <f t="shared" si="0"/>
        <v>29201</v>
      </c>
      <c r="M14" s="1826" t="s">
        <v>2099</v>
      </c>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2036" t="s">
        <v>2140</v>
      </c>
      <c r="C16" s="1824"/>
      <c r="D16" s="1825"/>
      <c r="E16" s="1826">
        <f>SUM(E13:E15)</f>
        <v>15486</v>
      </c>
      <c r="F16" s="1826">
        <f t="shared" ref="F16:K16" si="1">SUM(F13:F15)</f>
        <v>24001</v>
      </c>
      <c r="G16" s="1826">
        <f t="shared" si="1"/>
        <v>21273</v>
      </c>
      <c r="H16" s="1826">
        <f t="shared" si="1"/>
        <v>0</v>
      </c>
      <c r="I16" s="1826">
        <f t="shared" si="1"/>
        <v>29201</v>
      </c>
      <c r="J16" s="1826">
        <f t="shared" si="1"/>
        <v>0</v>
      </c>
      <c r="K16" s="1826">
        <f t="shared" si="1"/>
        <v>0</v>
      </c>
      <c r="L16" s="1823">
        <f t="shared" si="0"/>
        <v>50474</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2036" t="s">
        <v>2141</v>
      </c>
      <c r="C18" s="1824"/>
      <c r="D18" s="1825"/>
      <c r="E18" s="1826">
        <f>+E16+' SEFA B'!E22+' SEFA A'!E14</f>
        <v>1127324</v>
      </c>
      <c r="F18" s="1826">
        <f>+F16+' SEFA B'!F22+' SEFA A'!F14</f>
        <v>1827016</v>
      </c>
      <c r="G18" s="1826">
        <f>+G16+' SEFA B'!G22+' SEFA A'!G14</f>
        <v>1353951</v>
      </c>
      <c r="H18" s="1826">
        <f>+H16+' SEFA B'!H22+' SEFA A'!H14</f>
        <v>0</v>
      </c>
      <c r="I18" s="1826">
        <f>+I16+' SEFA B'!I22+' SEFA A'!I14</f>
        <v>1796048</v>
      </c>
      <c r="J18" s="1826">
        <f>+J16+' SEFA B'!J22+' SEFA A'!J14</f>
        <v>0</v>
      </c>
      <c r="K18" s="1826">
        <f>+K16+' SEFA B'!K22+' SEFA A'!K14</f>
        <v>0</v>
      </c>
      <c r="L18" s="1823">
        <f t="shared" si="0"/>
        <v>3149999</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41C</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 xml:space="preserve">  Lincoln ESD 27</v>
      </c>
      <c r="B1" s="2583"/>
      <c r="C1" s="2583"/>
      <c r="D1" s="2583"/>
      <c r="E1" s="2583"/>
      <c r="F1" s="2583"/>
    </row>
    <row r="2" spans="1:7" ht="13.5" customHeight="1" x14ac:dyDescent="0.2">
      <c r="A2" s="2571">
        <f>'Single Audit Cover'!E7</f>
        <v>17054027002</v>
      </c>
      <c r="B2" s="2571"/>
      <c r="C2" s="2571"/>
      <c r="D2" s="2571"/>
      <c r="E2" s="2571"/>
      <c r="F2" s="2571"/>
      <c r="G2" s="1051"/>
    </row>
    <row r="3" spans="1:7" ht="15.75" customHeight="1" x14ac:dyDescent="0.2">
      <c r="A3" s="2584" t="s">
        <v>1260</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1705</v>
      </c>
      <c r="C6" s="295"/>
      <c r="D6" s="295"/>
    </row>
    <row r="7" spans="1:7" ht="60.95" customHeight="1" x14ac:dyDescent="0.2">
      <c r="A7" s="2582" t="s">
        <v>2142</v>
      </c>
      <c r="B7" s="2582"/>
      <c r="C7" s="2582"/>
      <c r="D7" s="2582"/>
      <c r="E7" s="2582"/>
      <c r="F7" s="2582"/>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2" t="s">
        <v>2143</v>
      </c>
      <c r="B13" s="2582"/>
      <c r="C13" s="2582"/>
      <c r="D13" s="2582"/>
      <c r="E13" s="2582"/>
      <c r="F13" s="2582"/>
    </row>
    <row r="14" spans="1:7" ht="9.75" customHeight="1" x14ac:dyDescent="0.2">
      <c r="C14" s="1036"/>
      <c r="D14" s="1036"/>
    </row>
    <row r="15" spans="1:7" ht="13.5" customHeight="1" x14ac:dyDescent="0.2">
      <c r="C15" s="1476" t="s">
        <v>1259</v>
      </c>
      <c r="D15" s="2580" t="s">
        <v>1258</v>
      </c>
      <c r="E15" s="2580"/>
      <c r="F15" s="2580"/>
    </row>
    <row r="16" spans="1:7" ht="13.5" customHeight="1" x14ac:dyDescent="0.2">
      <c r="A16" s="1058"/>
      <c r="B16" s="1052" t="s">
        <v>1257</v>
      </c>
      <c r="C16" s="1476" t="s">
        <v>1256</v>
      </c>
      <c r="D16" s="2581" t="s">
        <v>1571</v>
      </c>
      <c r="E16" s="2581"/>
      <c r="F16" s="2581"/>
    </row>
    <row r="17" spans="1:6" ht="20.45" customHeight="1" x14ac:dyDescent="0.2">
      <c r="A17" s="1059"/>
      <c r="B17" s="1060" t="s">
        <v>2144</v>
      </c>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6" t="s">
        <v>2145</v>
      </c>
      <c r="B32" s="2576"/>
      <c r="C32" s="2576"/>
      <c r="D32" s="2576"/>
      <c r="E32" s="2576"/>
      <c r="F32" s="2576"/>
    </row>
    <row r="33" spans="1:6" ht="13.5" customHeight="1" x14ac:dyDescent="0.2">
      <c r="A33" s="306" t="s">
        <v>1417</v>
      </c>
      <c r="B33" s="306"/>
      <c r="C33" s="1064">
        <v>36432</v>
      </c>
      <c r="D33" s="1526"/>
      <c r="E33" s="1062"/>
    </row>
    <row r="34" spans="1:6" ht="13.5" customHeight="1" x14ac:dyDescent="0.2">
      <c r="A34" s="306" t="s">
        <v>1808</v>
      </c>
      <c r="B34" s="306"/>
      <c r="C34" s="1065">
        <v>19560</v>
      </c>
      <c r="D34" s="1526" t="s">
        <v>1572</v>
      </c>
      <c r="E34" s="2577">
        <f>+C33+C34</f>
        <v>55992</v>
      </c>
      <c r="F34" s="2578"/>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9" t="s">
        <v>1573</v>
      </c>
      <c r="C49" s="2579"/>
      <c r="D49" s="2579"/>
      <c r="E49" s="1168"/>
    </row>
    <row r="50" spans="1:5" s="1076" customFormat="1" ht="3.75" customHeight="1" x14ac:dyDescent="0.2">
      <c r="A50" s="1075"/>
      <c r="B50" s="1475"/>
      <c r="C50" s="1475"/>
      <c r="D50" s="1475"/>
      <c r="E50" s="1168"/>
    </row>
    <row r="51" spans="1:5" s="1076" customFormat="1" ht="20.25" customHeight="1" x14ac:dyDescent="0.2">
      <c r="A51" s="1077">
        <v>6</v>
      </c>
      <c r="B51" s="2574" t="s">
        <v>1534</v>
      </c>
      <c r="C51" s="2574"/>
      <c r="D51" s="2574"/>
    </row>
    <row r="52" spans="1:5" ht="14.25" customHeight="1" x14ac:dyDescent="0.2">
      <c r="A52" s="1077"/>
      <c r="B52" s="2574"/>
      <c r="C52" s="2574"/>
      <c r="D52" s="257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25" zoomScale="110" zoomScaleNormal="110" workbookViewId="0">
      <selection activeCell="D46" sqref="D4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  Lincoln ESD 27</v>
      </c>
      <c r="C1" s="2598"/>
      <c r="D1" s="2598"/>
      <c r="E1" s="2598"/>
      <c r="F1" s="2598"/>
      <c r="G1" s="2598"/>
      <c r="H1" s="2598"/>
      <c r="I1" s="2598"/>
      <c r="J1" s="1178"/>
    </row>
    <row r="2" spans="2:10" s="295" customFormat="1" ht="12.75" customHeight="1" x14ac:dyDescent="0.2">
      <c r="B2" s="2599">
        <f>'Single Audit Cover'!E7</f>
        <v>17054027002</v>
      </c>
      <c r="C2" s="2600"/>
      <c r="D2" s="2600"/>
      <c r="E2" s="2600"/>
      <c r="F2" s="2600"/>
      <c r="G2" s="2600"/>
      <c r="H2" s="2600"/>
      <c r="I2" s="2600"/>
      <c r="J2" s="1178"/>
    </row>
    <row r="3" spans="2:10" s="295" customFormat="1" ht="12.75" customHeight="1" x14ac:dyDescent="0.2">
      <c r="B3" s="2601" t="s">
        <v>1274</v>
      </c>
      <c r="C3" s="2602"/>
      <c r="D3" s="2602"/>
      <c r="E3" s="2602"/>
      <c r="F3" s="2602"/>
      <c r="G3" s="2602"/>
      <c r="H3" s="2602"/>
      <c r="I3" s="2602"/>
      <c r="J3" s="1179"/>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1" t="s">
        <v>1273</v>
      </c>
      <c r="C7" s="2602"/>
      <c r="D7" s="2602"/>
      <c r="E7" s="2602"/>
      <c r="F7" s="2602"/>
      <c r="G7" s="2602"/>
      <c r="H7" s="2602"/>
      <c r="I7" s="260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3" t="s">
        <v>2146</v>
      </c>
      <c r="D11" s="260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4" t="s">
        <v>2147</v>
      </c>
      <c r="E29" s="2604"/>
      <c r="F29" s="2604"/>
      <c r="G29" s="2604"/>
      <c r="H29" s="2604"/>
      <c r="I29" s="2604"/>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5" t="s">
        <v>1725</v>
      </c>
      <c r="D37" s="2606"/>
      <c r="E37" s="2606"/>
      <c r="F37" s="2607"/>
      <c r="G37" s="2605" t="s">
        <v>1575</v>
      </c>
      <c r="H37" s="2606"/>
      <c r="I37" s="2607"/>
    </row>
    <row r="38" spans="2:9" ht="16.5" customHeight="1" x14ac:dyDescent="0.2">
      <c r="B38" s="1200" t="s">
        <v>2149</v>
      </c>
      <c r="C38" s="2593" t="s">
        <v>2148</v>
      </c>
      <c r="D38" s="2594"/>
      <c r="E38" s="2594"/>
      <c r="F38" s="2595"/>
      <c r="G38" s="2608">
        <v>797671</v>
      </c>
      <c r="H38" s="2609"/>
      <c r="I38" s="2610"/>
    </row>
    <row r="39" spans="2:9" ht="16.5" customHeight="1" x14ac:dyDescent="0.2">
      <c r="B39" s="1200"/>
      <c r="C39" s="2593"/>
      <c r="D39" s="2594"/>
      <c r="E39" s="2594"/>
      <c r="F39" s="2595"/>
      <c r="G39" s="2596"/>
      <c r="H39" s="2596"/>
      <c r="I39" s="2596"/>
    </row>
    <row r="40" spans="2:9" ht="16.5" customHeight="1" x14ac:dyDescent="0.2">
      <c r="B40" s="1200"/>
      <c r="C40" s="2593"/>
      <c r="D40" s="2594"/>
      <c r="E40" s="2594"/>
      <c r="F40" s="2595"/>
      <c r="G40" s="2596"/>
      <c r="H40" s="2596"/>
      <c r="I40" s="2596"/>
    </row>
    <row r="41" spans="2:9" ht="16.5" customHeight="1" x14ac:dyDescent="0.2">
      <c r="B41" s="1200"/>
      <c r="C41" s="2593"/>
      <c r="D41" s="2594"/>
      <c r="E41" s="2594"/>
      <c r="F41" s="2595"/>
      <c r="G41" s="2596"/>
      <c r="H41" s="2596"/>
      <c r="I41" s="2596"/>
    </row>
    <row r="42" spans="2:9" ht="16.5" customHeight="1" x14ac:dyDescent="0.2">
      <c r="B42" s="1200"/>
      <c r="C42" s="2593"/>
      <c r="D42" s="2594"/>
      <c r="E42" s="2594"/>
      <c r="F42" s="2595"/>
      <c r="G42" s="2596"/>
      <c r="H42" s="2596"/>
      <c r="I42" s="2596"/>
    </row>
    <row r="43" spans="2:9" ht="16.5" customHeight="1" x14ac:dyDescent="0.2">
      <c r="B43" s="1200"/>
      <c r="C43" s="2586" t="s">
        <v>1576</v>
      </c>
      <c r="D43" s="2587"/>
      <c r="E43" s="2587"/>
      <c r="F43" s="2588"/>
      <c r="G43" s="2589">
        <f>SUM(G38:I42)</f>
        <v>797671</v>
      </c>
      <c r="H43" s="2589"/>
      <c r="I43" s="2589"/>
    </row>
    <row r="44" spans="2:9" ht="12.75" customHeight="1" x14ac:dyDescent="0.2"/>
    <row r="45" spans="2:9" ht="12.75" customHeight="1" x14ac:dyDescent="0.2">
      <c r="B45" s="1916" t="str">
        <f>"Total Federal Expenditures for 7/1/"&amp;MID('AFR20'!E2,3,2)-1&amp;"-6/30/"&amp;MID('AFR20'!E2,3,2)</f>
        <v>Total Federal Expenditures for 7/1/19-6/30/20</v>
      </c>
      <c r="C45" s="1917"/>
      <c r="D45" s="2590">
        <v>1796048</v>
      </c>
      <c r="E45" s="2591"/>
    </row>
    <row r="46" spans="2:9" ht="5.25" customHeight="1" x14ac:dyDescent="0.2">
      <c r="B46" s="1201"/>
      <c r="D46" s="1202"/>
      <c r="E46" s="1203"/>
    </row>
    <row r="47" spans="2:9" ht="12.75" customHeight="1" x14ac:dyDescent="0.2">
      <c r="B47" s="1076" t="s">
        <v>1577</v>
      </c>
      <c r="C47" s="1076"/>
      <c r="D47" s="1204">
        <f>+G43/D45</f>
        <v>0.44412565811158722</v>
      </c>
      <c r="E47" s="1205"/>
      <c r="F47" s="1206"/>
      <c r="I47" s="1207"/>
    </row>
    <row r="48" spans="2:9" ht="9.9499999999999993" customHeight="1" x14ac:dyDescent="0.2"/>
    <row r="49" spans="1:9" x14ac:dyDescent="0.2">
      <c r="B49" s="1138" t="s">
        <v>1262</v>
      </c>
      <c r="C49" s="1058"/>
      <c r="D49" s="1058"/>
      <c r="E49" s="2592">
        <v>750000</v>
      </c>
      <c r="F49" s="2592"/>
      <c r="G49" s="2592"/>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 right="0.2" top="0.46" bottom="0.4" header="0.25"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Lincoln ESD 27</v>
      </c>
      <c r="C1" s="2597"/>
      <c r="D1" s="2597"/>
      <c r="E1" s="2597"/>
      <c r="F1" s="2597"/>
      <c r="G1" s="2597"/>
      <c r="H1" s="2597"/>
      <c r="I1" s="2597"/>
      <c r="J1" s="2597"/>
      <c r="K1" s="2597"/>
      <c r="L1" s="1144"/>
      <c r="M1" s="1144"/>
    </row>
    <row r="2" spans="1:13" ht="12" customHeight="1" x14ac:dyDescent="0.2">
      <c r="B2" s="2599">
        <f>'Single Audit Cover'!E7</f>
        <v>17054027002</v>
      </c>
      <c r="C2" s="2599"/>
      <c r="D2" s="2599"/>
      <c r="E2" s="2599"/>
      <c r="F2" s="2599"/>
      <c r="G2" s="2599"/>
      <c r="H2" s="2599"/>
      <c r="I2" s="2599"/>
      <c r="J2" s="2599"/>
      <c r="K2" s="2599"/>
      <c r="L2" s="1145"/>
      <c r="M2" s="1146"/>
    </row>
    <row r="3" spans="1:13" ht="10.35" customHeight="1" x14ac:dyDescent="0.2">
      <c r="B3" s="2613" t="s">
        <v>1274</v>
      </c>
      <c r="C3" s="2613"/>
      <c r="D3" s="2613"/>
      <c r="E3" s="2613"/>
      <c r="F3" s="2613"/>
      <c r="G3" s="2613"/>
      <c r="H3" s="2613"/>
      <c r="I3" s="2613"/>
      <c r="J3" s="2613"/>
      <c r="K3" s="2613"/>
      <c r="L3" s="1147"/>
      <c r="M3" s="1147"/>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4" t="s">
        <v>1285</v>
      </c>
      <c r="C7" s="2614"/>
      <c r="D7" s="2615"/>
      <c r="E7" s="2615"/>
      <c r="F7" s="2615"/>
      <c r="G7" s="2615"/>
      <c r="H7" s="2615"/>
      <c r="I7" s="2615"/>
      <c r="J7" s="2615"/>
      <c r="K7" s="26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2" t="s">
        <v>2150</v>
      </c>
      <c r="C14" s="2612"/>
      <c r="D14" s="2612"/>
      <c r="E14" s="2612"/>
      <c r="F14" s="2612"/>
      <c r="G14" s="2612"/>
      <c r="H14" s="2612"/>
      <c r="I14" s="2612"/>
      <c r="J14" s="2612"/>
      <c r="K14" s="261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2"/>
      <c r="C17" s="2612"/>
      <c r="D17" s="2612"/>
      <c r="E17" s="2612"/>
      <c r="F17" s="2612"/>
      <c r="G17" s="2612"/>
      <c r="H17" s="2612"/>
      <c r="I17" s="2612"/>
      <c r="J17" s="2612"/>
      <c r="K17" s="261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6"/>
      <c r="C20" s="2616"/>
      <c r="D20" s="2612"/>
      <c r="E20" s="2612"/>
      <c r="F20" s="2612"/>
      <c r="G20" s="2612"/>
      <c r="H20" s="2612"/>
      <c r="I20" s="2612"/>
      <c r="J20" s="2612"/>
      <c r="K20" s="261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2"/>
      <c r="C23" s="2612"/>
      <c r="D23" s="2612"/>
      <c r="E23" s="2612"/>
      <c r="F23" s="2612"/>
      <c r="G23" s="2612"/>
      <c r="H23" s="2612"/>
      <c r="I23" s="2612"/>
      <c r="J23" s="2612"/>
      <c r="K23" s="261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2"/>
      <c r="C26" s="2612"/>
      <c r="D26" s="2612"/>
      <c r="E26" s="2612"/>
      <c r="F26" s="2612"/>
      <c r="G26" s="2612"/>
      <c r="H26" s="2612"/>
      <c r="I26" s="2612"/>
      <c r="J26" s="2612"/>
      <c r="K26" s="261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1"/>
      <c r="C29" s="2611"/>
      <c r="D29" s="2612"/>
      <c r="E29" s="2612"/>
      <c r="F29" s="2612"/>
      <c r="G29" s="2612"/>
      <c r="H29" s="2612"/>
      <c r="I29" s="2612"/>
      <c r="J29" s="2612"/>
      <c r="K29" s="261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1"/>
      <c r="C32" s="2611"/>
      <c r="D32" s="2612"/>
      <c r="E32" s="2612"/>
      <c r="F32" s="2612"/>
      <c r="G32" s="2612"/>
      <c r="H32" s="2612"/>
      <c r="I32" s="2612"/>
      <c r="J32" s="2612"/>
      <c r="K32" s="26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F13" sqref="F1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Lincoln ESD 27</v>
      </c>
      <c r="C1" s="2620"/>
      <c r="D1" s="2620"/>
      <c r="E1" s="2620"/>
      <c r="F1" s="2620"/>
      <c r="G1" s="2620"/>
      <c r="H1" s="2620"/>
      <c r="I1" s="2620"/>
      <c r="J1" s="2620"/>
      <c r="K1" s="2620"/>
      <c r="L1" s="1221"/>
    </row>
    <row r="2" spans="1:12" ht="12.75" customHeight="1" x14ac:dyDescent="0.2">
      <c r="B2" s="2621">
        <f>'Single Audit Cover'!E7</f>
        <v>17054027002</v>
      </c>
      <c r="C2" s="2621"/>
      <c r="D2" s="2621"/>
      <c r="E2" s="2621"/>
      <c r="F2" s="2621"/>
      <c r="G2" s="2621"/>
      <c r="H2" s="2621"/>
      <c r="I2" s="2621"/>
      <c r="J2" s="2621"/>
      <c r="K2" s="2621"/>
      <c r="L2" s="1222"/>
    </row>
    <row r="3" spans="1:12" ht="12.75" customHeight="1" x14ac:dyDescent="0.2">
      <c r="B3" s="2613" t="s">
        <v>1274</v>
      </c>
      <c r="C3" s="2613"/>
      <c r="D3" s="2613"/>
      <c r="E3" s="2613"/>
      <c r="F3" s="2613"/>
      <c r="G3" s="2613"/>
      <c r="H3" s="2613"/>
      <c r="I3" s="2613"/>
      <c r="J3" s="2613"/>
      <c r="K3" s="2613"/>
      <c r="L3" s="1147"/>
    </row>
    <row r="4" spans="1:12" ht="12.75" customHeight="1" x14ac:dyDescent="0.2">
      <c r="B4" s="2613" t="str">
        <f>'Single Audit Cover'!A4</f>
        <v>Year Ending June 30, 2020</v>
      </c>
      <c r="C4" s="2613"/>
      <c r="D4" s="2613"/>
      <c r="E4" s="2613"/>
      <c r="F4" s="2613"/>
      <c r="G4" s="2613"/>
      <c r="H4" s="2613"/>
      <c r="I4" s="2613"/>
      <c r="J4" s="2613"/>
      <c r="K4" s="2613"/>
      <c r="L4" s="1147"/>
    </row>
    <row r="5" spans="1:12" ht="5.25" customHeight="1" x14ac:dyDescent="0.2">
      <c r="B5" s="1036" t="s">
        <v>1159</v>
      </c>
      <c r="C5" s="1036"/>
      <c r="L5" s="300"/>
    </row>
    <row r="6" spans="1:12" ht="30.75" customHeight="1" x14ac:dyDescent="0.2">
      <c r="A6" s="300"/>
      <c r="B6" s="2622" t="s">
        <v>1297</v>
      </c>
      <c r="C6" s="2622"/>
      <c r="D6" s="2622"/>
      <c r="E6" s="2622"/>
      <c r="F6" s="2622"/>
      <c r="G6" s="2622"/>
      <c r="H6" s="2622"/>
      <c r="I6" s="2622"/>
      <c r="J6" s="2622"/>
      <c r="K6" s="2622"/>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4" t="s">
        <v>2150</v>
      </c>
      <c r="G12" s="2604"/>
      <c r="H12" s="2604"/>
      <c r="I12" s="2604"/>
      <c r="J12" s="2604"/>
      <c r="K12" s="260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2"/>
      <c r="C20" s="2612"/>
      <c r="D20" s="2612"/>
      <c r="E20" s="2612"/>
      <c r="F20" s="2612"/>
      <c r="G20" s="2612"/>
      <c r="H20" s="2612"/>
      <c r="I20" s="2612"/>
      <c r="J20" s="2612"/>
      <c r="K20" s="261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2"/>
      <c r="C23" s="2612"/>
      <c r="D23" s="2612"/>
      <c r="E23" s="2612"/>
      <c r="F23" s="2612"/>
      <c r="G23" s="2612"/>
      <c r="H23" s="2612"/>
      <c r="I23" s="2612"/>
      <c r="J23" s="2612"/>
      <c r="K23" s="261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2"/>
      <c r="C26" s="2612"/>
      <c r="D26" s="2612"/>
      <c r="E26" s="2612"/>
      <c r="F26" s="2612"/>
      <c r="G26" s="2612"/>
      <c r="H26" s="2612"/>
      <c r="I26" s="2612"/>
      <c r="J26" s="2612"/>
      <c r="K26" s="261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2"/>
      <c r="C29" s="2612"/>
      <c r="D29" s="2612"/>
      <c r="E29" s="2612"/>
      <c r="F29" s="2612"/>
      <c r="G29" s="2612"/>
      <c r="H29" s="2612"/>
      <c r="I29" s="2612"/>
      <c r="J29" s="2612"/>
      <c r="K29" s="261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2"/>
      <c r="C32" s="2612"/>
      <c r="D32" s="2612"/>
      <c r="E32" s="2612"/>
      <c r="F32" s="2612"/>
      <c r="G32" s="2612"/>
      <c r="H32" s="2612"/>
      <c r="I32" s="2612"/>
      <c r="J32" s="2612"/>
      <c r="K32" s="261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2"/>
      <c r="C35" s="2612"/>
      <c r="D35" s="2612"/>
      <c r="E35" s="2612"/>
      <c r="F35" s="2612"/>
      <c r="G35" s="2612"/>
      <c r="H35" s="2612"/>
      <c r="I35" s="2612"/>
      <c r="J35" s="2612"/>
      <c r="K35" s="261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2"/>
      <c r="C38" s="2612"/>
      <c r="D38" s="2612"/>
      <c r="E38" s="2612"/>
      <c r="F38" s="2612"/>
      <c r="G38" s="2612"/>
      <c r="H38" s="2612"/>
      <c r="I38" s="2612"/>
      <c r="J38" s="2612"/>
      <c r="K38" s="261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2"/>
      <c r="C41" s="2612"/>
      <c r="D41" s="2612"/>
      <c r="E41" s="2612"/>
      <c r="F41" s="2612"/>
      <c r="G41" s="2612"/>
      <c r="H41" s="2612"/>
      <c r="I41" s="2612"/>
      <c r="J41" s="2612"/>
      <c r="K41" s="261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D15" sqref="D1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7" t="str">
        <f>'Single Audit Cover'!A7</f>
        <v xml:space="preserve">  Lincoln ESD 27</v>
      </c>
      <c r="C1" s="2597"/>
      <c r="D1" s="2597"/>
      <c r="E1" s="1240"/>
    </row>
    <row r="2" spans="2:5" s="1058" customFormat="1" ht="12.75" customHeight="1" x14ac:dyDescent="0.2">
      <c r="B2" s="2599">
        <f>'Single Audit Cover'!E7</f>
        <v>17054027002</v>
      </c>
      <c r="C2" s="2599"/>
      <c r="D2" s="2599"/>
      <c r="E2" s="1241"/>
    </row>
    <row r="3" spans="2:5" ht="12.75" customHeight="1" x14ac:dyDescent="0.2">
      <c r="B3" s="2613" t="s">
        <v>1740</v>
      </c>
      <c r="C3" s="2613"/>
      <c r="D3" s="2613"/>
      <c r="E3" s="1050"/>
    </row>
    <row r="4" spans="2:5" s="1058" customFormat="1" ht="12.75" customHeight="1" x14ac:dyDescent="0.2">
      <c r="B4" s="2623" t="str">
        <f>'Single Audit Cover'!A4</f>
        <v>Year Ending June 30, 2020</v>
      </c>
      <c r="C4" s="2623"/>
      <c r="D4" s="2623"/>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2144</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5" colorId="8" zoomScale="110" zoomScaleNormal="110" workbookViewId="0">
      <selection activeCell="J44" sqref="J4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3" t="s">
        <v>383</v>
      </c>
      <c r="B1" s="2193"/>
      <c r="C1" s="2193"/>
      <c r="D1" s="2193"/>
      <c r="E1" s="2193"/>
      <c r="F1" s="2193"/>
      <c r="G1" s="2193"/>
      <c r="H1" s="2193"/>
      <c r="I1" s="2193"/>
      <c r="J1" s="2193"/>
      <c r="K1" s="2193"/>
      <c r="L1" s="2193"/>
      <c r="M1" s="219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121407942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2.76402E-2</v>
      </c>
      <c r="E10" s="333" t="s">
        <v>998</v>
      </c>
      <c r="F10" s="332">
        <v>3.4147000000000001E-3</v>
      </c>
      <c r="G10" s="333" t="s">
        <v>998</v>
      </c>
      <c r="H10" s="332">
        <v>8.6779999999999995E-4</v>
      </c>
      <c r="I10" s="333" t="s">
        <v>999</v>
      </c>
      <c r="J10" s="1424">
        <f>ROUND(D10+F10+H10,5)</f>
        <v>3.1919999999999997E-2</v>
      </c>
      <c r="K10" s="217"/>
      <c r="L10" s="332">
        <v>0</v>
      </c>
      <c r="M10" s="217"/>
    </row>
    <row r="11" spans="1:14" ht="7.5" customHeight="1" x14ac:dyDescent="0.2">
      <c r="B11" s="217"/>
      <c r="C11" s="217"/>
      <c r="D11" s="2203" t="str">
        <f>IF(SUM(J10)&lt;=0.0999999,"","Enter the Tax Rates by moving the decimal two places to the left.")</f>
        <v/>
      </c>
      <c r="E11" s="2204"/>
      <c r="F11" s="2204"/>
      <c r="G11" s="2204"/>
      <c r="H11" s="2204"/>
      <c r="I11" s="2204"/>
      <c r="J11" s="220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13285689</v>
      </c>
      <c r="E16" s="1547"/>
      <c r="F16" s="1546">
        <f>SUM('Acct Summary 7-8'!C17,'Acct Summary 7-8'!D17,'Acct Summary 7-8'!F17)</f>
        <v>12674232</v>
      </c>
      <c r="G16" s="1547"/>
      <c r="H16" s="1546">
        <f>SUM(D16-F16)</f>
        <v>611457</v>
      </c>
      <c r="I16" s="1548"/>
      <c r="J16" s="1546">
        <f>SUM('Acct Summary 7-8'!C81,'Acct Summary 7-8'!D81,'Acct Summary 7-8'!F81,'Acct Summary 7-8'!I81)</f>
        <v>10300479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8377147.9980000006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8445000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4" t="s">
        <v>2081</v>
      </c>
      <c r="C54" s="2195"/>
      <c r="D54" s="2195"/>
      <c r="E54" s="2195"/>
      <c r="F54" s="2195"/>
      <c r="G54" s="2195"/>
      <c r="H54" s="2195"/>
      <c r="I54" s="2195"/>
      <c r="J54" s="2195"/>
      <c r="K54" s="2195"/>
      <c r="L54" s="2196"/>
      <c r="M54" s="357"/>
    </row>
    <row r="55" spans="1:13" ht="12.75" customHeight="1" x14ac:dyDescent="0.2">
      <c r="B55" s="2197"/>
      <c r="C55" s="2198"/>
      <c r="D55" s="2198"/>
      <c r="E55" s="2198"/>
      <c r="F55" s="2198"/>
      <c r="G55" s="2198"/>
      <c r="H55" s="2198"/>
      <c r="I55" s="2198"/>
      <c r="J55" s="2198"/>
      <c r="K55" s="2198"/>
      <c r="L55" s="2199"/>
      <c r="M55" s="357"/>
    </row>
    <row r="56" spans="1:13" ht="12.75" customHeight="1" x14ac:dyDescent="0.2">
      <c r="B56" s="2197"/>
      <c r="C56" s="2198"/>
      <c r="D56" s="2198"/>
      <c r="E56" s="2198"/>
      <c r="F56" s="2198"/>
      <c r="G56" s="2198"/>
      <c r="H56" s="2198"/>
      <c r="I56" s="2198"/>
      <c r="J56" s="2198"/>
      <c r="K56" s="2198"/>
      <c r="L56" s="2199"/>
      <c r="M56" s="217"/>
    </row>
    <row r="57" spans="1:13" ht="12.75" customHeight="1" x14ac:dyDescent="0.2">
      <c r="B57" s="2197"/>
      <c r="C57" s="2198"/>
      <c r="D57" s="2198"/>
      <c r="E57" s="2198"/>
      <c r="F57" s="2198"/>
      <c r="G57" s="2198"/>
      <c r="H57" s="2198"/>
      <c r="I57" s="2198"/>
      <c r="J57" s="2198"/>
      <c r="K57" s="2198"/>
      <c r="L57" s="2199"/>
      <c r="M57" s="217"/>
    </row>
    <row r="58" spans="1:13" x14ac:dyDescent="0.2">
      <c r="B58" s="2200"/>
      <c r="C58" s="2201"/>
      <c r="D58" s="2201"/>
      <c r="E58" s="2201"/>
      <c r="F58" s="2201"/>
      <c r="G58" s="2201"/>
      <c r="H58" s="2201"/>
      <c r="I58" s="2201"/>
      <c r="J58" s="2201"/>
      <c r="K58" s="2201"/>
      <c r="L58" s="220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5"/>
      <c r="D61" s="220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7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8"/>
      <c r="B1" s="2209"/>
      <c r="C1" s="2209"/>
      <c r="D1" s="361"/>
      <c r="E1" s="361"/>
      <c r="F1" s="361"/>
      <c r="G1" s="361"/>
      <c r="H1" s="361"/>
      <c r="I1" s="361"/>
      <c r="J1" s="361"/>
      <c r="K1" s="361"/>
      <c r="L1" s="361"/>
      <c r="M1" s="361"/>
      <c r="N1" s="361"/>
      <c r="O1" s="2208"/>
      <c r="P1" s="2209"/>
      <c r="Q1" s="2209"/>
    </row>
    <row r="2" spans="1:18" ht="15" x14ac:dyDescent="0.2">
      <c r="A2" s="2212" t="s">
        <v>552</v>
      </c>
      <c r="B2" s="2212"/>
      <c r="C2" s="2212"/>
      <c r="D2" s="2212"/>
      <c r="E2" s="2212"/>
      <c r="F2" s="2212"/>
      <c r="G2" s="2212"/>
      <c r="H2" s="2212"/>
      <c r="I2" s="2212"/>
      <c r="J2" s="2212"/>
      <c r="K2" s="2212"/>
      <c r="L2" s="2212"/>
      <c r="M2" s="2212"/>
      <c r="N2" s="2212"/>
      <c r="O2" s="2212"/>
      <c r="P2" s="2212"/>
      <c r="Q2" s="2212"/>
      <c r="R2" s="2212"/>
    </row>
    <row r="3" spans="1:18" ht="12.75" x14ac:dyDescent="0.2">
      <c r="A3" s="2213" t="s">
        <v>1396</v>
      </c>
      <c r="B3" s="2213"/>
      <c r="C3" s="2213"/>
      <c r="D3" s="2213"/>
      <c r="E3" s="2213"/>
      <c r="F3" s="2213"/>
      <c r="G3" s="2213"/>
      <c r="H3" s="2213"/>
      <c r="I3" s="2213"/>
      <c r="J3" s="2213"/>
      <c r="K3" s="2213"/>
      <c r="L3" s="2213"/>
      <c r="M3" s="2213"/>
      <c r="N3" s="2213"/>
      <c r="O3" s="2213"/>
      <c r="P3" s="2213"/>
      <c r="Q3" s="2213"/>
      <c r="R3" s="2213"/>
    </row>
    <row r="4" spans="1:18" x14ac:dyDescent="0.2">
      <c r="A4" s="2214" t="s">
        <v>1537</v>
      </c>
      <c r="B4" s="2214"/>
      <c r="C4" s="2214"/>
      <c r="D4" s="2214"/>
      <c r="E4" s="2214"/>
      <c r="F4" s="2214"/>
      <c r="G4" s="2214"/>
      <c r="H4" s="2214"/>
      <c r="I4" s="2214"/>
      <c r="J4" s="2214"/>
      <c r="K4" s="2214"/>
      <c r="L4" s="2214"/>
      <c r="M4" s="2214"/>
      <c r="N4" s="2214"/>
      <c r="O4" s="2214"/>
      <c r="P4" s="2214"/>
      <c r="Q4" s="2214"/>
      <c r="R4" s="221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Lincoln ESD 27</v>
      </c>
      <c r="E7" s="368"/>
      <c r="G7" s="247"/>
      <c r="H7" s="364"/>
      <c r="I7" s="364"/>
      <c r="J7" s="364"/>
      <c r="K7" s="364"/>
      <c r="L7" s="307"/>
      <c r="M7" s="307"/>
      <c r="N7" s="307"/>
      <c r="O7" s="307"/>
      <c r="P7" s="307"/>
    </row>
    <row r="8" spans="1:18" ht="12.75" x14ac:dyDescent="0.2">
      <c r="A8" s="307"/>
      <c r="B8" s="307"/>
      <c r="C8" s="366" t="s">
        <v>1115</v>
      </c>
      <c r="D8" s="369">
        <f>COVER!A13</f>
        <v>17054027002</v>
      </c>
      <c r="E8" s="370"/>
      <c r="G8" s="307"/>
      <c r="H8" s="307"/>
      <c r="I8" s="307"/>
      <c r="J8" s="307"/>
      <c r="K8" s="307"/>
      <c r="L8" s="307"/>
      <c r="M8" s="307"/>
      <c r="N8" s="307"/>
      <c r="O8" s="307"/>
      <c r="P8" s="307"/>
    </row>
    <row r="9" spans="1:18" ht="12.75" x14ac:dyDescent="0.2">
      <c r="A9" s="307"/>
      <c r="B9" s="307"/>
      <c r="C9" s="366" t="s">
        <v>708</v>
      </c>
      <c r="D9" s="371" t="str">
        <f>COVER!A15</f>
        <v>LOGAN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10300479</v>
      </c>
      <c r="I12" s="380"/>
      <c r="J12" s="380"/>
      <c r="K12" s="1559">
        <f>TRUNC((H12/H13*100000),5)/100000</f>
        <v>0.77530634650000008</v>
      </c>
      <c r="L12" s="381"/>
      <c r="M12" s="337" t="s">
        <v>1134</v>
      </c>
      <c r="N12" s="337"/>
      <c r="O12" s="1562">
        <v>0.35</v>
      </c>
      <c r="P12" s="213"/>
      <c r="Q12" s="213"/>
    </row>
    <row r="13" spans="1:18" s="382" customFormat="1" ht="12.75" x14ac:dyDescent="0.2">
      <c r="A13" s="213"/>
      <c r="B13" s="377"/>
      <c r="C13" s="2210" t="s">
        <v>1313</v>
      </c>
      <c r="D13" s="2211"/>
      <c r="E13" s="213"/>
      <c r="F13" s="383" t="s">
        <v>788</v>
      </c>
      <c r="G13" s="378"/>
      <c r="H13" s="1551">
        <f>SUM('Acct Summary 7-8'!C8+'Acct Summary 7-8'!D8+'Acct Summary 7-8'!F8+'Acct Summary 7-8'!I8)+H14</f>
        <v>13285689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12674232</v>
      </c>
      <c r="I17" s="380"/>
      <c r="J17" s="389"/>
      <c r="K17" s="1559">
        <f>TRUNC((H17/H18*100000),5)/100000</f>
        <v>0.95397626719999995</v>
      </c>
      <c r="L17" s="381"/>
      <c r="M17" s="390" t="s">
        <v>1161</v>
      </c>
      <c r="O17" s="1565" t="str">
        <f>IF(AND(O16="2", J20 &gt; 2),"1",IF(AND(O16 = "1", J20 &gt; 2),"2",IF(AND(O16="1", J20 &gt;1),"1","0")))</f>
        <v>0</v>
      </c>
      <c r="P17" s="213"/>
    </row>
    <row r="18" spans="1:18" s="382" customFormat="1" ht="11.25" x14ac:dyDescent="0.2">
      <c r="A18" s="213"/>
      <c r="B18" s="377"/>
      <c r="C18" s="2210" t="s">
        <v>1306</v>
      </c>
      <c r="D18" s="2211"/>
      <c r="E18" s="213"/>
      <c r="F18" s="391" t="s">
        <v>789</v>
      </c>
      <c r="G18" s="378"/>
      <c r="H18" s="1551">
        <f>SUM('Acct Summary 7-8'!C8+'Acct Summary 7-8'!D8+'Acct Summary 7-8'!F8+'Acct Summary 7-8'!I8)+H19</f>
        <v>13285689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7" t="s">
        <v>1395</v>
      </c>
      <c r="D24" s="2207"/>
      <c r="E24" s="213"/>
      <c r="F24" s="213" t="s">
        <v>442</v>
      </c>
      <c r="G24" s="378"/>
      <c r="H24" s="1551">
        <f>SUM('Assets-Liab 5-6'!C4+'Assets-Liab 5-6'!D4+'Assets-Liab 5-6'!F4+'Assets-Liab 5-6'!I4+'Assets-Liab 5-6'!C5+'Assets-Liab 5-6'!D5+'Assets-Liab 5-6'!F5+'Assets-Liab 5-6'!I5)</f>
        <v>10303998</v>
      </c>
      <c r="I24" s="394"/>
      <c r="J24" s="394"/>
      <c r="K24" s="1555">
        <f>TRUNC(((H24/H25*100000)/100000),2)</f>
        <v>292.67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35206.199999999997</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3294040.2823399999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8445000</v>
      </c>
      <c r="I32" s="392"/>
      <c r="J32" s="392"/>
      <c r="K32" s="1555">
        <f>TRUNC(100-((((H32/H33*100))*100)/100),2)</f>
        <v>-0.8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8377147.9980000006</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5"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E39" sqref="E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5"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7" t="s">
        <v>967</v>
      </c>
      <c r="B3" s="2218"/>
      <c r="C3" s="1306"/>
      <c r="D3" s="1307"/>
      <c r="E3" s="1307"/>
      <c r="F3" s="1307"/>
      <c r="G3" s="1307"/>
      <c r="H3" s="1307"/>
      <c r="I3" s="1307"/>
      <c r="J3" s="1307"/>
      <c r="K3" s="1307"/>
      <c r="L3" s="1307"/>
      <c r="M3" s="1308"/>
      <c r="N3" s="1309"/>
    </row>
    <row r="4" spans="1:14" ht="13.5" customHeight="1" x14ac:dyDescent="0.2">
      <c r="A4" s="427" t="s">
        <v>1632</v>
      </c>
      <c r="B4" s="428"/>
      <c r="C4" s="1572">
        <v>3413065</v>
      </c>
      <c r="D4" s="1573">
        <v>711624</v>
      </c>
      <c r="E4" s="1573">
        <v>156207</v>
      </c>
      <c r="F4" s="1573">
        <v>167594</v>
      </c>
      <c r="G4" s="1573">
        <v>104752</v>
      </c>
      <c r="H4" s="1573"/>
      <c r="I4" s="1573">
        <v>44353</v>
      </c>
      <c r="J4" s="1574"/>
      <c r="K4" s="1573">
        <v>45576</v>
      </c>
      <c r="L4" s="1573">
        <v>153681</v>
      </c>
      <c r="M4" s="1575"/>
      <c r="N4" s="1576"/>
    </row>
    <row r="5" spans="1:14" x14ac:dyDescent="0.2">
      <c r="A5" s="427" t="s">
        <v>985</v>
      </c>
      <c r="B5" s="429">
        <v>120</v>
      </c>
      <c r="C5" s="1572">
        <v>3951795</v>
      </c>
      <c r="D5" s="1573">
        <v>217342</v>
      </c>
      <c r="E5" s="1573">
        <v>193</v>
      </c>
      <c r="F5" s="1573">
        <v>390536</v>
      </c>
      <c r="G5" s="1573">
        <v>201231</v>
      </c>
      <c r="H5" s="1573"/>
      <c r="I5" s="1573">
        <v>1407689</v>
      </c>
      <c r="J5" s="1574"/>
      <c r="K5" s="1577">
        <v>53243</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7364860</v>
      </c>
      <c r="D13" s="1587">
        <f t="shared" ref="D13:L13" si="0">SUM(D4:D12)</f>
        <v>928966</v>
      </c>
      <c r="E13" s="1587">
        <f t="shared" si="0"/>
        <v>156400</v>
      </c>
      <c r="F13" s="1587">
        <f t="shared" si="0"/>
        <v>558130</v>
      </c>
      <c r="G13" s="1587">
        <f t="shared" si="0"/>
        <v>305983</v>
      </c>
      <c r="H13" s="1587">
        <f t="shared" si="0"/>
        <v>0</v>
      </c>
      <c r="I13" s="1587">
        <f t="shared" si="0"/>
        <v>1452042</v>
      </c>
      <c r="J13" s="1587">
        <f t="shared" si="0"/>
        <v>0</v>
      </c>
      <c r="K13" s="1587">
        <f t="shared" si="0"/>
        <v>98819</v>
      </c>
      <c r="L13" s="1587">
        <f t="shared" si="0"/>
        <v>153681</v>
      </c>
      <c r="M13" s="1575"/>
      <c r="N13" s="1576"/>
    </row>
    <row r="14" spans="1:14" ht="18" customHeight="1" thickTop="1" x14ac:dyDescent="0.2">
      <c r="A14" s="2219" t="s">
        <v>146</v>
      </c>
      <c r="B14" s="2220"/>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92931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28674374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469505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4750158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156400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8288600</v>
      </c>
    </row>
    <row r="23" spans="1:14" ht="13.5" customHeight="1" thickBot="1" x14ac:dyDescent="0.25">
      <c r="A23" s="1426" t="s">
        <v>638</v>
      </c>
      <c r="B23" s="1429"/>
      <c r="C23" s="1575"/>
      <c r="D23" s="1575"/>
      <c r="E23" s="1575"/>
      <c r="F23" s="1575"/>
      <c r="G23" s="1575"/>
      <c r="H23" s="1575"/>
      <c r="I23" s="1575"/>
      <c r="J23" s="1575"/>
      <c r="K23" s="1575"/>
      <c r="L23" s="1575"/>
      <c r="M23" s="1594">
        <f>SUM(M15:M22)</f>
        <v>33986968</v>
      </c>
      <c r="N23" s="1594">
        <f>SUM(N21:N22)</f>
        <v>8445000</v>
      </c>
    </row>
    <row r="24" spans="1:14" ht="18" customHeight="1" thickTop="1" x14ac:dyDescent="0.2">
      <c r="A24" s="2221" t="s">
        <v>594</v>
      </c>
      <c r="B24" s="2222"/>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3519</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153681</v>
      </c>
      <c r="M33" s="1575"/>
      <c r="N33" s="1576"/>
    </row>
    <row r="34" spans="1:14" ht="13.5" customHeight="1" thickBot="1" x14ac:dyDescent="0.25">
      <c r="A34" s="1427" t="s">
        <v>649</v>
      </c>
      <c r="B34" s="1428"/>
      <c r="C34" s="1600">
        <f>SUM(C25:C33)</f>
        <v>3519</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153681</v>
      </c>
      <c r="M34" s="1575"/>
      <c r="N34" s="1585"/>
    </row>
    <row r="35" spans="1:14" ht="18" customHeight="1" thickTop="1" x14ac:dyDescent="0.2">
      <c r="A35" s="2223" t="s">
        <v>526</v>
      </c>
      <c r="B35" s="222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8445000</v>
      </c>
    </row>
    <row r="37" spans="1:14" ht="13.5" thickBot="1" x14ac:dyDescent="0.25">
      <c r="A37" s="1426" t="s">
        <v>648</v>
      </c>
      <c r="B37" s="1429"/>
      <c r="C37" s="1582"/>
      <c r="D37" s="1582"/>
      <c r="E37" s="1582"/>
      <c r="F37" s="1582"/>
      <c r="G37" s="1582"/>
      <c r="H37" s="1582"/>
      <c r="I37" s="1582"/>
      <c r="J37" s="1582"/>
      <c r="K37" s="1582"/>
      <c r="L37" s="1585"/>
      <c r="M37" s="1575"/>
      <c r="N37" s="1594">
        <f>SUM(N36:N36)</f>
        <v>8445000</v>
      </c>
    </row>
    <row r="38" spans="1:14" s="307" customFormat="1" ht="13.5" customHeight="1" thickTop="1" x14ac:dyDescent="0.2">
      <c r="A38" s="438" t="s">
        <v>417</v>
      </c>
      <c r="B38" s="432">
        <v>714</v>
      </c>
      <c r="C38" s="1573">
        <v>271491</v>
      </c>
      <c r="D38" s="1573">
        <v>74132</v>
      </c>
      <c r="E38" s="1573"/>
      <c r="F38" s="1573"/>
      <c r="G38" s="1573">
        <v>152624</v>
      </c>
      <c r="H38" s="1573"/>
      <c r="I38" s="1573"/>
      <c r="J38" s="1574"/>
      <c r="K38" s="1573"/>
      <c r="L38" s="1586"/>
      <c r="M38" s="1604"/>
      <c r="N38" s="1604"/>
    </row>
    <row r="39" spans="1:14" s="307" customFormat="1" ht="13.5" customHeight="1" x14ac:dyDescent="0.2">
      <c r="A39" s="438" t="s">
        <v>339</v>
      </c>
      <c r="B39" s="432">
        <v>730</v>
      </c>
      <c r="C39" s="1573">
        <v>7089850</v>
      </c>
      <c r="D39" s="1573">
        <v>854834</v>
      </c>
      <c r="E39" s="1573">
        <v>156400</v>
      </c>
      <c r="F39" s="1573">
        <v>558130</v>
      </c>
      <c r="G39" s="1573">
        <v>153359</v>
      </c>
      <c r="H39" s="1573"/>
      <c r="I39" s="1573">
        <v>1452042</v>
      </c>
      <c r="J39" s="1574"/>
      <c r="K39" s="1573">
        <v>98819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33986968</v>
      </c>
      <c r="N40" s="1604"/>
    </row>
    <row r="41" spans="1:14" ht="13.5" customHeight="1" thickBot="1" x14ac:dyDescent="0.25">
      <c r="A41" s="1426" t="s">
        <v>650</v>
      </c>
      <c r="B41" s="1405"/>
      <c r="C41" s="1594">
        <f>(SUM(C34,C37,C38,C39))</f>
        <v>7364860</v>
      </c>
      <c r="D41" s="1594">
        <f t="shared" ref="D41:L41" si="2">SUM(D34,D37,D38:D39)</f>
        <v>928966</v>
      </c>
      <c r="E41" s="1594">
        <f t="shared" si="2"/>
        <v>156400</v>
      </c>
      <c r="F41" s="1594">
        <f t="shared" si="2"/>
        <v>558130</v>
      </c>
      <c r="G41" s="1594">
        <f t="shared" si="2"/>
        <v>305983</v>
      </c>
      <c r="H41" s="1594">
        <f t="shared" si="2"/>
        <v>0</v>
      </c>
      <c r="I41" s="1594">
        <f t="shared" si="2"/>
        <v>1452042</v>
      </c>
      <c r="J41" s="1594">
        <f t="shared" si="2"/>
        <v>0</v>
      </c>
      <c r="K41" s="1594">
        <f t="shared" si="2"/>
        <v>98819</v>
      </c>
      <c r="L41" s="1594">
        <f t="shared" si="2"/>
        <v>153681</v>
      </c>
      <c r="M41" s="1594">
        <f>SUM(M40)</f>
        <v>33986968</v>
      </c>
      <c r="N41" s="1594">
        <f>SUM(N37)</f>
        <v>8445000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1.1100000000000001" bottom="0" header="0.65"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40" sqref="C40"/>
      <selection pane="bottomLeft" activeCell="A80" sqref="A80:B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3"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5" t="s">
        <v>1165</v>
      </c>
      <c r="B3" s="2246"/>
      <c r="C3" s="1311"/>
      <c r="D3" s="1312"/>
      <c r="E3" s="1312"/>
      <c r="F3" s="1312"/>
      <c r="G3" s="1312"/>
      <c r="H3" s="1312"/>
      <c r="I3" s="1312"/>
      <c r="J3" s="1312"/>
      <c r="K3" s="1313"/>
      <c r="L3" s="446"/>
    </row>
    <row r="4" spans="1:13" ht="15.75" customHeight="1" x14ac:dyDescent="0.2">
      <c r="A4" s="1537" t="s">
        <v>1482</v>
      </c>
      <c r="B4" s="1538">
        <v>1000</v>
      </c>
      <c r="C4" s="1606">
        <f>'Revenues 9-14'!C109</f>
        <v>4048300</v>
      </c>
      <c r="D4" s="1606">
        <f>'Revenues 9-14'!D109</f>
        <v>447925</v>
      </c>
      <c r="E4" s="1606">
        <f>'Revenues 9-14'!E109</f>
        <v>547973</v>
      </c>
      <c r="F4" s="1606">
        <f>'Revenues 9-14'!F109</f>
        <v>203953</v>
      </c>
      <c r="G4" s="1606">
        <f>'Revenues 9-14'!G109</f>
        <v>420821</v>
      </c>
      <c r="H4" s="1606">
        <f>'Revenues 9-14'!H109</f>
        <v>1</v>
      </c>
      <c r="I4" s="1606">
        <f>'Revenues 9-14'!I109</f>
        <v>8601</v>
      </c>
      <c r="J4" s="1606">
        <f>'Revenues 9-14'!J109</f>
        <v>0</v>
      </c>
      <c r="K4" s="1606">
        <f>'Revenues 9-14'!K109</f>
        <v>45209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6013713</v>
      </c>
      <c r="D6" s="1607">
        <f>'Revenues 9-14'!D170</f>
        <v>607142</v>
      </c>
      <c r="E6" s="1607">
        <f>'Revenues 9-14'!E170</f>
        <v>0</v>
      </c>
      <c r="F6" s="1607">
        <f>'Revenues 9-14'!F170</f>
        <v>146078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1806550</v>
      </c>
      <c r="D7" s="1607">
        <f>'Revenues 9-14'!D267</f>
        <v>0</v>
      </c>
      <c r="E7" s="1607">
        <f>'Revenues 9-14'!E267</f>
        <v>0</v>
      </c>
      <c r="F7" s="1607">
        <f>'Revenues 9-14'!F267</f>
        <v>3427</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11868563</v>
      </c>
      <c r="D8" s="1594">
        <f t="shared" ref="D8:K8" si="0">SUM(D4:D7)</f>
        <v>1055067</v>
      </c>
      <c r="E8" s="1594">
        <f t="shared" si="0"/>
        <v>547973</v>
      </c>
      <c r="F8" s="1594">
        <f t="shared" si="0"/>
        <v>353458</v>
      </c>
      <c r="G8" s="1594">
        <f t="shared" si="0"/>
        <v>420821</v>
      </c>
      <c r="H8" s="1594">
        <f t="shared" si="0"/>
        <v>1</v>
      </c>
      <c r="I8" s="1594">
        <f t="shared" si="0"/>
        <v>8601</v>
      </c>
      <c r="J8" s="1594">
        <f t="shared" si="0"/>
        <v>0</v>
      </c>
      <c r="K8" s="1594">
        <f t="shared" si="0"/>
        <v>45209</v>
      </c>
      <c r="L8" s="325"/>
    </row>
    <row r="9" spans="1:13" ht="15.75" thickTop="1" x14ac:dyDescent="0.2">
      <c r="A9" s="449" t="s">
        <v>1634</v>
      </c>
      <c r="B9" s="450">
        <v>3998</v>
      </c>
      <c r="C9" s="1586">
        <v>5106208</v>
      </c>
      <c r="D9" s="1613"/>
      <c r="E9" s="1586"/>
      <c r="F9" s="1586"/>
      <c r="G9" s="1614"/>
      <c r="H9" s="1586"/>
      <c r="I9" s="1609" t="s">
        <v>1159</v>
      </c>
      <c r="J9" s="1583"/>
      <c r="K9" s="1586"/>
      <c r="L9" s="325"/>
    </row>
    <row r="10" spans="1:13" s="452" customFormat="1" ht="13.5" thickBot="1" x14ac:dyDescent="0.25">
      <c r="A10" s="1426" t="s">
        <v>1163</v>
      </c>
      <c r="B10" s="1407"/>
      <c r="C10" s="1594">
        <f>SUM(C8:C9)</f>
        <v>16974771</v>
      </c>
      <c r="D10" s="1594">
        <f t="shared" ref="D10:K10" si="1">SUM(D8:D9)</f>
        <v>1055067</v>
      </c>
      <c r="E10" s="1594">
        <f t="shared" si="1"/>
        <v>547973</v>
      </c>
      <c r="F10" s="1594">
        <f t="shared" si="1"/>
        <v>353458</v>
      </c>
      <c r="G10" s="1594">
        <f t="shared" si="1"/>
        <v>420821</v>
      </c>
      <c r="H10" s="1594">
        <f t="shared" si="1"/>
        <v>1</v>
      </c>
      <c r="I10" s="1594">
        <f t="shared" si="1"/>
        <v>8601</v>
      </c>
      <c r="J10" s="1594">
        <f t="shared" si="1"/>
        <v>0</v>
      </c>
      <c r="K10" s="1594">
        <f t="shared" si="1"/>
        <v>45209</v>
      </c>
      <c r="L10" s="451"/>
    </row>
    <row r="11" spans="1:13" s="452" customFormat="1" ht="16.7" customHeight="1" thickTop="1" x14ac:dyDescent="0.2">
      <c r="A11" s="2219" t="s">
        <v>1166</v>
      </c>
      <c r="B11" s="2220"/>
      <c r="C11" s="1602"/>
      <c r="D11" s="1603"/>
      <c r="E11" s="1603"/>
      <c r="F11" s="1603"/>
      <c r="G11" s="1603"/>
      <c r="H11" s="1603"/>
      <c r="I11" s="1603"/>
      <c r="J11" s="1603"/>
      <c r="K11" s="1615"/>
      <c r="L11" s="451"/>
    </row>
    <row r="12" spans="1:13" ht="15.75" customHeight="1" x14ac:dyDescent="0.2">
      <c r="A12" s="1314" t="s">
        <v>453</v>
      </c>
      <c r="B12" s="1316">
        <v>1000</v>
      </c>
      <c r="C12" s="1606">
        <f>'Expenditures 15-22'!K33</f>
        <v>7418102</v>
      </c>
      <c r="D12" s="1616" t="s">
        <v>1159</v>
      </c>
      <c r="E12" s="1575" t="s">
        <v>1159</v>
      </c>
      <c r="F12" s="1575" t="s">
        <v>1159</v>
      </c>
      <c r="G12" s="1606">
        <f>'Expenditures 15-22'!K229</f>
        <v>202583</v>
      </c>
      <c r="H12" s="1617"/>
      <c r="I12" s="1575" t="s">
        <v>1159</v>
      </c>
      <c r="J12" s="1575" t="s">
        <v>1159</v>
      </c>
      <c r="K12" s="1617" t="s">
        <v>1159</v>
      </c>
      <c r="L12" s="325"/>
    </row>
    <row r="13" spans="1:13" ht="15.75" customHeight="1" x14ac:dyDescent="0.2">
      <c r="A13" s="1314" t="s">
        <v>454</v>
      </c>
      <c r="B13" s="1316">
        <v>2000</v>
      </c>
      <c r="C13" s="1607">
        <f>'Expenditures 15-22'!K74</f>
        <v>3791077</v>
      </c>
      <c r="D13" s="1607">
        <f>'Expenditures 15-22'!K129</f>
        <v>786982</v>
      </c>
      <c r="E13" s="1576" t="s">
        <v>1159</v>
      </c>
      <c r="F13" s="1607">
        <f>'Expenditures 15-22'!K184</f>
        <v>297094</v>
      </c>
      <c r="G13" s="1607">
        <f>'Expenditures 15-22'!K279</f>
        <v>202603</v>
      </c>
      <c r="H13" s="1607">
        <f>'Expenditures 15-22'!K303</f>
        <v>4470</v>
      </c>
      <c r="I13" s="1575" t="s">
        <v>1159</v>
      </c>
      <c r="J13" s="1607">
        <f>'Expenditures 15-22'!K330</f>
        <v>0</v>
      </c>
      <c r="K13" s="1618">
        <f>'Expenditures 15-22'!K352</f>
        <v>11963</v>
      </c>
      <c r="L13" s="325"/>
    </row>
    <row r="14" spans="1:13" ht="15.75" customHeight="1" x14ac:dyDescent="0.2">
      <c r="A14" s="1314" t="s">
        <v>446</v>
      </c>
      <c r="B14" s="1316">
        <v>3000</v>
      </c>
      <c r="C14" s="1607">
        <f>'Expenditures 15-22'!K75</f>
        <v>34837</v>
      </c>
      <c r="D14" s="1607">
        <f>'Expenditures 15-22'!K130</f>
        <v>0</v>
      </c>
      <c r="E14" s="1616" t="s">
        <v>1159</v>
      </c>
      <c r="F14" s="1607">
        <f>'Expenditures 15-22'!K185</f>
        <v>0</v>
      </c>
      <c r="G14" s="1607">
        <f>'Expenditures 15-22'!K280</f>
        <v>2452</v>
      </c>
      <c r="H14" s="1612"/>
      <c r="I14" s="1575" t="s">
        <v>1159</v>
      </c>
      <c r="J14" s="1575" t="s">
        <v>1159</v>
      </c>
      <c r="K14" s="1612" t="s">
        <v>1159</v>
      </c>
      <c r="L14" s="325"/>
    </row>
    <row r="15" spans="1:13" ht="15.75" customHeight="1" x14ac:dyDescent="0.2">
      <c r="A15" s="1314" t="s">
        <v>107</v>
      </c>
      <c r="B15" s="1316">
        <v>4000</v>
      </c>
      <c r="C15" s="1607">
        <f>'Expenditures 15-22'!K102</f>
        <v>346140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698483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11590156</v>
      </c>
      <c r="D17" s="1594">
        <f t="shared" si="2"/>
        <v>786982</v>
      </c>
      <c r="E17" s="1594">
        <f t="shared" si="2"/>
        <v>698483</v>
      </c>
      <c r="F17" s="1594">
        <f t="shared" si="2"/>
        <v>297094</v>
      </c>
      <c r="G17" s="1594">
        <f t="shared" si="2"/>
        <v>407638</v>
      </c>
      <c r="H17" s="1594">
        <f t="shared" si="2"/>
        <v>4470</v>
      </c>
      <c r="I17" s="1575"/>
      <c r="J17" s="1594">
        <f>SUM(J12:J16)</f>
        <v>0</v>
      </c>
      <c r="K17" s="1594">
        <f>SUM(K12:K16)</f>
        <v>11963</v>
      </c>
      <c r="L17" s="325"/>
    </row>
    <row r="18" spans="1:12" ht="15" customHeight="1" thickTop="1" x14ac:dyDescent="0.2">
      <c r="A18" s="1430" t="s">
        <v>1635</v>
      </c>
      <c r="B18" s="1431">
        <v>4180</v>
      </c>
      <c r="C18" s="1606">
        <f t="shared" ref="C18:H18" si="3">C9</f>
        <v>5106208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16696364</v>
      </c>
      <c r="D19" s="1594">
        <f t="shared" si="4"/>
        <v>786982</v>
      </c>
      <c r="E19" s="1594">
        <f t="shared" si="4"/>
        <v>698483</v>
      </c>
      <c r="F19" s="1594">
        <f t="shared" si="4"/>
        <v>297094</v>
      </c>
      <c r="G19" s="1594">
        <f t="shared" si="4"/>
        <v>407638</v>
      </c>
      <c r="H19" s="1594">
        <f t="shared" si="4"/>
        <v>4470</v>
      </c>
      <c r="I19" s="1575"/>
      <c r="J19" s="1594">
        <f>SUM(J17:J18)</f>
        <v>0</v>
      </c>
      <c r="K19" s="1594">
        <f>SUM(K17:K18)</f>
        <v>11963</v>
      </c>
      <c r="L19" s="325"/>
    </row>
    <row r="20" spans="1:12" ht="16.5" thickTop="1" thickBot="1" x14ac:dyDescent="0.25">
      <c r="A20" s="2235" t="s">
        <v>1636</v>
      </c>
      <c r="B20" s="2236"/>
      <c r="C20" s="1622">
        <f>C8-C17</f>
        <v>278407</v>
      </c>
      <c r="D20" s="1622">
        <f t="shared" ref="D20:K20" si="5">D8-D17</f>
        <v>268085</v>
      </c>
      <c r="E20" s="1622">
        <f t="shared" si="5"/>
        <v>-150510</v>
      </c>
      <c r="F20" s="1622">
        <f t="shared" si="5"/>
        <v>56364</v>
      </c>
      <c r="G20" s="1622">
        <f t="shared" si="5"/>
        <v>13183</v>
      </c>
      <c r="H20" s="1622">
        <f t="shared" si="5"/>
        <v>-4469</v>
      </c>
      <c r="I20" s="1622">
        <f t="shared" si="5"/>
        <v>8601</v>
      </c>
      <c r="J20" s="1622">
        <f t="shared" si="5"/>
        <v>0</v>
      </c>
      <c r="K20" s="1622">
        <f t="shared" si="5"/>
        <v>33246</v>
      </c>
      <c r="L20" s="325"/>
    </row>
    <row r="21" spans="1:12" ht="16.7" customHeight="1" thickTop="1" x14ac:dyDescent="0.2">
      <c r="A21" s="2247" t="s">
        <v>591</v>
      </c>
      <c r="B21" s="2248"/>
      <c r="C21" s="1602"/>
      <c r="D21" s="1603"/>
      <c r="E21" s="1603"/>
      <c r="F21" s="1603"/>
      <c r="G21" s="1603"/>
      <c r="H21" s="1603"/>
      <c r="I21" s="1603"/>
      <c r="J21" s="1603"/>
      <c r="K21" s="1615"/>
      <c r="L21" s="453"/>
    </row>
    <row r="22" spans="1:12" ht="15.75" customHeight="1" collapsed="1" x14ac:dyDescent="0.2">
      <c r="A22" s="2243" t="s">
        <v>592</v>
      </c>
      <c r="B22" s="2244"/>
      <c r="C22" s="1582"/>
      <c r="D22" s="1582"/>
      <c r="E22" s="1582"/>
      <c r="F22" s="1582"/>
      <c r="G22" s="1582"/>
      <c r="H22" s="1582"/>
      <c r="I22" s="1582"/>
      <c r="J22" s="1582"/>
      <c r="K22" s="1582"/>
      <c r="L22" s="325"/>
    </row>
    <row r="23" spans="1:12" s="433" customFormat="1" ht="15.75" customHeight="1" x14ac:dyDescent="0.2">
      <c r="A23" s="2239" t="s">
        <v>290</v>
      </c>
      <c r="B23" s="2240"/>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1" t="s">
        <v>974</v>
      </c>
      <c r="B32" s="2242"/>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205000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9" t="s">
        <v>371</v>
      </c>
      <c r="B44" s="2250"/>
      <c r="C44" s="1624">
        <f>SUM(C24:C43)</f>
        <v>0</v>
      </c>
      <c r="D44" s="1624">
        <f t="shared" ref="D44:K44" si="6">SUM(D24:D43)</f>
        <v>0</v>
      </c>
      <c r="E44" s="1624">
        <f t="shared" si="6"/>
        <v>205000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3" t="s">
        <v>108</v>
      </c>
      <c r="B45" s="2244"/>
      <c r="C45" s="1625"/>
      <c r="D45" s="1625"/>
      <c r="E45" s="1625"/>
      <c r="F45" s="1625"/>
      <c r="G45" s="1625"/>
      <c r="H45" s="1625"/>
      <c r="I45" s="1625"/>
      <c r="J45" s="1625"/>
      <c r="K45" s="1625"/>
      <c r="L45" s="325"/>
    </row>
    <row r="46" spans="1:12" s="433" customFormat="1" ht="15.75" customHeight="1" x14ac:dyDescent="0.2">
      <c r="A46" s="2251" t="s">
        <v>109</v>
      </c>
      <c r="B46" s="2252"/>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v>205000</v>
      </c>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5" t="s">
        <v>437</v>
      </c>
      <c r="B76" s="2226"/>
      <c r="C76" s="1624">
        <f t="shared" ref="C76:K76" si="7">SUM(C47:C75)</f>
        <v>0</v>
      </c>
      <c r="D76" s="1624">
        <f t="shared" si="7"/>
        <v>205000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7" t="s">
        <v>1167</v>
      </c>
      <c r="B77" s="2228"/>
      <c r="C77" s="1624">
        <f t="shared" ref="C77:K77" si="8">C44-C76</f>
        <v>0</v>
      </c>
      <c r="D77" s="1624">
        <f t="shared" si="8"/>
        <v>-205000</v>
      </c>
      <c r="E77" s="1624">
        <f t="shared" si="8"/>
        <v>205000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1" t="s">
        <v>593</v>
      </c>
      <c r="B78" s="2232"/>
      <c r="C78" s="1629">
        <f t="shared" ref="C78:K78" si="9">C20+C77</f>
        <v>278407</v>
      </c>
      <c r="D78" s="1629">
        <f t="shared" si="9"/>
        <v>63085</v>
      </c>
      <c r="E78" s="1629">
        <f t="shared" si="9"/>
        <v>54490</v>
      </c>
      <c r="F78" s="1629">
        <f t="shared" si="9"/>
        <v>56364</v>
      </c>
      <c r="G78" s="1629">
        <f t="shared" si="9"/>
        <v>13183</v>
      </c>
      <c r="H78" s="1629">
        <f t="shared" si="9"/>
        <v>-4469</v>
      </c>
      <c r="I78" s="1629">
        <f t="shared" si="9"/>
        <v>8601</v>
      </c>
      <c r="J78" s="1629">
        <f t="shared" si="9"/>
        <v>0</v>
      </c>
      <c r="K78" s="1629">
        <f t="shared" si="9"/>
        <v>33246</v>
      </c>
      <c r="L78" s="457"/>
    </row>
    <row r="79" spans="1:12" ht="13.5" thickTop="1" x14ac:dyDescent="0.2">
      <c r="A79" s="1844" t="str">
        <f>"Fund Balances - July 1, "&amp;'AFR20'!E2-1</f>
        <v>Fund Balances - July 1, 2019</v>
      </c>
      <c r="B79" s="458"/>
      <c r="C79" s="1583">
        <v>7082934</v>
      </c>
      <c r="D79" s="1630">
        <v>865881</v>
      </c>
      <c r="E79" s="1630">
        <v>101910</v>
      </c>
      <c r="F79" s="1630">
        <v>501766</v>
      </c>
      <c r="G79" s="1630">
        <v>292800</v>
      </c>
      <c r="H79" s="1630">
        <v>4469</v>
      </c>
      <c r="I79" s="1630">
        <v>1443441</v>
      </c>
      <c r="J79" s="1630">
        <v>0</v>
      </c>
      <c r="K79" s="1630">
        <v>65573</v>
      </c>
      <c r="L79" s="325"/>
    </row>
    <row r="80" spans="1:12" x14ac:dyDescent="0.2">
      <c r="A80" s="2237" t="s">
        <v>1769</v>
      </c>
      <c r="B80" s="2238"/>
      <c r="C80" s="1574"/>
      <c r="D80" s="1574"/>
      <c r="E80" s="1574"/>
      <c r="F80" s="1574"/>
      <c r="G80" s="1574"/>
      <c r="H80" s="1574"/>
      <c r="I80" s="1574"/>
      <c r="J80" s="1574"/>
      <c r="K80" s="1574"/>
      <c r="L80" s="325"/>
    </row>
    <row r="81" spans="1:12" ht="13.5" thickBot="1" x14ac:dyDescent="0.25">
      <c r="A81" s="2229" t="str">
        <f>"Fund Balances - June 30, "&amp;'AFR20'!E2</f>
        <v>Fund Balances - June 30, 2020</v>
      </c>
      <c r="B81" s="2230"/>
      <c r="C81" s="1594">
        <f>(SUM(C78:C80))</f>
        <v>7361341</v>
      </c>
      <c r="D81" s="1594">
        <f>SUM(D78:D80)</f>
        <v>928966</v>
      </c>
      <c r="E81" s="1594">
        <f t="shared" ref="E81:K81" si="10">SUM(E78:E80)</f>
        <v>156400</v>
      </c>
      <c r="F81" s="1594">
        <f t="shared" si="10"/>
        <v>558130</v>
      </c>
      <c r="G81" s="1594">
        <f t="shared" si="10"/>
        <v>305983</v>
      </c>
      <c r="H81" s="1594">
        <f t="shared" si="10"/>
        <v>0</v>
      </c>
      <c r="I81" s="1594">
        <f t="shared" si="10"/>
        <v>1452042</v>
      </c>
      <c r="J81" s="1594">
        <f t="shared" si="10"/>
        <v>0</v>
      </c>
      <c r="K81" s="1594">
        <f t="shared" si="10"/>
        <v>98819</v>
      </c>
      <c r="L81" s="325"/>
    </row>
    <row r="82" spans="1:12" ht="0.75" customHeight="1" thickTop="1" thickBot="1" x14ac:dyDescent="0.25">
      <c r="A82" s="459" t="s">
        <v>340</v>
      </c>
      <c r="B82" s="460"/>
      <c r="C82" s="461">
        <f>(C81-C79)</f>
        <v>278407</v>
      </c>
      <c r="D82" s="461">
        <f t="shared" ref="D82:K82" si="11">(D81-D79)</f>
        <v>63085</v>
      </c>
      <c r="E82" s="461">
        <f t="shared" si="11"/>
        <v>54490</v>
      </c>
      <c r="F82" s="461">
        <f t="shared" si="11"/>
        <v>56364</v>
      </c>
      <c r="G82" s="461">
        <f t="shared" si="11"/>
        <v>13183</v>
      </c>
      <c r="H82" s="461">
        <f t="shared" si="11"/>
        <v>-4469</v>
      </c>
      <c r="I82" s="461">
        <f t="shared" si="11"/>
        <v>8601</v>
      </c>
      <c r="J82" s="461">
        <f t="shared" si="11"/>
        <v>0</v>
      </c>
      <c r="K82" s="461">
        <f t="shared" si="11"/>
        <v>33246</v>
      </c>
    </row>
    <row r="83" spans="1:12" ht="14.25" hidden="1" thickTop="1" thickBot="1" x14ac:dyDescent="0.25">
      <c r="A83" s="462" t="s">
        <v>341</v>
      </c>
      <c r="B83" s="428"/>
      <c r="C83" s="463">
        <f>C82/C81</f>
        <v>3.7820147171554748E-2</v>
      </c>
      <c r="D83" s="463">
        <f t="shared" ref="D83:K83" si="12">D82/D81</f>
        <v>6.7908836276031628E-2</v>
      </c>
      <c r="E83" s="463">
        <f t="shared" si="12"/>
        <v>0.34840153452685424</v>
      </c>
      <c r="F83" s="463">
        <f t="shared" si="12"/>
        <v>0.10098722519843047</v>
      </c>
      <c r="G83" s="463">
        <f t="shared" si="12"/>
        <v>4.3084092907122291E-2</v>
      </c>
      <c r="H83" s="463" t="e">
        <f t="shared" si="12"/>
        <v>#DIV/0!</v>
      </c>
      <c r="I83" s="463">
        <f t="shared" si="12"/>
        <v>5.9233823815013614E-3</v>
      </c>
      <c r="J83" s="463" t="e">
        <f t="shared" si="12"/>
        <v>#DIV/0!</v>
      </c>
      <c r="K83" s="463">
        <f t="shared" si="12"/>
        <v>0.33643327700138637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15" right="0.15" top="1" bottom="0.3" header="0.5" footer="0.1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3" activePane="bottomLeft" state="frozen"/>
      <selection activeCell="C40" sqref="C40"/>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3" t="s">
        <v>1776</v>
      </c>
      <c r="B1" s="416"/>
      <c r="C1" s="417" t="s">
        <v>422</v>
      </c>
      <c r="D1" s="417" t="s">
        <v>423</v>
      </c>
      <c r="E1" s="417" t="s">
        <v>424</v>
      </c>
      <c r="F1" s="417" t="s">
        <v>425</v>
      </c>
      <c r="G1" s="417" t="s">
        <v>426</v>
      </c>
      <c r="H1" s="417" t="s">
        <v>427</v>
      </c>
      <c r="I1" s="417" t="s">
        <v>428</v>
      </c>
      <c r="J1" s="417" t="s">
        <v>429</v>
      </c>
      <c r="K1" s="417" t="s">
        <v>751</v>
      </c>
    </row>
    <row r="2" spans="1:12" ht="36" x14ac:dyDescent="0.2">
      <c r="A2" s="223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3242045</v>
      </c>
      <c r="D5" s="1586">
        <v>421154</v>
      </c>
      <c r="E5" s="1573"/>
      <c r="F5" s="1631">
        <v>103938</v>
      </c>
      <c r="G5" s="1573">
        <v>148470</v>
      </c>
      <c r="H5" s="1573"/>
      <c r="I5" s="1573"/>
      <c r="J5" s="1574"/>
      <c r="K5" s="1573">
        <v>44545</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22772</v>
      </c>
      <c r="D7" s="1573"/>
      <c r="E7" s="1575"/>
      <c r="F7" s="1574"/>
      <c r="G7" s="1574"/>
      <c r="H7" s="1574"/>
      <c r="I7" s="1575"/>
      <c r="J7" s="1575"/>
      <c r="K7" s="1575"/>
    </row>
    <row r="8" spans="1:12" x14ac:dyDescent="0.2">
      <c r="A8" s="427" t="s">
        <v>410</v>
      </c>
      <c r="B8" s="429">
        <v>1150</v>
      </c>
      <c r="C8" s="1580"/>
      <c r="D8" s="1580"/>
      <c r="E8" s="1582"/>
      <c r="F8" s="1582"/>
      <c r="G8" s="1586">
        <v>148470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3264817</v>
      </c>
      <c r="D12" s="1633">
        <f t="shared" si="0"/>
        <v>421154</v>
      </c>
      <c r="E12" s="1633">
        <f t="shared" si="0"/>
        <v>0</v>
      </c>
      <c r="F12" s="1633">
        <f t="shared" si="0"/>
        <v>103938</v>
      </c>
      <c r="G12" s="1633">
        <f t="shared" si="0"/>
        <v>296940</v>
      </c>
      <c r="H12" s="1633">
        <f t="shared" si="0"/>
        <v>0</v>
      </c>
      <c r="I12" s="1633">
        <f t="shared" si="0"/>
        <v>0</v>
      </c>
      <c r="J12" s="1633">
        <f t="shared" si="0"/>
        <v>0</v>
      </c>
      <c r="K12" s="1594">
        <f t="shared" si="0"/>
        <v>44545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5009</v>
      </c>
      <c r="D14" s="1573">
        <v>646</v>
      </c>
      <c r="E14" s="1573"/>
      <c r="F14" s="1573">
        <v>159</v>
      </c>
      <c r="G14" s="1573">
        <v>456</v>
      </c>
      <c r="H14" s="1573"/>
      <c r="I14" s="1573"/>
      <c r="J14" s="1574"/>
      <c r="K14" s="1573">
        <v>68</v>
      </c>
    </row>
    <row r="15" spans="1:12" ht="12.75" customHeight="1" x14ac:dyDescent="0.2">
      <c r="A15" s="427" t="s">
        <v>95</v>
      </c>
      <c r="B15" s="429">
        <v>1220</v>
      </c>
      <c r="C15" s="1632">
        <v>8237</v>
      </c>
      <c r="D15" s="1573">
        <v>1063</v>
      </c>
      <c r="E15" s="1573"/>
      <c r="F15" s="1573">
        <v>262</v>
      </c>
      <c r="G15" s="1573">
        <v>749</v>
      </c>
      <c r="H15" s="1573"/>
      <c r="I15" s="1573"/>
      <c r="J15" s="1574"/>
      <c r="K15" s="1573">
        <v>112</v>
      </c>
    </row>
    <row r="16" spans="1:12" ht="15" customHeight="1" x14ac:dyDescent="0.2">
      <c r="A16" s="427" t="s">
        <v>1644</v>
      </c>
      <c r="B16" s="471">
        <v>1230</v>
      </c>
      <c r="C16" s="1632">
        <v>213930</v>
      </c>
      <c r="D16" s="1573">
        <v>21885</v>
      </c>
      <c r="E16" s="1573"/>
      <c r="F16" s="1573">
        <v>96798</v>
      </c>
      <c r="G16" s="1573">
        <v>120741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227176</v>
      </c>
      <c r="D18" s="1635">
        <f t="shared" ref="D18:K18" si="1">SUM(D14:D17)</f>
        <v>23594</v>
      </c>
      <c r="E18" s="1635">
        <f t="shared" si="1"/>
        <v>0</v>
      </c>
      <c r="F18" s="1635">
        <f t="shared" si="1"/>
        <v>97219</v>
      </c>
      <c r="G18" s="1635">
        <f t="shared" si="1"/>
        <v>121946</v>
      </c>
      <c r="H18" s="1635">
        <f t="shared" si="1"/>
        <v>0</v>
      </c>
      <c r="I18" s="1635">
        <f t="shared" si="1"/>
        <v>0</v>
      </c>
      <c r="J18" s="1635">
        <f t="shared" si="1"/>
        <v>0</v>
      </c>
      <c r="K18" s="1636">
        <f t="shared" si="1"/>
        <v>180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165118</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165118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33312</v>
      </c>
      <c r="D65" s="1573">
        <v>2674</v>
      </c>
      <c r="E65" s="1573">
        <f>247+1</f>
        <v>248</v>
      </c>
      <c r="F65" s="1574">
        <v>2796</v>
      </c>
      <c r="G65" s="1573">
        <f>1933+2</f>
        <v>1935</v>
      </c>
      <c r="H65" s="1573">
        <v>1</v>
      </c>
      <c r="I65" s="1573">
        <v>8601</v>
      </c>
      <c r="J65" s="1574"/>
      <c r="K65" s="1573">
        <v>484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33312</v>
      </c>
      <c r="D67" s="1594">
        <f t="shared" ref="D67:K67" si="2">SUM(D65:D66)</f>
        <v>2674</v>
      </c>
      <c r="E67" s="1594">
        <f t="shared" si="2"/>
        <v>248</v>
      </c>
      <c r="F67" s="1594">
        <f t="shared" si="2"/>
        <v>2796</v>
      </c>
      <c r="G67" s="1594">
        <f t="shared" si="2"/>
        <v>1935</v>
      </c>
      <c r="H67" s="1594">
        <f t="shared" si="2"/>
        <v>1</v>
      </c>
      <c r="I67" s="1594">
        <f t="shared" si="2"/>
        <v>8601</v>
      </c>
      <c r="J67" s="1594">
        <f t="shared" si="2"/>
        <v>0</v>
      </c>
      <c r="K67" s="1594">
        <f t="shared" si="2"/>
        <v>484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1726</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5260</v>
      </c>
      <c r="D73" s="1575"/>
      <c r="E73" s="1575"/>
      <c r="F73" s="1575"/>
      <c r="G73" s="1575"/>
      <c r="H73" s="1575"/>
      <c r="I73" s="1575"/>
      <c r="J73" s="1575"/>
      <c r="K73" s="1575"/>
    </row>
    <row r="74" spans="1:11" ht="12.75" customHeight="1" x14ac:dyDescent="0.2">
      <c r="A74" s="427" t="s">
        <v>25</v>
      </c>
      <c r="B74" s="429">
        <v>1690</v>
      </c>
      <c r="C74" s="1632">
        <v>938</v>
      </c>
      <c r="D74" s="1575"/>
      <c r="E74" s="1575"/>
      <c r="F74" s="1575"/>
      <c r="G74" s="1575"/>
      <c r="H74" s="1575"/>
      <c r="I74" s="1575"/>
      <c r="J74" s="1575"/>
      <c r="K74" s="1575"/>
    </row>
    <row r="75" spans="1:11" ht="12.75" customHeight="1" thickBot="1" x14ac:dyDescent="0.25">
      <c r="A75" s="1406" t="s">
        <v>544</v>
      </c>
      <c r="B75" s="1407"/>
      <c r="C75" s="1594">
        <f>SUM(C69:C74)</f>
        <v>7924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12373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9022</v>
      </c>
      <c r="D79" s="1573"/>
      <c r="E79" s="1575"/>
      <c r="F79" s="1575"/>
      <c r="G79" s="1575"/>
      <c r="H79" s="1575"/>
      <c r="I79" s="1575"/>
      <c r="J79" s="1575"/>
      <c r="K79" s="1575"/>
    </row>
    <row r="80" spans="1:11" ht="12.75" customHeight="1" x14ac:dyDescent="0.2">
      <c r="A80" s="427" t="s">
        <v>547</v>
      </c>
      <c r="B80" s="429">
        <v>1730</v>
      </c>
      <c r="C80" s="1632">
        <v>1237</v>
      </c>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22632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21308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21308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450</v>
      </c>
      <c r="E95" s="1617"/>
      <c r="F95" s="1617"/>
      <c r="G95" s="1617"/>
      <c r="H95" s="1617"/>
      <c r="I95" s="1617"/>
      <c r="J95" s="1617"/>
      <c r="K95" s="1617"/>
    </row>
    <row r="96" spans="1:11" ht="12.75" customHeight="1" x14ac:dyDescent="0.2">
      <c r="A96" s="427" t="s">
        <v>388</v>
      </c>
      <c r="B96" s="429">
        <v>1920</v>
      </c>
      <c r="C96" s="1632">
        <v>275373</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25605</v>
      </c>
      <c r="D98" s="1573"/>
      <c r="E98" s="1612"/>
      <c r="F98" s="1573"/>
      <c r="G98" s="1612"/>
      <c r="H98" s="1612"/>
      <c r="I98" s="1610"/>
      <c r="J98" s="1612"/>
      <c r="K98" s="1612"/>
    </row>
    <row r="99" spans="1:12" ht="12.75" customHeight="1" x14ac:dyDescent="0.2">
      <c r="A99" s="427" t="s">
        <v>816</v>
      </c>
      <c r="B99" s="429">
        <v>1950</v>
      </c>
      <c r="C99" s="1598">
        <v>3157</v>
      </c>
      <c r="D99" s="1573">
        <v>53</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v>114</v>
      </c>
      <c r="D102" s="1598"/>
      <c r="E102" s="1598"/>
      <c r="F102" s="1598"/>
      <c r="G102" s="1598"/>
      <c r="H102" s="1598"/>
      <c r="I102" s="1574"/>
      <c r="J102" s="1598"/>
      <c r="K102" s="1574"/>
    </row>
    <row r="103" spans="1:12" ht="12.75" customHeight="1" x14ac:dyDescent="0.2">
      <c r="A103" s="427" t="s">
        <v>342</v>
      </c>
      <c r="B103" s="429">
        <v>1983</v>
      </c>
      <c r="C103" s="1575"/>
      <c r="D103" s="1575"/>
      <c r="E103" s="1639">
        <v>547725</v>
      </c>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1764</v>
      </c>
      <c r="D107" s="1573"/>
      <c r="E107" s="1573"/>
      <c r="F107" s="1573"/>
      <c r="G107" s="1573"/>
      <c r="H107" s="1573"/>
      <c r="I107" s="1573"/>
      <c r="J107" s="1574"/>
      <c r="K107" s="1573"/>
    </row>
    <row r="108" spans="1:12" ht="12.75" customHeight="1" thickBot="1" x14ac:dyDescent="0.25">
      <c r="A108" s="1406" t="s">
        <v>484</v>
      </c>
      <c r="B108" s="1408"/>
      <c r="C108" s="1633">
        <f>SUM(C95:C107)</f>
        <v>306013</v>
      </c>
      <c r="D108" s="1633">
        <f t="shared" ref="D108:K108" si="3">SUM(D95:D107)</f>
        <v>503</v>
      </c>
      <c r="E108" s="1633">
        <f t="shared" si="3"/>
        <v>547725</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4048300</v>
      </c>
      <c r="D109" s="1641">
        <f t="shared" si="4"/>
        <v>447925</v>
      </c>
      <c r="E109" s="1641">
        <f t="shared" si="4"/>
        <v>547973</v>
      </c>
      <c r="F109" s="1641">
        <f t="shared" si="4"/>
        <v>203953</v>
      </c>
      <c r="G109" s="1641">
        <f t="shared" si="4"/>
        <v>420821</v>
      </c>
      <c r="H109" s="1641">
        <f t="shared" si="4"/>
        <v>1</v>
      </c>
      <c r="I109" s="1641">
        <f t="shared" si="4"/>
        <v>8601</v>
      </c>
      <c r="J109" s="1641">
        <f t="shared" si="4"/>
        <v>0</v>
      </c>
      <c r="K109" s="1629">
        <f t="shared" si="4"/>
        <v>45209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5718811</v>
      </c>
      <c r="D117" s="1586">
        <v>561881</v>
      </c>
      <c r="E117" s="1573"/>
      <c r="F117" s="1586">
        <v>10000</v>
      </c>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5718811</v>
      </c>
      <c r="D122" s="1633">
        <f t="shared" si="5"/>
        <v>561881</v>
      </c>
      <c r="E122" s="1633">
        <f t="shared" si="5"/>
        <v>0</v>
      </c>
      <c r="F122" s="1633">
        <f t="shared" si="5"/>
        <v>10000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84392</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65838</v>
      </c>
      <c r="D128" s="1640"/>
      <c r="E128" s="1575"/>
      <c r="F128" s="1573">
        <v>18711</v>
      </c>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150230</v>
      </c>
      <c r="D132" s="1633">
        <f>SUM(D125:D131)</f>
        <v>0</v>
      </c>
      <c r="E132" s="1576" t="s">
        <v>1159</v>
      </c>
      <c r="F132" s="1633">
        <f>SUM(F125:F131)</f>
        <v>18711</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10307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v>117367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117367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131221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45261</v>
      </c>
      <c r="E167" s="1617"/>
      <c r="F167" s="1617"/>
      <c r="G167" s="1575"/>
      <c r="H167" s="1627"/>
      <c r="I167" s="1575"/>
      <c r="J167" s="1575"/>
      <c r="K167" s="1626"/>
    </row>
    <row r="168" spans="1:11" ht="14.25" thickTop="1" thickBot="1" x14ac:dyDescent="0.25">
      <c r="A168" s="1270" t="s">
        <v>70</v>
      </c>
      <c r="B168" s="484">
        <v>3999</v>
      </c>
      <c r="C168" s="1654">
        <v>3144</v>
      </c>
      <c r="D168" s="1655"/>
      <c r="E168" s="1655"/>
      <c r="F168" s="1655"/>
      <c r="G168" s="1656"/>
      <c r="H168" s="1657"/>
      <c r="I168" s="1656"/>
      <c r="J168" s="1656"/>
      <c r="K168" s="1657"/>
    </row>
    <row r="169" spans="1:11" ht="12.75" customHeight="1" thickTop="1" thickBot="1" x14ac:dyDescent="0.25">
      <c r="A169" s="2253" t="s">
        <v>395</v>
      </c>
      <c r="B169" s="2254"/>
      <c r="C169" s="1658">
        <f t="shared" ref="C169:K169" si="6">SUM(C132,C141,C145,C146:C150,C155,C156:C167,C168)</f>
        <v>294902</v>
      </c>
      <c r="D169" s="1658">
        <f t="shared" si="6"/>
        <v>45261</v>
      </c>
      <c r="E169" s="1658">
        <f t="shared" si="6"/>
        <v>0</v>
      </c>
      <c r="F169" s="1658">
        <f t="shared" si="6"/>
        <v>136078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6013713</v>
      </c>
      <c r="D170" s="1641">
        <f t="shared" si="7"/>
        <v>607142</v>
      </c>
      <c r="E170" s="1641">
        <f t="shared" si="7"/>
        <v>0</v>
      </c>
      <c r="F170" s="1641">
        <f t="shared" si="7"/>
        <v>146078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5" t="s">
        <v>1475</v>
      </c>
      <c r="B172" s="2256"/>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9" t="s">
        <v>1646</v>
      </c>
      <c r="B175" s="226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3" t="s">
        <v>1645</v>
      </c>
      <c r="B176" s="2264"/>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1" t="s">
        <v>780</v>
      </c>
      <c r="B181" s="226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7" t="s">
        <v>1777</v>
      </c>
      <c r="B182" s="2258"/>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11668</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11668</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431055</v>
      </c>
      <c r="D191" s="1575"/>
      <c r="E191" s="1640"/>
      <c r="F191" s="1575"/>
      <c r="G191" s="1664"/>
      <c r="H191" s="1575"/>
      <c r="I191" s="1575"/>
      <c r="J191" s="1575"/>
      <c r="K191" s="1575"/>
    </row>
    <row r="192" spans="1:11" ht="12.75" customHeight="1" x14ac:dyDescent="0.2">
      <c r="A192" s="427" t="s">
        <v>1038</v>
      </c>
      <c r="B192" s="429">
        <v>4215</v>
      </c>
      <c r="C192" s="1632">
        <v>1224</v>
      </c>
      <c r="D192" s="1575"/>
      <c r="E192" s="1640"/>
      <c r="F192" s="1575"/>
      <c r="G192" s="1664"/>
      <c r="H192" s="1575"/>
      <c r="I192" s="1575"/>
      <c r="J192" s="1575"/>
      <c r="K192" s="1575"/>
    </row>
    <row r="193" spans="1:11" ht="12.75" customHeight="1" x14ac:dyDescent="0.2">
      <c r="A193" s="427" t="s">
        <v>1050</v>
      </c>
      <c r="B193" s="429">
        <v>4220</v>
      </c>
      <c r="C193" s="1632">
        <v>165895</v>
      </c>
      <c r="D193" s="1575"/>
      <c r="E193" s="1640"/>
      <c r="F193" s="1575"/>
      <c r="G193" s="1664"/>
      <c r="H193" s="1575"/>
      <c r="I193" s="1575"/>
      <c r="J193" s="1575"/>
      <c r="K193" s="1575"/>
    </row>
    <row r="194" spans="1:11" ht="12.75" customHeight="1" x14ac:dyDescent="0.2">
      <c r="A194" s="427" t="s">
        <v>1434</v>
      </c>
      <c r="B194" s="429">
        <v>4225</v>
      </c>
      <c r="C194" s="1632">
        <v>238539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v>12680</v>
      </c>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849393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444798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38252</v>
      </c>
      <c r="D203" s="1573"/>
      <c r="E203" s="1575"/>
      <c r="F203" s="1573">
        <v>3427</v>
      </c>
      <c r="G203" s="1573"/>
      <c r="H203" s="1575"/>
      <c r="I203" s="1575"/>
      <c r="J203" s="1575"/>
      <c r="K203" s="1575"/>
    </row>
    <row r="204" spans="1:11" ht="12.75" customHeight="1" thickBot="1" x14ac:dyDescent="0.25">
      <c r="A204" s="1406" t="s">
        <v>397</v>
      </c>
      <c r="B204" s="1407"/>
      <c r="C204" s="1633">
        <f>SUM(C200:C203)</f>
        <v>483050</v>
      </c>
      <c r="D204" s="1633">
        <f>SUM(D200:D203)</f>
        <v>0</v>
      </c>
      <c r="E204" s="1575"/>
      <c r="F204" s="1633">
        <f>SUM(F200:F203)</f>
        <v>3427</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40241</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40241</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17911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261678</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279589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69717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23041</v>
      </c>
      <c r="D263" s="1651"/>
      <c r="E263" s="1575"/>
      <c r="F263" s="1651"/>
      <c r="G263" s="1651"/>
      <c r="H263" s="1575"/>
      <c r="I263" s="1575"/>
      <c r="J263" s="1575"/>
      <c r="K263" s="1575"/>
    </row>
    <row r="264" spans="1:11" ht="12.75" customHeight="1" thickTop="1" thickBot="1" x14ac:dyDescent="0.25">
      <c r="A264" s="427" t="s">
        <v>374</v>
      </c>
      <c r="B264" s="429">
        <v>4992</v>
      </c>
      <c r="C264" s="1650">
        <v>49851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1806550</v>
      </c>
      <c r="D266" s="1641">
        <f t="shared" si="10"/>
        <v>0</v>
      </c>
      <c r="E266" s="1641">
        <f t="shared" si="10"/>
        <v>0</v>
      </c>
      <c r="F266" s="1641">
        <f t="shared" si="10"/>
        <v>3427</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1806550</v>
      </c>
      <c r="D267" s="1641">
        <f>SUM(D175,D181,D266)</f>
        <v>0</v>
      </c>
      <c r="E267" s="1641">
        <f>SUM(E175,E266)</f>
        <v>0</v>
      </c>
      <c r="F267" s="1641">
        <f t="shared" ref="F267:K267" si="11">SUM(F175,F181,F266)</f>
        <v>3427</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11868563</v>
      </c>
      <c r="D268" s="1641">
        <f t="shared" si="12"/>
        <v>1055067</v>
      </c>
      <c r="E268" s="1641">
        <f t="shared" si="12"/>
        <v>547973</v>
      </c>
      <c r="F268" s="1641">
        <f t="shared" si="12"/>
        <v>353458</v>
      </c>
      <c r="G268" s="1641">
        <f t="shared" si="12"/>
        <v>420821</v>
      </c>
      <c r="H268" s="1641">
        <f t="shared" si="12"/>
        <v>1</v>
      </c>
      <c r="I268" s="1641">
        <f t="shared" si="12"/>
        <v>8601</v>
      </c>
      <c r="J268" s="1641">
        <f t="shared" si="12"/>
        <v>0</v>
      </c>
      <c r="K268" s="1629">
        <f t="shared" si="12"/>
        <v>45209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 top="0.8" bottom="0.62" header="0.5" footer="0.4"/>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9" activePane="bottomLeft" state="frozen"/>
      <selection activeCell="C40" sqref="C40"/>
      <selection pane="bottomLeft" activeCell="A41" sqref="A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3"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3420883</v>
      </c>
      <c r="D5" s="1573">
        <v>1015281</v>
      </c>
      <c r="E5" s="1573">
        <v>149451</v>
      </c>
      <c r="F5" s="1573">
        <v>129011</v>
      </c>
      <c r="G5" s="1573">
        <v>5700</v>
      </c>
      <c r="H5" s="1573">
        <v>967</v>
      </c>
      <c r="I5" s="1574"/>
      <c r="J5" s="1574"/>
      <c r="K5" s="1672">
        <f>SUM(C5:J5)</f>
        <v>4721293</v>
      </c>
      <c r="L5" s="1573">
        <v>4923130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91195</v>
      </c>
      <c r="D7" s="1574">
        <v>18513</v>
      </c>
      <c r="E7" s="1574">
        <v>4292</v>
      </c>
      <c r="F7" s="1574">
        <v>21834</v>
      </c>
      <c r="G7" s="1574">
        <v>11493</v>
      </c>
      <c r="H7" s="1574"/>
      <c r="I7" s="1574"/>
      <c r="J7" s="1574"/>
      <c r="K7" s="1672">
        <f t="shared" ref="K7:K32" si="0">SUM(C7:J7)</f>
        <v>147327</v>
      </c>
      <c r="L7" s="1573">
        <v>149790</v>
      </c>
    </row>
    <row r="8" spans="1:14" x14ac:dyDescent="0.2">
      <c r="A8" s="1274" t="s">
        <v>163</v>
      </c>
      <c r="B8" s="503">
        <v>1200</v>
      </c>
      <c r="C8" s="1573">
        <v>1427525</v>
      </c>
      <c r="D8" s="1573">
        <v>267288</v>
      </c>
      <c r="E8" s="1573">
        <v>8842</v>
      </c>
      <c r="F8" s="1573">
        <v>21907</v>
      </c>
      <c r="G8" s="1573">
        <v>2764</v>
      </c>
      <c r="H8" s="1573">
        <v>253832</v>
      </c>
      <c r="I8" s="1574"/>
      <c r="J8" s="1574"/>
      <c r="K8" s="1672">
        <f t="shared" si="0"/>
        <v>1982158</v>
      </c>
      <c r="L8" s="1573">
        <v>1924860</v>
      </c>
    </row>
    <row r="9" spans="1:14" x14ac:dyDescent="0.2">
      <c r="A9" s="1274" t="s">
        <v>716</v>
      </c>
      <c r="B9" s="503" t="s">
        <v>962</v>
      </c>
      <c r="C9" s="1574">
        <v>198428</v>
      </c>
      <c r="D9" s="1574">
        <v>34695</v>
      </c>
      <c r="E9" s="1574">
        <v>399</v>
      </c>
      <c r="F9" s="1574">
        <v>12952</v>
      </c>
      <c r="G9" s="1574"/>
      <c r="H9" s="1574"/>
      <c r="I9" s="1574"/>
      <c r="J9" s="1574"/>
      <c r="K9" s="1672">
        <f t="shared" si="0"/>
        <v>246474</v>
      </c>
      <c r="L9" s="1573">
        <v>234475</v>
      </c>
    </row>
    <row r="10" spans="1:14" x14ac:dyDescent="0.2">
      <c r="A10" s="1274" t="s">
        <v>717</v>
      </c>
      <c r="B10" s="503">
        <v>1250</v>
      </c>
      <c r="C10" s="1573">
        <v>138542</v>
      </c>
      <c r="D10" s="1573">
        <v>46550</v>
      </c>
      <c r="E10" s="1573">
        <v>4498</v>
      </c>
      <c r="F10" s="1573">
        <v>11111</v>
      </c>
      <c r="G10" s="1573"/>
      <c r="H10" s="1573"/>
      <c r="I10" s="1574"/>
      <c r="J10" s="1574"/>
      <c r="K10" s="1672">
        <f t="shared" si="0"/>
        <v>200701</v>
      </c>
      <c r="L10" s="1573">
        <v>211575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v>1000</v>
      </c>
    </row>
    <row r="13" spans="1:14" x14ac:dyDescent="0.2">
      <c r="A13" s="1274" t="s">
        <v>718</v>
      </c>
      <c r="B13" s="503">
        <v>1400</v>
      </c>
      <c r="C13" s="1573"/>
      <c r="D13" s="1573"/>
      <c r="E13" s="1573"/>
      <c r="F13" s="1573"/>
      <c r="G13" s="1573"/>
      <c r="H13" s="1573"/>
      <c r="I13" s="1574"/>
      <c r="J13" s="1574"/>
      <c r="K13" s="1672">
        <f t="shared" si="0"/>
        <v>0</v>
      </c>
      <c r="L13" s="1573">
        <v>119935</v>
      </c>
    </row>
    <row r="14" spans="1:14" x14ac:dyDescent="0.2">
      <c r="A14" s="1274" t="s">
        <v>957</v>
      </c>
      <c r="B14" s="503">
        <v>1500</v>
      </c>
      <c r="C14" s="1573">
        <v>78190</v>
      </c>
      <c r="D14" s="1573">
        <v>7797</v>
      </c>
      <c r="E14" s="1573">
        <v>10664</v>
      </c>
      <c r="F14" s="1573">
        <v>7110</v>
      </c>
      <c r="G14" s="1573">
        <v>6615</v>
      </c>
      <c r="H14" s="1573">
        <v>3054</v>
      </c>
      <c r="I14" s="1574"/>
      <c r="J14" s="1574"/>
      <c r="K14" s="1672">
        <f t="shared" si="0"/>
        <v>113430</v>
      </c>
      <c r="L14" s="1573">
        <v>10100</v>
      </c>
    </row>
    <row r="15" spans="1:14" x14ac:dyDescent="0.2">
      <c r="A15" s="1274" t="s">
        <v>958</v>
      </c>
      <c r="B15" s="503">
        <v>1600</v>
      </c>
      <c r="C15" s="1573">
        <v>5347</v>
      </c>
      <c r="D15" s="1573">
        <v>825</v>
      </c>
      <c r="E15" s="1573"/>
      <c r="F15" s="1573">
        <v>483</v>
      </c>
      <c r="G15" s="1573"/>
      <c r="H15" s="1573"/>
      <c r="I15" s="1574"/>
      <c r="J15" s="1574"/>
      <c r="K15" s="1672">
        <f t="shared" si="0"/>
        <v>6655</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v>64</v>
      </c>
      <c r="F18" s="1573"/>
      <c r="G18" s="1573"/>
      <c r="H18" s="1573"/>
      <c r="I18" s="1574"/>
      <c r="J18" s="1574"/>
      <c r="K18" s="1672">
        <f t="shared" si="0"/>
        <v>64</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5360110</v>
      </c>
      <c r="D33" s="1674">
        <f t="shared" ref="D33:L33" si="1">SUM(D5:D32)</f>
        <v>1390949</v>
      </c>
      <c r="E33" s="1674">
        <f t="shared" si="1"/>
        <v>178210</v>
      </c>
      <c r="F33" s="1674">
        <f t="shared" si="1"/>
        <v>204408</v>
      </c>
      <c r="G33" s="1674">
        <f t="shared" si="1"/>
        <v>26572</v>
      </c>
      <c r="H33" s="1674">
        <f t="shared" si="1"/>
        <v>257853</v>
      </c>
      <c r="I33" s="1674">
        <f t="shared" si="1"/>
        <v>0</v>
      </c>
      <c r="J33" s="1674">
        <f t="shared" si="1"/>
        <v>0</v>
      </c>
      <c r="K33" s="1674">
        <f t="shared" si="1"/>
        <v>7418102</v>
      </c>
      <c r="L33" s="1674">
        <f t="shared" si="1"/>
        <v>7574865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114847</v>
      </c>
      <c r="D37" s="1573">
        <v>34286</v>
      </c>
      <c r="E37" s="1573"/>
      <c r="F37" s="1573"/>
      <c r="G37" s="1573"/>
      <c r="H37" s="1573"/>
      <c r="I37" s="1574"/>
      <c r="J37" s="1574"/>
      <c r="K37" s="1672">
        <f t="shared" si="2"/>
        <v>149133</v>
      </c>
      <c r="L37" s="1573">
        <v>146650</v>
      </c>
    </row>
    <row r="38" spans="1:14" x14ac:dyDescent="0.2">
      <c r="A38" s="1274" t="s">
        <v>196</v>
      </c>
      <c r="B38" s="503">
        <v>2130</v>
      </c>
      <c r="C38" s="1573">
        <v>52189</v>
      </c>
      <c r="D38" s="1573">
        <v>9440</v>
      </c>
      <c r="E38" s="1573"/>
      <c r="F38" s="1573">
        <v>6289</v>
      </c>
      <c r="G38" s="1573"/>
      <c r="H38" s="1573"/>
      <c r="I38" s="1574"/>
      <c r="J38" s="1574"/>
      <c r="K38" s="1672">
        <f t="shared" si="2"/>
        <v>67918</v>
      </c>
      <c r="L38" s="1573">
        <v>67450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218857</v>
      </c>
      <c r="D40" s="1573">
        <v>60598</v>
      </c>
      <c r="E40" s="1573">
        <v>1188</v>
      </c>
      <c r="F40" s="1573"/>
      <c r="G40" s="1573"/>
      <c r="H40" s="1573"/>
      <c r="I40" s="1574"/>
      <c r="J40" s="1574"/>
      <c r="K40" s="1672">
        <f t="shared" si="2"/>
        <v>280643</v>
      </c>
      <c r="L40" s="1573">
        <v>252220</v>
      </c>
    </row>
    <row r="41" spans="1:14" x14ac:dyDescent="0.2">
      <c r="A41" s="1274" t="s">
        <v>1650</v>
      </c>
      <c r="B41" s="503">
        <v>2190</v>
      </c>
      <c r="C41" s="1573">
        <v>1884</v>
      </c>
      <c r="D41" s="1573"/>
      <c r="E41" s="1573">
        <v>1492</v>
      </c>
      <c r="F41" s="1573">
        <v>372</v>
      </c>
      <c r="G41" s="1573"/>
      <c r="H41" s="1573"/>
      <c r="I41" s="1574"/>
      <c r="J41" s="1574"/>
      <c r="K41" s="1672">
        <f t="shared" si="2"/>
        <v>3748</v>
      </c>
      <c r="L41" s="1573"/>
    </row>
    <row r="42" spans="1:14" ht="12.75" customHeight="1" thickBot="1" x14ac:dyDescent="0.25">
      <c r="A42" s="1380" t="s">
        <v>556</v>
      </c>
      <c r="B42" s="1381" t="s">
        <v>711</v>
      </c>
      <c r="C42" s="1674">
        <f>SUM(C36:C41)</f>
        <v>387777</v>
      </c>
      <c r="D42" s="1674">
        <f t="shared" ref="D42:L42" si="3">SUM(D36:D41)</f>
        <v>104324</v>
      </c>
      <c r="E42" s="1674">
        <f t="shared" si="3"/>
        <v>2680</v>
      </c>
      <c r="F42" s="1674">
        <f t="shared" si="3"/>
        <v>6661</v>
      </c>
      <c r="G42" s="1674">
        <f t="shared" si="3"/>
        <v>0</v>
      </c>
      <c r="H42" s="1674">
        <f t="shared" si="3"/>
        <v>0</v>
      </c>
      <c r="I42" s="1674">
        <f t="shared" si="3"/>
        <v>0</v>
      </c>
      <c r="J42" s="1674">
        <f t="shared" si="3"/>
        <v>0</v>
      </c>
      <c r="K42" s="1674">
        <f t="shared" si="3"/>
        <v>501442</v>
      </c>
      <c r="L42" s="1674">
        <f t="shared" si="3"/>
        <v>466320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241582</v>
      </c>
      <c r="D44" s="1586">
        <v>77718</v>
      </c>
      <c r="E44" s="1586">
        <v>24667</v>
      </c>
      <c r="F44" s="1586">
        <v>2937</v>
      </c>
      <c r="G44" s="1586"/>
      <c r="H44" s="1586"/>
      <c r="I44" s="1574"/>
      <c r="J44" s="1574"/>
      <c r="K44" s="1678">
        <f>SUM(C44:J44)</f>
        <v>346904</v>
      </c>
      <c r="L44" s="1586">
        <v>400230</v>
      </c>
    </row>
    <row r="45" spans="1:14" x14ac:dyDescent="0.2">
      <c r="A45" s="1274" t="s">
        <v>810</v>
      </c>
      <c r="B45" s="503">
        <v>2220</v>
      </c>
      <c r="C45" s="1573">
        <v>196006</v>
      </c>
      <c r="D45" s="1573">
        <v>32395</v>
      </c>
      <c r="E45" s="1573">
        <v>3480</v>
      </c>
      <c r="F45" s="1573">
        <v>43019</v>
      </c>
      <c r="G45" s="1573"/>
      <c r="H45" s="1573"/>
      <c r="I45" s="1574"/>
      <c r="J45" s="1574"/>
      <c r="K45" s="1678">
        <f>SUM(C45:J45)</f>
        <v>274900</v>
      </c>
      <c r="L45" s="1573">
        <v>182900</v>
      </c>
    </row>
    <row r="46" spans="1:14" x14ac:dyDescent="0.2">
      <c r="A46" s="1274" t="s">
        <v>811</v>
      </c>
      <c r="B46" s="503">
        <v>2230</v>
      </c>
      <c r="C46" s="1573"/>
      <c r="D46" s="1573"/>
      <c r="E46" s="1573">
        <v>20775</v>
      </c>
      <c r="F46" s="1573"/>
      <c r="G46" s="1573"/>
      <c r="H46" s="1573"/>
      <c r="I46" s="1574"/>
      <c r="J46" s="1574"/>
      <c r="K46" s="1678">
        <f>SUM(C46:J46)</f>
        <v>20775</v>
      </c>
      <c r="L46" s="1573">
        <v>9000</v>
      </c>
    </row>
    <row r="47" spans="1:14" ht="12.75" customHeight="1" thickBot="1" x14ac:dyDescent="0.25">
      <c r="A47" s="1380" t="s">
        <v>557</v>
      </c>
      <c r="B47" s="1381" t="s">
        <v>32</v>
      </c>
      <c r="C47" s="1674">
        <f>SUM(C44:C46)</f>
        <v>437588</v>
      </c>
      <c r="D47" s="1674">
        <f t="shared" ref="D47:K47" si="4">SUM(D44:D46)</f>
        <v>110113</v>
      </c>
      <c r="E47" s="1674">
        <f t="shared" si="4"/>
        <v>48922</v>
      </c>
      <c r="F47" s="1674">
        <f t="shared" si="4"/>
        <v>45956</v>
      </c>
      <c r="G47" s="1674">
        <f t="shared" si="4"/>
        <v>0</v>
      </c>
      <c r="H47" s="1674">
        <f t="shared" si="4"/>
        <v>0</v>
      </c>
      <c r="I47" s="1674">
        <f t="shared" si="4"/>
        <v>0</v>
      </c>
      <c r="J47" s="1674">
        <f t="shared" si="4"/>
        <v>0</v>
      </c>
      <c r="K47" s="1674">
        <f t="shared" si="4"/>
        <v>642579</v>
      </c>
      <c r="L47" s="1674">
        <f>SUM(L44:L46)</f>
        <v>592130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6607</v>
      </c>
      <c r="D49" s="1586"/>
      <c r="E49" s="1586">
        <v>244766</v>
      </c>
      <c r="F49" s="1586">
        <v>4165</v>
      </c>
      <c r="G49" s="1586"/>
      <c r="H49" s="1586">
        <v>21582</v>
      </c>
      <c r="I49" s="1574"/>
      <c r="J49" s="1574"/>
      <c r="K49" s="1678">
        <f>SUM(C49:J49)</f>
        <v>277120</v>
      </c>
      <c r="L49" s="1586">
        <v>227100</v>
      </c>
    </row>
    <row r="50" spans="1:14" x14ac:dyDescent="0.2">
      <c r="A50" s="1274" t="s">
        <v>813</v>
      </c>
      <c r="B50" s="503">
        <v>2320</v>
      </c>
      <c r="C50" s="1573">
        <v>184340</v>
      </c>
      <c r="D50" s="1573">
        <v>58232</v>
      </c>
      <c r="E50" s="1573">
        <v>632</v>
      </c>
      <c r="F50" s="1573">
        <v>4</v>
      </c>
      <c r="G50" s="1573"/>
      <c r="H50" s="1573"/>
      <c r="I50" s="1574"/>
      <c r="J50" s="1574"/>
      <c r="K50" s="1678">
        <f>SUM(C50:J50)</f>
        <v>243208</v>
      </c>
      <c r="L50" s="1573">
        <v>234060</v>
      </c>
    </row>
    <row r="51" spans="1:14" x14ac:dyDescent="0.2">
      <c r="A51" s="1274" t="s">
        <v>42</v>
      </c>
      <c r="B51" s="503">
        <v>2330</v>
      </c>
      <c r="C51" s="1573">
        <v>58597</v>
      </c>
      <c r="D51" s="1573">
        <v>1905</v>
      </c>
      <c r="E51" s="1573">
        <v>3601</v>
      </c>
      <c r="F51" s="1573"/>
      <c r="G51" s="1573">
        <v>970</v>
      </c>
      <c r="H51" s="1573">
        <v>1731</v>
      </c>
      <c r="I51" s="1574"/>
      <c r="J51" s="1574"/>
      <c r="K51" s="1678">
        <f>SUM(C51:J51)</f>
        <v>66804</v>
      </c>
      <c r="L51" s="1573">
        <v>70950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249544</v>
      </c>
      <c r="D53" s="1674">
        <f t="shared" ref="D53:L53" si="5">SUM(D49:D52)</f>
        <v>60137</v>
      </c>
      <c r="E53" s="1674">
        <f t="shared" si="5"/>
        <v>248999</v>
      </c>
      <c r="F53" s="1674">
        <f t="shared" si="5"/>
        <v>4169</v>
      </c>
      <c r="G53" s="1674">
        <f t="shared" si="5"/>
        <v>970</v>
      </c>
      <c r="H53" s="1674">
        <f t="shared" si="5"/>
        <v>23313</v>
      </c>
      <c r="I53" s="1674">
        <f t="shared" si="5"/>
        <v>0</v>
      </c>
      <c r="J53" s="1674">
        <f t="shared" si="5"/>
        <v>0</v>
      </c>
      <c r="K53" s="1674">
        <f t="shared" si="5"/>
        <v>587132</v>
      </c>
      <c r="L53" s="1674">
        <f t="shared" si="5"/>
        <v>532110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481588</v>
      </c>
      <c r="D55" s="1586">
        <v>128430</v>
      </c>
      <c r="E55" s="1586"/>
      <c r="F55" s="1586">
        <v>167</v>
      </c>
      <c r="G55" s="1586"/>
      <c r="H55" s="1586"/>
      <c r="I55" s="1574"/>
      <c r="J55" s="1574"/>
      <c r="K55" s="1678">
        <f>SUM(C55:J55)</f>
        <v>610185</v>
      </c>
      <c r="L55" s="1586">
        <v>613250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481588</v>
      </c>
      <c r="D57" s="1679">
        <f t="shared" ref="D57:K57" si="6">SUM(D55:D56)</f>
        <v>128430</v>
      </c>
      <c r="E57" s="1679">
        <f t="shared" si="6"/>
        <v>0</v>
      </c>
      <c r="F57" s="1679">
        <f t="shared" si="6"/>
        <v>167</v>
      </c>
      <c r="G57" s="1679">
        <f t="shared" si="6"/>
        <v>0</v>
      </c>
      <c r="H57" s="1679">
        <f t="shared" si="6"/>
        <v>0</v>
      </c>
      <c r="I57" s="1679">
        <f t="shared" si="6"/>
        <v>0</v>
      </c>
      <c r="J57" s="1679">
        <f t="shared" si="6"/>
        <v>0</v>
      </c>
      <c r="K57" s="1679">
        <f t="shared" si="6"/>
        <v>610185</v>
      </c>
      <c r="L57" s="1674">
        <f>SUM(L55:L56)</f>
        <v>613250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92808</v>
      </c>
      <c r="D60" s="1573">
        <v>10005</v>
      </c>
      <c r="E60" s="1573">
        <v>11706</v>
      </c>
      <c r="F60" s="1573">
        <v>449</v>
      </c>
      <c r="G60" s="1573"/>
      <c r="H60" s="1573"/>
      <c r="I60" s="1574"/>
      <c r="J60" s="1574"/>
      <c r="K60" s="1678">
        <f t="shared" si="7"/>
        <v>114968</v>
      </c>
      <c r="L60" s="1573">
        <v>131510</v>
      </c>
      <c r="M60" s="501"/>
      <c r="N60" s="501"/>
    </row>
    <row r="61" spans="1:14" s="321" customFormat="1" x14ac:dyDescent="0.2">
      <c r="A61" s="1274" t="s">
        <v>195</v>
      </c>
      <c r="B61" s="503">
        <v>2540</v>
      </c>
      <c r="C61" s="1573">
        <v>286856</v>
      </c>
      <c r="D61" s="1573">
        <v>45533</v>
      </c>
      <c r="E61" s="1573"/>
      <c r="F61" s="1573">
        <v>36835</v>
      </c>
      <c r="G61" s="1573">
        <v>1575</v>
      </c>
      <c r="H61" s="1573"/>
      <c r="I61" s="1574"/>
      <c r="J61" s="1574"/>
      <c r="K61" s="1678">
        <f t="shared" si="7"/>
        <v>370799</v>
      </c>
      <c r="L61" s="1573">
        <v>413300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278219</v>
      </c>
      <c r="D63" s="1573">
        <v>29035</v>
      </c>
      <c r="E63" s="1573">
        <v>251925</v>
      </c>
      <c r="F63" s="1573">
        <v>391600</v>
      </c>
      <c r="G63" s="1573">
        <v>13193</v>
      </c>
      <c r="H63" s="1573"/>
      <c r="I63" s="1574"/>
      <c r="J63" s="1574"/>
      <c r="K63" s="1678">
        <f t="shared" si="7"/>
        <v>963972</v>
      </c>
      <c r="L63" s="1573">
        <v>1063970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657883</v>
      </c>
      <c r="D65" s="1674">
        <f t="shared" ref="D65:L65" si="8">SUM(D59:D64)</f>
        <v>84573</v>
      </c>
      <c r="E65" s="1674">
        <f t="shared" si="8"/>
        <v>263631</v>
      </c>
      <c r="F65" s="1674">
        <f t="shared" si="8"/>
        <v>428884</v>
      </c>
      <c r="G65" s="1674">
        <f t="shared" si="8"/>
        <v>14768</v>
      </c>
      <c r="H65" s="1674">
        <f t="shared" si="8"/>
        <v>0</v>
      </c>
      <c r="I65" s="1674">
        <f t="shared" si="8"/>
        <v>0</v>
      </c>
      <c r="J65" s="1674">
        <f t="shared" si="8"/>
        <v>0</v>
      </c>
      <c r="K65" s="1674">
        <f t="shared" si="8"/>
        <v>1449739</v>
      </c>
      <c r="L65" s="1674">
        <f t="shared" si="8"/>
        <v>1608780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v>5000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5000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250</v>
      </c>
      <c r="M73" s="501"/>
      <c r="N73" s="501"/>
    </row>
    <row r="74" spans="1:14" ht="12.75" customHeight="1" thickTop="1" thickBot="1" x14ac:dyDescent="0.25">
      <c r="A74" s="1380" t="s">
        <v>806</v>
      </c>
      <c r="B74" s="1384">
        <v>2000</v>
      </c>
      <c r="C74" s="1681">
        <f>SUM(C42,C47,C53,C57,C65,C72,C73)</f>
        <v>2214380</v>
      </c>
      <c r="D74" s="1681">
        <f t="shared" ref="D74:K74" si="10">SUM(D42,D47,D53,D57,D65,D72,D73)</f>
        <v>487577</v>
      </c>
      <c r="E74" s="1681">
        <f t="shared" si="10"/>
        <v>564232</v>
      </c>
      <c r="F74" s="1681">
        <f t="shared" si="10"/>
        <v>485837</v>
      </c>
      <c r="G74" s="1681">
        <f t="shared" si="10"/>
        <v>15738</v>
      </c>
      <c r="H74" s="1681">
        <f t="shared" si="10"/>
        <v>23313</v>
      </c>
      <c r="I74" s="1681">
        <f t="shared" si="10"/>
        <v>0</v>
      </c>
      <c r="J74" s="1681">
        <f t="shared" si="10"/>
        <v>0</v>
      </c>
      <c r="K74" s="1681">
        <f t="shared" si="10"/>
        <v>3791077</v>
      </c>
      <c r="L74" s="1681">
        <f>SUM(L42,L47,L53,L57,L65,L72,L73)</f>
        <v>3817840</v>
      </c>
    </row>
    <row r="75" spans="1:14" s="254" customFormat="1" ht="15.75" customHeight="1" thickTop="1" thickBot="1" x14ac:dyDescent="0.25">
      <c r="A75" s="1348" t="s">
        <v>47</v>
      </c>
      <c r="B75" s="1349" t="s">
        <v>571</v>
      </c>
      <c r="C75" s="1649">
        <v>15755</v>
      </c>
      <c r="D75" s="1649">
        <v>229</v>
      </c>
      <c r="E75" s="1649">
        <v>14137</v>
      </c>
      <c r="F75" s="1649">
        <v>4716</v>
      </c>
      <c r="G75" s="1649"/>
      <c r="H75" s="1649"/>
      <c r="I75" s="1627"/>
      <c r="J75" s="1627"/>
      <c r="K75" s="1674">
        <f>SUM(C75:J75)</f>
        <v>34837</v>
      </c>
      <c r="L75" s="1651">
        <v>76570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304042</v>
      </c>
      <c r="F79" s="1673"/>
      <c r="G79" s="1673"/>
      <c r="H79" s="1573"/>
      <c r="I79" s="1582"/>
      <c r="J79" s="1582"/>
      <c r="K79" s="1672">
        <f t="shared" si="11"/>
        <v>304042</v>
      </c>
      <c r="L79" s="1573">
        <v>250000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41715</v>
      </c>
      <c r="F83" s="1673"/>
      <c r="G83" s="1673"/>
      <c r="H83" s="1573"/>
      <c r="I83" s="1582"/>
      <c r="J83" s="1582"/>
      <c r="K83" s="1672">
        <f t="shared" si="11"/>
        <v>41715</v>
      </c>
      <c r="L83" s="1573">
        <v>41000</v>
      </c>
    </row>
    <row r="84" spans="1:12" ht="13.5" thickBot="1" x14ac:dyDescent="0.25">
      <c r="A84" s="1380" t="s">
        <v>1468</v>
      </c>
      <c r="B84" s="1385">
        <v>4100</v>
      </c>
      <c r="C84" s="1673"/>
      <c r="D84" s="1673"/>
      <c r="E84" s="1674">
        <f>SUM(E78:E83)</f>
        <v>345757</v>
      </c>
      <c r="F84" s="1673"/>
      <c r="G84" s="1673"/>
      <c r="H84" s="1674">
        <f>SUM(H78:H83)</f>
        <v>0</v>
      </c>
      <c r="I84" s="1582"/>
      <c r="J84" s="1582"/>
      <c r="K84" s="1674">
        <f>SUM(K78:K83)</f>
        <v>345757</v>
      </c>
      <c r="L84" s="1674">
        <f>SUM(L78:L83)</f>
        <v>291000</v>
      </c>
    </row>
    <row r="85" spans="1:12" ht="12.75" customHeight="1" thickTop="1" thickBot="1" x14ac:dyDescent="0.25">
      <c r="A85" s="1281" t="s">
        <v>253</v>
      </c>
      <c r="B85" s="517">
        <v>4210</v>
      </c>
      <c r="C85" s="1673"/>
      <c r="D85" s="1673"/>
      <c r="E85" s="1683"/>
      <c r="F85" s="1673"/>
      <c r="G85" s="1673"/>
      <c r="H85" s="1630">
        <v>383</v>
      </c>
      <c r="I85" s="1582"/>
      <c r="J85" s="1582"/>
      <c r="K85" s="1681">
        <f>H85</f>
        <v>383</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383</v>
      </c>
      <c r="I92" s="1582"/>
      <c r="J92" s="1582"/>
      <c r="K92" s="1681">
        <f t="shared" si="12"/>
        <v>383</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345757</v>
      </c>
      <c r="F102" s="1673"/>
      <c r="G102" s="1673"/>
      <c r="H102" s="1681">
        <f>SUM(H84,H92,H100,H101)</f>
        <v>383</v>
      </c>
      <c r="I102" s="1582"/>
      <c r="J102" s="1582"/>
      <c r="K102" s="1681">
        <f>SUM(K84,K92,K100,K101)</f>
        <v>346140</v>
      </c>
      <c r="L102" s="1681">
        <f>SUM(L84,L92,L100,L101)</f>
        <v>291000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7590245</v>
      </c>
      <c r="D114" s="1674">
        <f t="shared" ref="D114:K114" si="13">SUM(D33,D74,D75,D102,D112,D113)</f>
        <v>1878755</v>
      </c>
      <c r="E114" s="1674">
        <f t="shared" si="13"/>
        <v>1102336</v>
      </c>
      <c r="F114" s="1674">
        <f t="shared" si="13"/>
        <v>694961</v>
      </c>
      <c r="G114" s="1674">
        <f t="shared" si="13"/>
        <v>42310</v>
      </c>
      <c r="H114" s="1674">
        <f>SUM(H33,H74,H75,H102,H112,H113)</f>
        <v>281549</v>
      </c>
      <c r="I114" s="1674">
        <f t="shared" si="13"/>
        <v>0</v>
      </c>
      <c r="J114" s="1674">
        <f t="shared" si="13"/>
        <v>0</v>
      </c>
      <c r="K114" s="1674">
        <f t="shared" si="13"/>
        <v>11590156</v>
      </c>
      <c r="L114" s="1674">
        <f>SUM(L33,L74,L75,L102,L112,L113)</f>
        <v>11760275</v>
      </c>
    </row>
    <row r="115" spans="1:14" ht="13.5" thickTop="1" x14ac:dyDescent="0.2">
      <c r="A115" s="2290" t="s">
        <v>989</v>
      </c>
      <c r="B115" s="2291"/>
      <c r="C115" s="1675"/>
      <c r="D115" s="1675"/>
      <c r="E115" s="1675"/>
      <c r="F115" s="1675"/>
      <c r="G115" s="1675"/>
      <c r="H115" s="1675"/>
      <c r="I115" s="1675"/>
      <c r="J115" s="1675"/>
      <c r="K115" s="1689">
        <f>'Revenues 9-14'!C268-'Expenditures 15-22'!K114</f>
        <v>278407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205736</v>
      </c>
      <c r="F124" s="1573">
        <v>302519</v>
      </c>
      <c r="G124" s="1573">
        <v>278727</v>
      </c>
      <c r="H124" s="1573"/>
      <c r="I124" s="1574"/>
      <c r="J124" s="1574"/>
      <c r="K124" s="1674">
        <f>SUM(C124:J124)</f>
        <v>786982</v>
      </c>
      <c r="L124" s="1573">
        <v>826000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205736</v>
      </c>
      <c r="F127" s="1674">
        <f t="shared" si="14"/>
        <v>302519</v>
      </c>
      <c r="G127" s="1674">
        <f t="shared" si="14"/>
        <v>278727</v>
      </c>
      <c r="H127" s="1674">
        <f t="shared" si="14"/>
        <v>0</v>
      </c>
      <c r="I127" s="1674">
        <f t="shared" si="14"/>
        <v>0</v>
      </c>
      <c r="J127" s="1674">
        <f t="shared" si="14"/>
        <v>0</v>
      </c>
      <c r="K127" s="1674">
        <f t="shared" si="14"/>
        <v>786982</v>
      </c>
      <c r="L127" s="1674">
        <f t="shared" si="14"/>
        <v>826000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205736</v>
      </c>
      <c r="F129" s="1681">
        <f t="shared" si="15"/>
        <v>302519</v>
      </c>
      <c r="G129" s="1681">
        <f t="shared" si="15"/>
        <v>278727</v>
      </c>
      <c r="H129" s="1681">
        <f t="shared" si="15"/>
        <v>0</v>
      </c>
      <c r="I129" s="1681">
        <f t="shared" si="15"/>
        <v>0</v>
      </c>
      <c r="J129" s="1681">
        <f t="shared" si="15"/>
        <v>0</v>
      </c>
      <c r="K129" s="1681">
        <f t="shared" si="15"/>
        <v>786982</v>
      </c>
      <c r="L129" s="1681">
        <f t="shared" si="15"/>
        <v>826000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2"/>
      <c r="C151" s="1674">
        <f>SUM(C129,C130,C139,C149,C150)</f>
        <v>0</v>
      </c>
      <c r="D151" s="1674">
        <f t="shared" ref="D151:K151" si="16">SUM(D129,D130,D139,D149,D150)</f>
        <v>0</v>
      </c>
      <c r="E151" s="1674">
        <f t="shared" si="16"/>
        <v>205736</v>
      </c>
      <c r="F151" s="1674">
        <f t="shared" si="16"/>
        <v>302519</v>
      </c>
      <c r="G151" s="1674">
        <f t="shared" si="16"/>
        <v>278727</v>
      </c>
      <c r="H151" s="1674">
        <f t="shared" si="16"/>
        <v>0</v>
      </c>
      <c r="I151" s="1674">
        <f t="shared" si="16"/>
        <v>0</v>
      </c>
      <c r="J151" s="1674">
        <f t="shared" si="16"/>
        <v>0</v>
      </c>
      <c r="K151" s="1674">
        <f t="shared" si="16"/>
        <v>786982</v>
      </c>
      <c r="L151" s="1674">
        <f>SUM(L129,L130,L139,L149,L150)</f>
        <v>826000</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268085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412983</v>
      </c>
      <c r="I169" s="1673"/>
      <c r="J169" s="1673"/>
      <c r="K169" s="1672">
        <f>SUM(C169:H169)</f>
        <v>412983</v>
      </c>
      <c r="L169" s="1695">
        <v>412983</v>
      </c>
    </row>
    <row r="170" spans="1:14" ht="33.75" customHeight="1" x14ac:dyDescent="0.2">
      <c r="A170" s="543" t="s">
        <v>1651</v>
      </c>
      <c r="B170" s="545" t="s">
        <v>31</v>
      </c>
      <c r="C170" s="1673"/>
      <c r="D170" s="1673"/>
      <c r="E170" s="1673"/>
      <c r="F170" s="1673"/>
      <c r="G170" s="1673"/>
      <c r="H170" s="1646">
        <v>285000</v>
      </c>
      <c r="I170" s="1673"/>
      <c r="J170" s="1673"/>
      <c r="K170" s="1672">
        <f>SUM(C170:J170)</f>
        <v>285000</v>
      </c>
      <c r="L170" s="1646">
        <v>285000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698483</v>
      </c>
      <c r="I172" s="1684"/>
      <c r="J172" s="1673"/>
      <c r="K172" s="1681">
        <f>SUM(K168,K169,K170,K171)</f>
        <v>698483</v>
      </c>
      <c r="L172" s="1681">
        <f>SUM(L168,L169,L170,L171)</f>
        <v>698483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698483</v>
      </c>
      <c r="I174" s="1684"/>
      <c r="J174" s="1673"/>
      <c r="K174" s="1681">
        <f>SUM(K160,K172,K173)</f>
        <v>698483</v>
      </c>
      <c r="L174" s="1681">
        <f>SUM(L160,L172,L173)</f>
        <v>698483</v>
      </c>
    </row>
    <row r="175" spans="1:14" ht="13.5" thickTop="1" x14ac:dyDescent="0.2">
      <c r="A175" s="2290" t="s">
        <v>989</v>
      </c>
      <c r="B175" s="2291"/>
      <c r="C175" s="1673"/>
      <c r="D175" s="1673"/>
      <c r="E175" s="1673"/>
      <c r="F175" s="1673"/>
      <c r="G175" s="1673"/>
      <c r="H175" s="1675"/>
      <c r="I175" s="1673"/>
      <c r="J175" s="1673"/>
      <c r="K175" s="1689">
        <f>'Revenues 9-14'!E268-'Expenditures 15-22'!K174</f>
        <v>-150510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21655</v>
      </c>
      <c r="D182" s="1573">
        <v>30</v>
      </c>
      <c r="E182" s="1573">
        <v>259542</v>
      </c>
      <c r="F182" s="1573">
        <v>15867</v>
      </c>
      <c r="G182" s="1573"/>
      <c r="H182" s="1573"/>
      <c r="I182" s="1574"/>
      <c r="J182" s="1574"/>
      <c r="K182" s="1672">
        <f>SUM(C182:J182)</f>
        <v>297094</v>
      </c>
      <c r="L182" s="1573">
        <v>369935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21655</v>
      </c>
      <c r="D184" s="1681">
        <f t="shared" ref="D184:J184" si="17">SUM(D180,D182,D183)</f>
        <v>30</v>
      </c>
      <c r="E184" s="1681">
        <f t="shared" si="17"/>
        <v>259542</v>
      </c>
      <c r="F184" s="1681">
        <f t="shared" si="17"/>
        <v>15867</v>
      </c>
      <c r="G184" s="1681">
        <f t="shared" si="17"/>
        <v>0</v>
      </c>
      <c r="H184" s="1681">
        <f t="shared" si="17"/>
        <v>0</v>
      </c>
      <c r="I184" s="1681">
        <f t="shared" si="17"/>
        <v>0</v>
      </c>
      <c r="J184" s="1681">
        <f t="shared" si="17"/>
        <v>0</v>
      </c>
      <c r="K184" s="1681">
        <f>SUM(K180,K182,K183)</f>
        <v>297094</v>
      </c>
      <c r="L184" s="1681">
        <f>SUM(L180, L182:L183)</f>
        <v>369935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v>50000</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50000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50000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21655</v>
      </c>
      <c r="D210" s="1674">
        <f>SUM(D184,D185)</f>
        <v>30</v>
      </c>
      <c r="E210" s="1674">
        <f>SUM(E184,E185,E196)</f>
        <v>259542</v>
      </c>
      <c r="F210" s="1674">
        <f>SUM(F184,F185)</f>
        <v>15867</v>
      </c>
      <c r="G210" s="1674">
        <f>SUM(G184,G185)</f>
        <v>0</v>
      </c>
      <c r="H210" s="1674">
        <f>SUM(H184,H185,H196,H208,H209)</f>
        <v>0</v>
      </c>
      <c r="I210" s="1674">
        <f>SUM(I184,I185)</f>
        <v>0</v>
      </c>
      <c r="J210" s="1674">
        <f>SUM(J184,J185)</f>
        <v>0</v>
      </c>
      <c r="K210" s="1672">
        <f>SUM(K184,K185,K196,K208,K209)</f>
        <v>297094</v>
      </c>
      <c r="L210" s="1674">
        <f>SUM(L184,L185,L196,L208,L209)</f>
        <v>419935</v>
      </c>
    </row>
    <row r="211" spans="1:14" ht="13.5" thickTop="1" x14ac:dyDescent="0.2">
      <c r="A211" s="2290" t="s">
        <v>989</v>
      </c>
      <c r="B211" s="2291"/>
      <c r="C211" s="1675"/>
      <c r="D211" s="1675"/>
      <c r="E211" s="1675"/>
      <c r="F211" s="1675"/>
      <c r="G211" s="1675"/>
      <c r="H211" s="1675"/>
      <c r="I211" s="1673"/>
      <c r="J211" s="1673"/>
      <c r="K211" s="1689">
        <f>'Revenues 9-14'!F268-'Expenditures 15-22'!K210</f>
        <v>56364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58085</v>
      </c>
      <c r="E215" s="1673"/>
      <c r="F215" s="1673"/>
      <c r="G215" s="1673"/>
      <c r="H215" s="1673"/>
      <c r="I215" s="1673"/>
      <c r="J215" s="1673"/>
      <c r="K215" s="1672">
        <f>D215</f>
        <v>58085</v>
      </c>
      <c r="L215" s="1573">
        <v>66150</v>
      </c>
    </row>
    <row r="216" spans="1:14" x14ac:dyDescent="0.2">
      <c r="A216" s="1274" t="s">
        <v>162</v>
      </c>
      <c r="B216" s="503" t="s">
        <v>961</v>
      </c>
      <c r="C216" s="1673"/>
      <c r="D216" s="1574">
        <v>4430</v>
      </c>
      <c r="E216" s="1673"/>
      <c r="F216" s="1673"/>
      <c r="G216" s="1673"/>
      <c r="H216" s="1673"/>
      <c r="I216" s="1673"/>
      <c r="J216" s="1673"/>
      <c r="K216" s="1672">
        <f t="shared" ref="K216:K228" si="19">D216</f>
        <v>4430</v>
      </c>
      <c r="L216" s="1573">
        <v>7450</v>
      </c>
    </row>
    <row r="217" spans="1:14" x14ac:dyDescent="0.2">
      <c r="A217" s="1274" t="s">
        <v>163</v>
      </c>
      <c r="B217" s="503">
        <v>1200</v>
      </c>
      <c r="C217" s="1673"/>
      <c r="D217" s="1573">
        <v>116324</v>
      </c>
      <c r="E217" s="1673"/>
      <c r="F217" s="1673"/>
      <c r="G217" s="1673"/>
      <c r="H217" s="1673"/>
      <c r="I217" s="1673"/>
      <c r="J217" s="1673"/>
      <c r="K217" s="1672">
        <f t="shared" si="19"/>
        <v>116324</v>
      </c>
      <c r="L217" s="1573">
        <v>126805</v>
      </c>
    </row>
    <row r="218" spans="1:14" x14ac:dyDescent="0.2">
      <c r="A218" s="1274" t="s">
        <v>276</v>
      </c>
      <c r="B218" s="503" t="s">
        <v>962</v>
      </c>
      <c r="C218" s="1673"/>
      <c r="D218" s="1574">
        <v>16197</v>
      </c>
      <c r="E218" s="1673"/>
      <c r="F218" s="1673"/>
      <c r="G218" s="1673"/>
      <c r="H218" s="1673"/>
      <c r="I218" s="1673"/>
      <c r="J218" s="1673"/>
      <c r="K218" s="1672">
        <f t="shared" si="19"/>
        <v>16197</v>
      </c>
      <c r="L218" s="1573">
        <v>12165</v>
      </c>
    </row>
    <row r="219" spans="1:14" x14ac:dyDescent="0.2">
      <c r="A219" s="1274" t="s">
        <v>277</v>
      </c>
      <c r="B219" s="503">
        <v>1250</v>
      </c>
      <c r="C219" s="1673"/>
      <c r="D219" s="1573">
        <v>5217</v>
      </c>
      <c r="E219" s="1673"/>
      <c r="F219" s="1673"/>
      <c r="G219" s="1673"/>
      <c r="H219" s="1673"/>
      <c r="I219" s="1673"/>
      <c r="J219" s="1673"/>
      <c r="K219" s="1672">
        <f t="shared" si="19"/>
        <v>5217</v>
      </c>
      <c r="L219" s="1573">
        <v>5765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2118</v>
      </c>
      <c r="E223" s="1673"/>
      <c r="F223" s="1673"/>
      <c r="G223" s="1673"/>
      <c r="H223" s="1673"/>
      <c r="I223" s="1673"/>
      <c r="J223" s="1673"/>
      <c r="K223" s="1672">
        <f t="shared" si="19"/>
        <v>2118</v>
      </c>
      <c r="L223" s="1573">
        <v>3220</v>
      </c>
    </row>
    <row r="224" spans="1:14" x14ac:dyDescent="0.2">
      <c r="A224" s="1274" t="s">
        <v>958</v>
      </c>
      <c r="B224" s="503">
        <v>1600</v>
      </c>
      <c r="C224" s="1673"/>
      <c r="D224" s="1573">
        <v>212</v>
      </c>
      <c r="E224" s="1673"/>
      <c r="F224" s="1673"/>
      <c r="G224" s="1673"/>
      <c r="H224" s="1673"/>
      <c r="I224" s="1673"/>
      <c r="J224" s="1673"/>
      <c r="K224" s="1672">
        <f t="shared" si="19"/>
        <v>212</v>
      </c>
      <c r="L224" s="1573">
        <v>50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202583</v>
      </c>
      <c r="E229" s="1673"/>
      <c r="F229" s="1673"/>
      <c r="G229" s="1673"/>
      <c r="H229" s="1673"/>
      <c r="I229" s="1673"/>
      <c r="J229" s="1673"/>
      <c r="K229" s="1674">
        <f>SUM(K215:K228)</f>
        <v>202583</v>
      </c>
      <c r="L229" s="1674">
        <f>SUM(L215:L228)</f>
        <v>221605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1642</v>
      </c>
      <c r="E233" s="1673"/>
      <c r="F233" s="1673"/>
      <c r="G233" s="1673"/>
      <c r="H233" s="1673"/>
      <c r="I233" s="1673"/>
      <c r="J233" s="1673"/>
      <c r="K233" s="1672">
        <f t="shared" si="20"/>
        <v>1642</v>
      </c>
      <c r="L233" s="1573">
        <v>2000</v>
      </c>
    </row>
    <row r="234" spans="1:12" x14ac:dyDescent="0.2">
      <c r="A234" s="1274" t="s">
        <v>196</v>
      </c>
      <c r="B234" s="503">
        <v>2130</v>
      </c>
      <c r="C234" s="1673"/>
      <c r="D234" s="1573">
        <v>9582</v>
      </c>
      <c r="E234" s="1673"/>
      <c r="F234" s="1673"/>
      <c r="G234" s="1673"/>
      <c r="H234" s="1673"/>
      <c r="I234" s="1673"/>
      <c r="J234" s="1673"/>
      <c r="K234" s="1672">
        <f t="shared" si="20"/>
        <v>9582</v>
      </c>
      <c r="L234" s="1573">
        <v>10200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3023</v>
      </c>
      <c r="E236" s="1673"/>
      <c r="F236" s="1673"/>
      <c r="G236" s="1673"/>
      <c r="H236" s="1673"/>
      <c r="I236" s="1673"/>
      <c r="J236" s="1673"/>
      <c r="K236" s="1672">
        <f t="shared" si="20"/>
        <v>3023</v>
      </c>
      <c r="L236" s="1573">
        <v>3000</v>
      </c>
    </row>
    <row r="237" spans="1:12" x14ac:dyDescent="0.2">
      <c r="A237" s="1274" t="s">
        <v>164</v>
      </c>
      <c r="B237" s="503">
        <v>2190</v>
      </c>
      <c r="C237" s="1673"/>
      <c r="D237" s="1573">
        <v>14</v>
      </c>
      <c r="E237" s="1673"/>
      <c r="F237" s="1673"/>
      <c r="G237" s="1673"/>
      <c r="H237" s="1673"/>
      <c r="I237" s="1673"/>
      <c r="J237" s="1673"/>
      <c r="K237" s="1672">
        <f t="shared" si="20"/>
        <v>14</v>
      </c>
      <c r="L237" s="1573"/>
    </row>
    <row r="238" spans="1:12" ht="12.75" customHeight="1" thickBot="1" x14ac:dyDescent="0.25">
      <c r="A238" s="1380" t="s">
        <v>556</v>
      </c>
      <c r="B238" s="1383" t="s">
        <v>711</v>
      </c>
      <c r="C238" s="1673"/>
      <c r="D238" s="1674">
        <f>SUM(D232:D237)</f>
        <v>14261</v>
      </c>
      <c r="E238" s="1673"/>
      <c r="F238" s="1673"/>
      <c r="G238" s="1673"/>
      <c r="H238" s="1673"/>
      <c r="I238" s="1673"/>
      <c r="J238" s="1673"/>
      <c r="K238" s="1674">
        <f>SUM(K232:K237)</f>
        <v>14261</v>
      </c>
      <c r="L238" s="1674">
        <f>SUM(L232:L237)</f>
        <v>15200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3304</v>
      </c>
      <c r="E240" s="1673"/>
      <c r="F240" s="1673"/>
      <c r="G240" s="1673"/>
      <c r="H240" s="1673"/>
      <c r="I240" s="1673"/>
      <c r="J240" s="1673"/>
      <c r="K240" s="1678">
        <f>D240</f>
        <v>3304</v>
      </c>
      <c r="L240" s="1586">
        <v>3260</v>
      </c>
    </row>
    <row r="241" spans="1:12" x14ac:dyDescent="0.2">
      <c r="A241" s="1274" t="s">
        <v>810</v>
      </c>
      <c r="B241" s="503">
        <v>2220</v>
      </c>
      <c r="C241" s="1673"/>
      <c r="D241" s="1573">
        <v>18712</v>
      </c>
      <c r="E241" s="1673"/>
      <c r="F241" s="1673"/>
      <c r="G241" s="1673"/>
      <c r="H241" s="1673"/>
      <c r="I241" s="1673"/>
      <c r="J241" s="1673"/>
      <c r="K241" s="1678">
        <f>D241</f>
        <v>18712</v>
      </c>
      <c r="L241" s="1573">
        <v>15300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22016</v>
      </c>
      <c r="E243" s="1673"/>
      <c r="F243" s="1673"/>
      <c r="G243" s="1673"/>
      <c r="H243" s="1673"/>
      <c r="I243" s="1673"/>
      <c r="J243" s="1673"/>
      <c r="K243" s="1674">
        <f>SUM(K240:K242)</f>
        <v>22016</v>
      </c>
      <c r="L243" s="1674">
        <f>SUM(L240:L242)</f>
        <v>18560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487</v>
      </c>
      <c r="E245" s="1673"/>
      <c r="F245" s="1673"/>
      <c r="G245" s="1673"/>
      <c r="H245" s="1673"/>
      <c r="I245" s="1673"/>
      <c r="J245" s="1673"/>
      <c r="K245" s="1678">
        <f>D245</f>
        <v>487</v>
      </c>
      <c r="L245" s="1586">
        <v>500</v>
      </c>
    </row>
    <row r="246" spans="1:12" x14ac:dyDescent="0.2">
      <c r="A246" s="1274" t="s">
        <v>813</v>
      </c>
      <c r="B246" s="503">
        <v>2320</v>
      </c>
      <c r="C246" s="1673"/>
      <c r="D246" s="1573">
        <v>9933</v>
      </c>
      <c r="E246" s="1673"/>
      <c r="F246" s="1673"/>
      <c r="G246" s="1673"/>
      <c r="H246" s="1673"/>
      <c r="I246" s="1673"/>
      <c r="J246" s="1673"/>
      <c r="K246" s="1678">
        <f t="shared" ref="K246:K256" si="21">D246</f>
        <v>9933</v>
      </c>
      <c r="L246" s="1573">
        <v>10210</v>
      </c>
    </row>
    <row r="247" spans="1:12" x14ac:dyDescent="0.2">
      <c r="A247" s="1274" t="s">
        <v>814</v>
      </c>
      <c r="B247" s="503">
        <v>2330</v>
      </c>
      <c r="C247" s="1673"/>
      <c r="D247" s="1573">
        <v>11146</v>
      </c>
      <c r="E247" s="1673"/>
      <c r="F247" s="1673"/>
      <c r="G247" s="1673"/>
      <c r="H247" s="1673"/>
      <c r="I247" s="1673"/>
      <c r="J247" s="1673"/>
      <c r="K247" s="1678">
        <f t="shared" si="21"/>
        <v>11146</v>
      </c>
      <c r="L247" s="1573">
        <v>10550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21566</v>
      </c>
      <c r="E257" s="1673"/>
      <c r="F257" s="1673"/>
      <c r="G257" s="1673"/>
      <c r="H257" s="1673"/>
      <c r="I257" s="1673"/>
      <c r="J257" s="1673"/>
      <c r="K257" s="1674">
        <f>SUM(K245:K256)</f>
        <v>21566</v>
      </c>
      <c r="L257" s="1674">
        <f>SUM(L245:L256)</f>
        <v>21260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27236</v>
      </c>
      <c r="E259" s="1673"/>
      <c r="F259" s="1673"/>
      <c r="G259" s="1673"/>
      <c r="H259" s="1673"/>
      <c r="I259" s="1673"/>
      <c r="J259" s="1673"/>
      <c r="K259" s="1678">
        <f>D259</f>
        <v>27236</v>
      </c>
      <c r="L259" s="1586">
        <v>27900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27236</v>
      </c>
      <c r="E261" s="1673"/>
      <c r="F261" s="1673"/>
      <c r="G261" s="1673"/>
      <c r="H261" s="1673"/>
      <c r="I261" s="1673"/>
      <c r="J261" s="1673"/>
      <c r="K261" s="1674">
        <f>SUM(K259:K260)</f>
        <v>27236</v>
      </c>
      <c r="L261" s="1674">
        <f>SUM(L259:L260)</f>
        <v>27900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17461</v>
      </c>
      <c r="E264" s="1673"/>
      <c r="F264" s="1673"/>
      <c r="G264" s="1673"/>
      <c r="H264" s="1673"/>
      <c r="I264" s="1673"/>
      <c r="J264" s="1673"/>
      <c r="K264" s="1678">
        <f t="shared" ref="K264:K269" si="22">D264</f>
        <v>17461</v>
      </c>
      <c r="L264" s="1573">
        <v>18100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51565</v>
      </c>
      <c r="E266" s="1673"/>
      <c r="F266" s="1673"/>
      <c r="G266" s="1673"/>
      <c r="H266" s="1673"/>
      <c r="I266" s="1673"/>
      <c r="J266" s="1673"/>
      <c r="K266" s="1678">
        <f t="shared" si="22"/>
        <v>51565</v>
      </c>
      <c r="L266" s="1573">
        <v>69000</v>
      </c>
    </row>
    <row r="267" spans="1:14" x14ac:dyDescent="0.2">
      <c r="A267" s="1274" t="s">
        <v>947</v>
      </c>
      <c r="B267" s="503">
        <v>2550</v>
      </c>
      <c r="C267" s="1673"/>
      <c r="D267" s="1573">
        <v>3550</v>
      </c>
      <c r="E267" s="1673"/>
      <c r="F267" s="1673"/>
      <c r="G267" s="1673"/>
      <c r="H267" s="1673"/>
      <c r="I267" s="1673"/>
      <c r="J267" s="1673"/>
      <c r="K267" s="1678">
        <f t="shared" si="22"/>
        <v>3550</v>
      </c>
      <c r="L267" s="1573">
        <v>3600</v>
      </c>
    </row>
    <row r="268" spans="1:14" x14ac:dyDescent="0.2">
      <c r="A268" s="1274" t="s">
        <v>100</v>
      </c>
      <c r="B268" s="503">
        <v>2560</v>
      </c>
      <c r="C268" s="1673"/>
      <c r="D268" s="1573">
        <v>44948</v>
      </c>
      <c r="E268" s="1673"/>
      <c r="F268" s="1673"/>
      <c r="G268" s="1673"/>
      <c r="H268" s="1673"/>
      <c r="I268" s="1673"/>
      <c r="J268" s="1673"/>
      <c r="K268" s="1678">
        <f t="shared" si="22"/>
        <v>44948</v>
      </c>
      <c r="L268" s="1573">
        <v>42225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117524</v>
      </c>
      <c r="E270" s="1673"/>
      <c r="F270" s="1673"/>
      <c r="G270" s="1673"/>
      <c r="H270" s="1673"/>
      <c r="I270" s="1673"/>
      <c r="J270" s="1673"/>
      <c r="K270" s="1674">
        <f>SUM(K263:K269)</f>
        <v>117524</v>
      </c>
      <c r="L270" s="1674">
        <f>SUM(L263:L269)</f>
        <v>132925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202603</v>
      </c>
      <c r="E279" s="1673"/>
      <c r="F279" s="1673"/>
      <c r="G279" s="1673"/>
      <c r="H279" s="1673"/>
      <c r="I279" s="1673"/>
      <c r="J279" s="1673"/>
      <c r="K279" s="1681">
        <f>SUM(K238,K243,K257,K261,K270,K277,K278)</f>
        <v>202603</v>
      </c>
      <c r="L279" s="1681">
        <f>SUM(L238,L243,L257,L261,L270,L277,L278)</f>
        <v>215845</v>
      </c>
    </row>
    <row r="280" spans="1:12" ht="15.75" customHeight="1" thickTop="1" thickBot="1" x14ac:dyDescent="0.25">
      <c r="A280" s="1362" t="s">
        <v>870</v>
      </c>
      <c r="B280" s="1351">
        <v>3000</v>
      </c>
      <c r="C280" s="1673"/>
      <c r="D280" s="1651">
        <v>2452</v>
      </c>
      <c r="E280" s="1673"/>
      <c r="F280" s="1673"/>
      <c r="G280" s="1673"/>
      <c r="H280" s="1673"/>
      <c r="I280" s="1673"/>
      <c r="J280" s="1673"/>
      <c r="K280" s="1687">
        <f>D280</f>
        <v>2452</v>
      </c>
      <c r="L280" s="1651">
        <v>50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407638</v>
      </c>
      <c r="E295" s="1673"/>
      <c r="F295" s="1673"/>
      <c r="G295" s="1673"/>
      <c r="H295" s="1674">
        <f>H293</f>
        <v>0</v>
      </c>
      <c r="I295" s="1673"/>
      <c r="J295" s="1673"/>
      <c r="K295" s="1674">
        <f>SUM(K229,K279,K280,K285,K293,K294)</f>
        <v>407638</v>
      </c>
      <c r="L295" s="1674">
        <f>SUM(L229,L279,L280,L285,L293,L294)</f>
        <v>437500</v>
      </c>
    </row>
    <row r="296" spans="1:14" ht="13.5" thickTop="1" x14ac:dyDescent="0.2">
      <c r="A296" s="2290" t="s">
        <v>989</v>
      </c>
      <c r="B296" s="2291"/>
      <c r="C296" s="1673"/>
      <c r="D296" s="1675"/>
      <c r="E296" s="1673"/>
      <c r="F296" s="1673"/>
      <c r="G296" s="1673"/>
      <c r="H296" s="1707"/>
      <c r="I296" s="1673"/>
      <c r="J296" s="1673"/>
      <c r="K296" s="1689">
        <f>'Revenues 9-14'!G268-'Expenditures 15-22'!K295</f>
        <v>13183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4470</v>
      </c>
      <c r="H301" s="1573"/>
      <c r="I301" s="1574"/>
      <c r="J301" s="1574"/>
      <c r="K301" s="1672">
        <f>SUM(C301:J301)</f>
        <v>4470</v>
      </c>
      <c r="L301" s="1574">
        <v>4479</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4470</v>
      </c>
      <c r="H303" s="1681">
        <f t="shared" si="23"/>
        <v>0</v>
      </c>
      <c r="I303" s="1681">
        <f t="shared" si="23"/>
        <v>0</v>
      </c>
      <c r="J303" s="1681">
        <f t="shared" si="23"/>
        <v>0</v>
      </c>
      <c r="K303" s="1681">
        <f t="shared" si="23"/>
        <v>4470</v>
      </c>
      <c r="L303" s="1681">
        <f t="shared" si="23"/>
        <v>4479</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4470</v>
      </c>
      <c r="H312" s="1674">
        <f>SUM(H303,H310)</f>
        <v>0</v>
      </c>
      <c r="I312" s="1674">
        <f>SUM(I303)</f>
        <v>0</v>
      </c>
      <c r="J312" s="1674">
        <f>SUM(J303)</f>
        <v>0</v>
      </c>
      <c r="K312" s="1674">
        <f>SUM(K303,K310,K311)</f>
        <v>4470</v>
      </c>
      <c r="L312" s="1674">
        <f>SUM(L303,L310,L311)</f>
        <v>4479</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-4469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1725</v>
      </c>
      <c r="F348" s="1573">
        <v>634</v>
      </c>
      <c r="G348" s="1573">
        <v>9604</v>
      </c>
      <c r="H348" s="1573"/>
      <c r="I348" s="1574"/>
      <c r="J348" s="1574"/>
      <c r="K348" s="1672">
        <f>SUM(C348:J348)</f>
        <v>11963</v>
      </c>
      <c r="L348" s="1573">
        <v>78000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1725</v>
      </c>
      <c r="F350" s="1674">
        <f t="shared" si="26"/>
        <v>634</v>
      </c>
      <c r="G350" s="1674">
        <f t="shared" si="26"/>
        <v>9604</v>
      </c>
      <c r="H350" s="1674">
        <f t="shared" si="26"/>
        <v>0</v>
      </c>
      <c r="I350" s="1674">
        <f t="shared" si="26"/>
        <v>0</v>
      </c>
      <c r="J350" s="1674">
        <f t="shared" si="26"/>
        <v>0</v>
      </c>
      <c r="K350" s="1674">
        <f t="shared" si="26"/>
        <v>11963</v>
      </c>
      <c r="L350" s="1674">
        <f t="shared" si="26"/>
        <v>78000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1725</v>
      </c>
      <c r="F352" s="1674">
        <f t="shared" si="27"/>
        <v>634</v>
      </c>
      <c r="G352" s="1674">
        <f t="shared" si="27"/>
        <v>9604</v>
      </c>
      <c r="H352" s="1674">
        <f t="shared" si="27"/>
        <v>0</v>
      </c>
      <c r="I352" s="1674">
        <f t="shared" si="27"/>
        <v>0</v>
      </c>
      <c r="J352" s="1674">
        <f t="shared" si="27"/>
        <v>0</v>
      </c>
      <c r="K352" s="1674">
        <f t="shared" si="27"/>
        <v>11963</v>
      </c>
      <c r="L352" s="1674">
        <f t="shared" si="27"/>
        <v>78000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1725</v>
      </c>
      <c r="F367" s="1674">
        <f t="shared" si="28"/>
        <v>634</v>
      </c>
      <c r="G367" s="1674">
        <f t="shared" si="28"/>
        <v>9604</v>
      </c>
      <c r="H367" s="1674">
        <f t="shared" si="28"/>
        <v>0</v>
      </c>
      <c r="I367" s="1674">
        <f t="shared" si="28"/>
        <v>0</v>
      </c>
      <c r="J367" s="1674">
        <f t="shared" si="28"/>
        <v>0</v>
      </c>
      <c r="K367" s="1674">
        <f t="shared" si="28"/>
        <v>11963</v>
      </c>
      <c r="L367" s="1674">
        <f t="shared" si="28"/>
        <v>78000</v>
      </c>
    </row>
    <row r="368" spans="1:14" ht="13.5" thickTop="1" x14ac:dyDescent="0.2">
      <c r="A368" s="2290" t="s">
        <v>989</v>
      </c>
      <c r="B368" s="2291"/>
      <c r="C368" s="1694"/>
      <c r="D368" s="1694"/>
      <c r="E368" s="1677"/>
      <c r="F368" s="1677"/>
      <c r="G368" s="1677"/>
      <c r="H368" s="1677"/>
      <c r="I368" s="1677"/>
      <c r="J368" s="1676"/>
      <c r="K368" s="1672">
        <f>'Revenues 9-14'!K268-'Expenditures 15-22'!K367</f>
        <v>33246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75" bottom="0.39" header="0.5" footer="0.15"/>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purl.org/dc/elements/1.1/"/>
    <ds:schemaRef ds:uri="d21dc803-237d-4c68-8692-8d731fd29118"/>
    <ds:schemaRef ds:uri="http://purl.org/dc/dcmitype/"/>
    <ds:schemaRef ds:uri="http://schemas.microsoft.com/office/2006/metadata/properties"/>
    <ds:schemaRef ds:uri="6ce3111e-7420-4802-b50a-75d4e9a0b980"/>
    <ds:schemaRef ds:uri="http://schemas.microsoft.com/office/infopath/2007/PartnerControls"/>
    <ds:schemaRef ds:uri="4d435f69-8686-490b-bd6d-b153bf22ab50"/>
    <ds:schemaRef ds:uri="http://schemas.microsoft.com/sharepoint/v3"/>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A</vt:lpstr>
      <vt:lpstr> SEFA B</vt:lpstr>
      <vt:lpstr> SEFA C</vt:lpstr>
      <vt:lpstr>SEFA NOTES</vt:lpstr>
      <vt:lpstr>SF&amp;QC Sec-1</vt:lpstr>
      <vt:lpstr>SF&amp;QC Sec-2</vt:lpstr>
      <vt:lpstr>SF&amp;QC Sec-3</vt:lpstr>
      <vt:lpstr>SSPAF</vt:lpstr>
      <vt:lpstr>' SEFA'!Print_Area</vt:lpstr>
      <vt:lpstr>' SEFA A'!Print_Area</vt:lpstr>
      <vt:lpstr>' SEFA B'!Print_Area</vt:lpstr>
      <vt:lpstr>' SEFA C'!Print_Area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2020-10-05T20:02:18Z</cp:lastPrinted>
  <dcterms:created xsi:type="dcterms:W3CDTF">2003-10-29T19:06:34Z</dcterms:created>
  <dcterms:modified xsi:type="dcterms:W3CDTF">2020-10-27T16:22:57Z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