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0FA4601-52DD-4A5C-83DC-ACEFA133C711}"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8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A" sheetId="185" r:id="rId29"/>
    <sheet name=" SEFA B" sheetId="186" r:id="rId30"/>
    <sheet name=" SEFA C"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 localSheetId="1">#REF!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 localSheetId="1">#REF!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 localSheetId="1">#REF!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 localSheetId="1">#REF!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11" l="1"/>
  <c r="D5" i="29" l="1"/>
  <c r="C39" i="3"/>
  <c r="H65" i="5" l="1"/>
  <c r="F65" i="5"/>
  <c r="D65" i="5"/>
  <c r="C65" i="5"/>
  <c r="D215" i="29"/>
  <c r="C8" i="29"/>
  <c r="E4" i="7" l="1"/>
  <c r="I4" i="3"/>
  <c r="G39" i="3"/>
  <c r="D39" i="3"/>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36" i="183" l="1"/>
  <c r="F35" i="183"/>
  <c r="F34" i="183"/>
  <c r="F33" i="183"/>
  <c r="F32" i="183"/>
  <c r="F31" i="183"/>
  <c r="F30" i="183"/>
  <c r="F29" i="183"/>
  <c r="F28" i="183"/>
  <c r="F27" i="183"/>
  <c r="F26" i="183"/>
  <c r="F25" i="183"/>
  <c r="F24" i="183"/>
  <c r="F23" i="183"/>
  <c r="F22" i="183"/>
  <c r="F21" i="183"/>
  <c r="F20" i="183"/>
  <c r="F19"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C342" i="29" l="1"/>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G30" i="108"/>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F41" i="108"/>
  <c r="G43" i="108" s="1"/>
  <c r="N57" i="184"/>
  <c r="N68" i="184" s="1"/>
  <c r="E68" i="184"/>
  <c r="L16" i="11"/>
  <c r="B2061" i="106" s="1"/>
  <c r="D2061" i="106" s="1"/>
  <c r="E367" i="29"/>
  <c r="B3635" i="106"/>
  <c r="D44" i="36"/>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<sst xmlns="http://schemas.openxmlformats.org/spreadsheetml/2006/main" count="5311" uniqueCount="2099">
  <si>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</si>
  <si>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</si>
  <si>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</si>
  <si>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</si>
  <si>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</si>
  <si>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</si>
  <si>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</si>
  <si>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</si>
  <si>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</si>
  <si>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</si>
  <si>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</si>
  <si>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</si>
  <si>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</si>
  <si>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</si>
  <si>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</si>
  <si>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</si>
  <si>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</si>
  <si>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</si>
  <si>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</si>
  <si>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</si>
  <si>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</si>
  <si>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</si>
  <si>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</si>
  <si>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</si>
  <si>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</si>
  <si>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</si>
  <si>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</si>
  <si>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</si>
  <si>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</si>
  <si>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</si>
  <si>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</si>
  <si>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</si>
  <si>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</si>
  <si>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</si>
  <si>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</si>
  <si>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</si>
  <si>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</si>
  <si>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</si>
  <si>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</si>
  <si>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</si>
  <si>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</si>
  <si>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</si>
  <si>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</si>
  <si>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</si>
  <si>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</si>
  <si>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</si>
  <si>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</si>
  <si>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</si>
  <si>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</si>
  <si>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</si>
  <si>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</si>
  <si>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</si>
  <si>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</si>
  <si>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</si>
  <si>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</si>
  <si>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</si>
  <si>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</si>
  <si>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</si>
  <si>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</si>
  <si>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</si>
  <si>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</si>
  <si>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</si>
  <si>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</si>
  <si>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</si>
  <si>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</si>
  <si>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</si>
  <si>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</si>
  <si>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</si>
  <si>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</si>
  <si>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</si>
  <si>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</si>
  <si>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</si>
  <si>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</si>
  <si>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</si>
  <si>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</si>
  <si>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</si>
  <si>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</si>
  <si>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</si>
  <si>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</si>
  <si>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</si>
  <si>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</si>
  <si>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</si>
  <si>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</si>
  <si>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</si>
  <si>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</si>
  <si>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</si>
  <si>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</si>
  <si>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</si>
  <si>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</si>
  <si>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</si>
  <si>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</si>
  <si>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</si>
  <si>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</si>
  <si>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</si>
  <si>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</si>
  <si>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</si>
  <si>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</si>
  <si>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</si>
  <si>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</si>
  <si>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</si>
  <si>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</si>
  <si>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</si>
  <si>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</si>
  <si>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</si>
  <si>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</si>
  <si>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</si>
  <si>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</si>
  <si>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</si>
  <si>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</si>
  <si>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</si>
  <si>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</si>
  <si>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</si>
  <si>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</si>
  <si>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</si>
  <si>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</si>
  <si>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</si>
  <si>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</si>
  <si>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</si>
  <si>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</si>
  <si>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</si>
  <si>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</si>
  <si>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</si>
  <si>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</si>
  <si>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</si>
  <si>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</si>
  <si>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</si>
  <si>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</si>
  <si>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</si>
  <si>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</si>
  <si>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</si>
  <si>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</si>
  <si>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</si>
  <si>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</si>
  <si>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</si>
  <si>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</si>
  <si>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</si>
  <si>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</si>
  <si>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</si>
  <si>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</si>
  <si>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</si>
  <si>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</si>
  <si>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</si>
  <si>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</si>
  <si>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</si>
  <si>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</si>
  <si>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</si>
  <si>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</si>
  <si>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</si>
  <si>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</si>
  <si>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</si>
  <si>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</si>
  <si>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</si>
  <si>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</si>
  <si>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</si>
  <si>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</si>
  <si>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</si>
  <si>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</si>
  <si>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</si>
  <si>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</si>
  <si>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</si>
  <si>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</si>
  <si>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</si>
  <si>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</si>
  <si>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</si>
  <si>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</si>
  <si>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</si>
  <si>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</si>
  <si>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</si>
  <si>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</si>
  <si>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</si>
  <si>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</si>
  <si>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</si>
  <si>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</si>
  <si>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</si>
  <si>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</si>
  <si>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</si>
  <si>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</si>
  <si>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</si>
  <si>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</si>
  <si>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</si>
  <si>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</si>
  <si>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</si>
  <si>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</si>
  <si>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</si>
  <si>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</si>
  <si>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</si>
  <si>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</si>
  <si>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</si>
  <si>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</si>
  <si>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</si>
  <si>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</si>
  <si>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</si>
  <si>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</si>
  <si>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</si>
  <si>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</si>
  <si>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</si>
  <si>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</si>
  <si>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</si>
  <si>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</si>
  <si>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</si>
  <si>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</si>
  <si>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</si>
  <si>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</si>
  <si>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</si>
  <si>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</si>
  <si>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</si>
  <si>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</si>
  <si>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</si>
  <si>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</si>
  <si>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</si>
  <si>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</si>
  <si>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</si>
  <si>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</si>
  <si>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</si>
  <si>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</si>
  <si>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</si>
  <si>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</si>
  <si>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</si>
  <si>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</si>
  <si>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</si>
  <si>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</si>
  <si>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</si>
  <si>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</si>
  <si>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</si>
  <si>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</si>
  <si>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</si>
  <si>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</si>
  <si>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</si>
  <si>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</si>
  <si>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</si>
  <si>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</si>
  <si>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</si>
  <si>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</si>
  <si>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</si>
  <si>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</si>
  <si>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</si>
  <si>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</si>
  <si>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</si>
  <si>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</si>
  <si>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</si>
  <si>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</si>
  <si>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</si>
  <si>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</si>
  <si>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</si>
  <si>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</si>
  <si>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</si>
  <si>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</si>
  <si>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</si>
  <si>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</si>
  <si>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</si>
  <si>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</si>
  <si>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</si>
  <si>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</si>
  <si>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</si>
  <si>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</si>
  <si>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</si>
  <si>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</si>
  <si>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</si>
  <si>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</si>
  <si>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</si>
  <si>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</si>
  <si>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</si>
  <si>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</si>
  <si>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</si>
  <si>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</si>
  <si>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</si>
  <si>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</si>
  <si>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</si>
  <si>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</si>
  <si>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</si>
  <si>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</si>
  <si>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</si>
  <si>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</si>
  <si>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</si>
  <si>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</si>
  <si>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</si>
  <si>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</si>
  <si>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</si>
  <si>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</si>
  <si>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</si>
  <si>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</si>
  <si>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</si>
  <si>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</si>
  <si>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</si>
  <si>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</si>
  <si>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</si>
  <si>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</si>
  <si>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</si>
  <si>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</si>
  <si>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</si>
  <si>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</si>
  <si>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</si>
  <si>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</si>
  <si>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</si>
  <si>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</si>
  <si>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</si>
  <si>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</si>
  <si>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</si>
  <si>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</si>
  <si>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</si>
  <si>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</si>
  <si>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</si>
  <si>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</si>
  <si>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</si>
  <si>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</si>
  <si>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</si>
  <si>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</si>
  <si>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</si>
  <si>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</si>
  <si>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</si>
  <si>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</si>
  <si>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</si>
  <si>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</si>
  <si>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</si>
  <si>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</si>
  <si>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</si>
  <si>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</si>
  <si>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</si>
  <si>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</si>
  <si>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</si>
  <si>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</si>
  <si>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</si>
  <si>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</si>
  <si>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</si>
  <si>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</si>
  <si>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</si>
  <si>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</si>
  <si>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</si>
  <si>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</si>
  <si>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</si>
  <si>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</si>
  <si>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</si>
  <si>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</si>
  <si>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</si>
  <si>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</si>
  <si>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</si>
  <si>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</si>
  <si>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</si>
  <si>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</si>
  <si>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</si>
  <si>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</si>
  <si>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</si>
  <si>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</si>
  <si>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</si>
  <si>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</si>
  <si>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</si>
  <si>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</si>
  <si>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</si>
  <si>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</si>
  <si>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</si>
  <si>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</si>
  <si>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</si>
  <si>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</si>
  <si>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</si>
  <si>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</si>
  <si>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</si>
  <si>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</si>
  <si>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</si>
  <si>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</si>
  <si>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</si>
  <si>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</si>
  <si>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</si>
  <si>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</si>
  <si>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</si>
  <si>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</si>
  <si>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</si>
  <si>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</si>
  <si>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</si>
  <si>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</si>
  <si>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</si>
  <si>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</si>
  <si>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</si>
  <si>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</si>
  <si>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</si>
  <si>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</si>
  <si>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</si>
  <si>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</si>
  <si>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</si>
  <si>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</si>
  <si>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</si>
  <si>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</si>
  <si>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</si>
  <si>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</si>
  <si>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</si>
  <si>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</si>
  <si>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</si>
  <si>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</si>
  <si>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</si>
  <si>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</si>
  <si>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</si>
  <si>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</si>
  <si>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</si>
  <si>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</si>
  <si>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</si>
  <si>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</si>
  <si>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</si>
  <si>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</si>
  <si>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</si>
  <si>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</si>
  <si>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</si>
  <si>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</si>
  <si>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</si>
  <si>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</si>
  <si>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</si>
  <si>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</si>
  <si>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</si>
  <si>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</si>
  <si>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</si>
  <si>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</si>
  <si>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</si>
  <si>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</si>
  <si>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</si>
  <si>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</si>
  <si>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</si>
  <si>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</si>
  <si>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</si>
  <si>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</si>
  <si>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</si>
  <si>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</si>
  <si>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</si>
  <si>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</si>
  <si>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</si>
  <si>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</si>
  <si>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</si>
  <si>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</si>
  <si>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</si>
  <si>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</si>
  <si>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</si>
  <si>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</si>
  <si>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</si>
  <si>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</si>
  <si>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</si>
  <si>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</si>
  <si>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</si>
  <si>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</si>
  <si>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</si>
  <si>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</si>
  <si>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</si>
  <si>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</si>
  <si>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</si>
  <si>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</si>
  <si>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</si>
  <si>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</si>
  <si>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</si>
  <si>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</si>
  <si>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</si>
  <si>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</si>
  <si>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</si>
  <si>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</si>
  <si>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</si>
  <si>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</si>
  <si>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</si>
  <si>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</si>
  <si>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</si>
  <si>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</si>
  <si>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</si>
  <si>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</si>
  <si>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</si>
  <si>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</si>
  <si>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</si>
  <si>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</si>
  <si>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</si>
  <si>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</si>
  <si>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</si>
  <si>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</si>
  <si>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</si>
  <si>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</si>
  <si>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</si>
  <si>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</si>
  <si>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</si>
  <si>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</si>
  <si>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</si>
  <si>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</si>
  <si>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</si>
  <si>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</si>
  <si>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</si>
  <si>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</si>
  <si>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</si>
  <si>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</si>
  <si>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</si>
  <si>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</si>
  <si>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</si>
  <si>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</si>
  <si>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</si>
  <si>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</si>
  <si>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</si>
  <si>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</si>
  <si>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</si>
  <si>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</si>
  <si>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</si>
  <si>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</si>
  <si>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</si>
  <si>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</si>
  <si>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</si>
  <si>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</si>
  <si>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</si>
  <si>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</si>
  <si>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</si>
  <si>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</si>
  <si>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</si>
  <si>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</si>
  <si>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</si>
  <si>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</si>
  <si>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</si>
  <si>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</si>
  <si>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</si>
  <si>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</si>
  <si>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</si>
  <si>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</si>
  <si>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</si>
  <si>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</si>
  <si>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</si>
  <si>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</si>
  <si>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</si>
  <si>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</si>
  <si>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</si>
  <si>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</si>
  <si>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</si>
  <si>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</si>
  <si>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</si>
  <si>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</si>
  <si>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</si>
  <si>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</si>
  <si>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</si>
  <si>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</si>
  <si>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</si>
  <si>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</si>
  <si>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</si>
  <si>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</si>
  <si>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</si>
  <si>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</si>
  <si>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</si>
  <si>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</si>
  <si>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</si>
  <si>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</si>
  <si>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</si>
  <si>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</si>
  <si>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</si>
  <si>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</si>
  <si>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</si>
  <si>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</si>
  <si>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</si>
  <si>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</si>
  <si>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</si>
  <si>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</si>
  <si>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</si>
  <si>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</si>
  <si>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</si>
  <si>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</si>
  <si>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</si>
  <si>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</si>
  <si>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</si>
  <si>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</si>
  <si>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</si>
  <si>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</si>
  <si>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</si>
  <si>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</si>
  <si>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</si>
  <si>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</si>
  <si>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</si>
  <si>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</si>
  <si>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</si>
  <si>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</si>
  <si>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</si>
  <si>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</si>
  <si>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</si>
  <si>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</si>
  <si>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</si>
  <si>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</si>
  <si>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</si>
  <si>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</si>
  <si>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</si>
  <si>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</si>
  <si>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</si>
  <si>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</si>
  <si>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</si>
  <si>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</si>
  <si>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</si>
  <si>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</si>
  <si>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</si>
  <si>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</si>
  <si>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</si>
  <si>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</si>
  <si>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</si>
  <si>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</si>
  <si>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</si>
  <si>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</si>
  <si>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</si>
  <si>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</si>
  <si>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</si>
  <si>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</si>
  <si>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</si>
  <si>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</si>
  <si>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</si>
  <si>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</si>
  <si>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</si>
  <si>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</si>
  <si>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</si>
  <si>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</si>
  <si>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</si>
  <si>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</si>
  <si>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</si>
  <si>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</si>
  <si>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</si>
  <si>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</si>
  <si>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</si>
  <si>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</si>
  <si>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</si>
  <si>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</si>
  <si>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</si>
  <si>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</si>
  <si>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</si>
  <si>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</si>
  <si>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</si>
  <si>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</si>
  <si>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</si>
  <si>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</si>
  <si>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</si>
  <si>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</si>
  <si>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</si>
  <si>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</si>
  <si>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</si>
  <si>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</si>
  <si>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</si>
  <si>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</si>
  <si>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</si>
  <si>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</si>
  <si>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</si>
  <si>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</si>
  <si>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</si>
  <si>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</si>
  <si>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</si>
  <si>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</si>
  <si>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</si>
  <si>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</si>
  <si>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</si>
  <si>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</si>
  <si>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</si>
  <si>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</si>
  <si>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</si>
  <si>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</si>
  <si>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</si>
  <si>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</si>
  <si>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</si>
  <si>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</si>
  <si>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</si>
  <si>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</si>
  <si>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</si>
  <si>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</si>
  <si>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</si>
  <si>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</si>
  <si>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</si>
  <si>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</si>
  <si>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</si>
  <si>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</si>
  <si>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</si>
  <si>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</si>
  <si>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</si>
  <si>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</si>
  <si>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</si>
  <si>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</si>
  <si>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</si>
  <si>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</si>
  <si>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</si>
  <si>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</si>
  <si>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</si>
  <si>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</si>
  <si>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</si>
  <si>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</si>
  <si>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</si>
  <si>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</si>
  <si>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</si>
  <si>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</si>
  <si>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</si>
  <si>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</si>
  <si>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</si>
  <si>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</si>
  <si>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</si>
  <si>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</si>
  <si>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</si>
  <si>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</si>
  <si>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</si>
  <si>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</si>
  <si>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</si>
  <si>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</si>
  <si>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</si>
  <si>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</si>
  <si>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</si>
  <si>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</si>
  <si>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</si>
  <si>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</si>
  <si>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</si>
  <si>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</si>
  <si>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</si>
  <si>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</si>
  <si>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</si>
  <si>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</si>
  <si>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</si>
  <si>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</si>
  <si>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</si>
  <si>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</si>
  <si>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</si>
  <si>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</si>
  <si>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</si>
  <si>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</si>
  <si>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</si>
  <si>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</si>
  <si>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</si>
  <si>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</si>
  <si>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</si>
  <si>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</si>
  <si>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</si>
  <si>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</si>
  <si>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</si>
  <si>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</si>
  <si>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</si>
  <si>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</si>
  <si>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</si>
  <si>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</si>
  <si>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</si>
  <si>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</si>
  <si>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</si>
  <si>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</si>
  <si>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</si>
  <si>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</si>
  <si>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</si>
  <si>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</si>
  <si>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</si>
  <si>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</si>
  <si>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</si>
  <si>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</si>
  <si>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</si>
  <si>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</si>
  <si>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</si>
  <si>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</si>
  <si>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</si>
  <si>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</si>
  <si>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</si>
  <si>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</si>
  <si>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</si>
  <si>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</si>
  <si>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</si>
  <si>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</si>
  <si>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</si>
  <si>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</si>
  <si>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</si>
  <si>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</si>
  <si>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</si>
  <si>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</si>
  <si>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</si>
  <si>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</si>
  <si>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</si>
  <si>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</si>
  <si>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</si>
  <si>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</si>
  <si>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</si>
  <si>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</si>
  <si>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</si>
  <si>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</si>
  <si>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</si>
  <si>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</si>
  <si>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</si>
  <si>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</si>
  <si>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</si>
  <si>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</si>
  <si>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</si>
  <si>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</si>
  <si>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</si>
  <si>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</si>
  <si>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</si>
  <si>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</si>
  <si>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</si>
  <si>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</si>
  <si>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</si>
  <si>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</si>
  <si>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</si>
  <si>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</si>
  <si>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</si>
  <si>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</si>
  <si>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</si>
  <si>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</si>
  <si>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</si>
  <si>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</si>
  <si>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</si>
  <si>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</si>
  <si>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</si>
  <si>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</si>
  <si>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</si>
  <si>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</si>
  <si>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</si>
  <si>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</si>
  <si>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</si>
  <si>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</si>
  <si>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</si>
  <si>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</si>
  <si>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</si>
  <si>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</si>
  <si>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</si>
  <si>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</si>
  <si>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</si>
  <si>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</si>
  <si>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</si>
  <si>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</si>
  <si>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</si>
  <si>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</si>
  <si>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</si>
  <si>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</si>
  <si>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</si>
  <si>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</si>
  <si>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</si>
  <si>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</si>
  <si>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</si>
  <si>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</si>
  <si>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</si>
  <si>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</si>
  <si>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</si>
  <si>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</si>
  <si>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</si>
  <si>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</si>
  <si>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</si>
  <si>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</si>
  <si>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</si>
  <si>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</si>
  <si>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</si>
  <si>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</si>
  <si>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</si>
  <si>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</si>
  <si>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</si>
  <si>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</si>
  <si>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</si>
  <si>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</si>
  <si>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</si>
  <si>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</si>
  <si>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</si>
  <si>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</si>
  <si>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</si>
  <si>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</si>
  <si>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</si>
  <si>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</si>
  <si>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</si>
  <si>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</si>
  <si>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</si>
  <si>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</si>
  <si>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</si>
  <si>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</si>
  <si>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</si>
  <si>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</si>
  <si>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</si>
  <si>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</si>
  <si>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</si>
  <si>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</si>
  <si>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</si>
  <si>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</si>
  <si>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</si>
  <si>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</si>
  <si>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</si>
  <si>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</si>
  <si>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</si>
  <si>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</si>
  <si>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</si>
  <si>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</si>
  <si>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</si>
  <si>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</si>
  <si>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</si>
  <si>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</si>
  <si>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</si>
  <si>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</si>
  <si>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</si>
  <si>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</si>
  <si>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</si>
  <si>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</si>
  <si>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</si>
  <si>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</si>
  <si>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</si>
  <si>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</si>
  <si>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</si>
  <si>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</si>
  <si>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</si>
  <si>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</si>
  <si>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</si>
  <si>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</si>
  <si>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</si>
  <si>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</si>
  <si>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</si>
  <si>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</si>
  <si>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</si>
  <si>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</si>
  <si>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</si>
  <si>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</si>
  <si>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</si>
  <si>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</si>
  <si>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</si>
  <si>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</si>
  <si>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</si>
  <si>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</si>
  <si>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</si>
  <si>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</si>
  <si>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</si>
  <si>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</si>
  <si>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</si>
  <si>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</si>
  <si>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</si>
  <si>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</si>
  <si>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</si>
  <si>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</si>
  <si>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</si>
  <si>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</si>
  <si>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</si>
  <si>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</si>
  <si>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</si>
  <si>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</si>
  <si>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</si>
  <si>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</si>
  <si>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</si>
  <si>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</si>
  <si>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</si>
  <si>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</si>
  <si>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</si>
  <si>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</si>
  <si>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</si>
  <si>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</si>
  <si>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</si>
  <si>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</si>
  <si>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</si>
  <si>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</si>
  <si>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</si>
  <si>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</si>
  <si>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</si>
  <si>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</si>
  <si>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</si>
  <si>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</si>
  <si>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</si>
  <si>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</si>
  <si>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</si>
  <si>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</si>
  <si>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</si>
  <si>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</si>
  <si>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</si>
  <si>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</si>
  <si>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</si>
  <si>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</si>
  <si>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</si>
  <si>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</si>
  <si>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</si>
  <si>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</si>
  <si>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</si>
  <si>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</si>
  <si>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</si>
  <si>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</si>
  <si>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</si>
  <si>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</si>
  <si>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</si>
  <si>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</si>
  <si>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</si>
  <si>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</si>
  <si>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</si>
  <si>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</si>
  <si>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</si>
  <si>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</si>
  <si>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</si>
  <si>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</si>
  <si>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</si>
  <si>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</si>
  <si>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</si>
  <si>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</si>
  <si>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</si>
  <si>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</si>
  <si>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</si>
  <si>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</si>
  <si>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</si>
  <si>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</si>
  <si>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</si>
  <si>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</si>
  <si>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</si>
  <si>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</si>
  <si>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</si>
  <si>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</si>
  <si>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</si>
  <si>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</si>
  <si>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</si>
  <si>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</si>
  <si>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</si>
  <si>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</si>
  <si>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</si>
  <si>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</si>
  <si>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</si>
  <si>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</si>
  <si>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</si>
  <si>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</si>
  <si>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</si>
  <si>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</si>
  <si>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</si>
  <si>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</si>
  <si>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</si>
  <si>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</si>
  <si>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</si>
  <si>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</si>
  <si>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</si>
  <si>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</si>
  <si>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</si>
  <si>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</si>
  <si>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</si>
  <si>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</si>
  <si>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</si>
  <si>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</si>
  <si>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</si>
  <si>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</si>
  <si>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</si>
  <si>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</si>
  <si>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</si>
  <si>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</si>
  <si>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</si>
  <si>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</si>
  <si>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</si>
  <si>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</si>
  <si>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</si>
  <si>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</si>
  <si>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</si>
  <si>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</si>
  <si>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</si>
  <si>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</si>
  <si>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</si>
  <si>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</si>
  <si>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</si>
  <si>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</si>
  <si>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</si>
  <si>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</si>
  <si>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</si>
  <si>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</si>
  <si>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</si>
  <si>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</si>
  <si>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</si>
  <si>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</si>
  <si>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</si>
  <si>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</si>
  <si>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</si>
  <si>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</si>
  <si>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</si>
  <si>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</si>
  <si>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</si>
  <si>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</si>
  <si>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</si>
  <si>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</si>
  <si>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</si>
  <si>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</si>
  <si>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</si>
  <si>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</si>
  <si>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</si>
  <si>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</si>
  <si>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</si>
  <si>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</si>
  <si>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</si>
  <si>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</si>
  <si>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</si>
  <si>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</si>
  <si>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</si>
  <si>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</si>
  <si>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</si>
  <si>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</si>
  <si>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</si>
  <si>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</si>
  <si>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</si>
  <si>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</si>
  <si>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</si>
  <si>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</si>
  <si>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</si>
  <si>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</si>
  <si>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</si>
  <si>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</si>
  <si>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</si>
  <si>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</si>
  <si>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</si>
  <si>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</si>
  <si>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</si>
  <si>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</si>
  <si>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</si>
  <si>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</si>
  <si>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</si>
  <si>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</si>
  <si>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</si>
  <si>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</si>
  <si>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</si>
  <si>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</si>
  <si>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</si>
  <si>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</si>
  <si>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</si>
  <si>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</si>
  <si>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</si>
  <si>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</si>
  <si>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</si>
  <si>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</si>
  <si>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</si>
  <si>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</si>
  <si>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</si>
  <si>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</si>
  <si>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</si>
  <si>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</si>
  <si>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</si>
  <si>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</si>
  <si>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</si>
  <si>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</si>
  <si>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</si>
  <si>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</si>
  <si>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</si>
  <si>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</si>
  <si>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</si>
  <si>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</si>
  <si>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</si>
  <si>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</si>
  <si>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</si>
  <si>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</si>
  <si>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</si>
  <si>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</si>
  <si>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</si>
  <si>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</si>
  <si>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</si>
  <si>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</si>
  <si>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</si>
  <si>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</si>
  <si>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</si>
  <si>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</si>
  <si>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</si>
  <si>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</si>
  <si>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</si>
  <si>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</si>
  <si>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</si>
  <si>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</si>
  <si>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</si>
  <si>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</si>
  <si>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</si>
  <si>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</si>
  <si>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</si>
  <si>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</si>
  <si>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</si>
  <si>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</si>
  <si>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</si>
  <si>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</si>
  <si>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</si>
  <si>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</si>
  <si>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</si>
  <si>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</si>
  <si>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</si>
  <si>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</si>
  <si>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</si>
  <si>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</si>
  <si>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</si>
  <si>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</si>
  <si>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</si>
  <si>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</si>
  <si>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</si>
  <si>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</si>
  <si>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</si>
  <si>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</si>
  <si>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</si>
  <si>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</si>
  <si>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</si>
  <si>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</si>
  <si>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</si>
  <si>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</si>
  <si>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</si>
  <si>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</si>
  <si>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</si>
  <si>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</si>
  <si>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</si>
  <si>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</si>
  <si>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</si>
  <si>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</si>
  <si>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</si>
  <si>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</si>
  <si>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</si>
  <si>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</si>
  <si>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</si>
  <si>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</si>
  <si>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</si>
  <si>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</si>
  <si>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</si>
  <si>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</si>
  <si>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</si>
  <si>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</si>
  <si>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</si>
  <si>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</si>
  <si>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</si>
  <si>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</si>
  <si>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</si>
  <si>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</si>
  <si>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</si>
  <si>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</si>
  <si>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</si>
  <si>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</si>
  <si>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</si>
  <si>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</si>
  <si>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</si>
  <si>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</si>
  <si>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</si>
  <si>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</si>
  <si>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</si>
  <si>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</si>
  <si>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</si>
  <si>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</si>
  <si>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</si>
  <si>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</si>
  <si>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</si>
  <si>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</si>
  <si>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</si>
  <si>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</si>
  <si>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</si>
  <si>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</si>
  <si>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</si>
  <si>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</si>
  <si>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</si>
  <si>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</si>
  <si>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</si>
  <si>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</si>
  <si>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</si>
  <si>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</si>
  <si>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</si>
  <si>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</si>
  <si>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</si>
  <si>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</si>
  <si>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</si>
  <si>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</si>
  <si>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</si>
  <si>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</si>
  <si>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</si>
  <si>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</si>
  <si>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</si>
  <si>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</si>
  <si>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</si>
  <si>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</si>
  <si>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</si>
  <si>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</si>
  <si>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</si>
  <si>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</si>
  <si>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</si>
  <si>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</si>
  <si>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</si>
  <si>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</si>
  <si>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</si>
  <si>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</si>
  <si>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</si>
  <si>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</si>
  <si>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</si>
  <si>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</si>
  <si>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</si>
  <si>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</si>
  <si>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</si>
  <si>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</si>
  <si>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</si>
  <si>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</si>
  <si>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</si>
  <si>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</si>
  <si>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</si>
  <si>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</si>
  <si>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</si>
  <si>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</si>
  <si>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</si>
  <si>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</si>
  <si>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</si>
  <si>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</si>
  <si>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</si>
  <si>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</si>
  <si>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</si>
  <si>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</si>
  <si>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</si>
  <si>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</si>
  <si>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</si>
  <si>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</si>
  <si>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</si>
  <si>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</si>
  <si>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</si>
  <si>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</si>
  <si>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</si>
  <si>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</si>
  <si>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</si>
  <si>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</si>
  <si>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</si>
  <si>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</si>
  <si>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</si>
  <si>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</si>
  <si>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</si>
  <si>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</si>
  <si>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</si>
  <si>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</si>
  <si>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</si>
  <si>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</si>
  <si>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</si>
  <si>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</si>
  <si>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</si>
  <si>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</si>
  <si>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</si>
  <si>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</si>
  <si>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</si>
  <si>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</si>
  <si>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</si>
  <si>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</si>
  <si>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</si>
  <si>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</si>
  <si>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</si>
  <si>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</si>
  <si>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</si>
  <si>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</si>
  <si>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</si>
  <si>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</si>
  <si>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</si>
  <si>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</si>
  <si>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</si>
  <si>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</si>
  <si>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</si>
  <si>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</si>
  <si>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</si>
  <si>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</si>
  <si>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</si>
  <si>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</si>
  <si>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</si>
  <si>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</si>
  <si>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</si>
  <si>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</si>
  <si>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</si>
  <si>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</si>
  <si>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</si>
  <si>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</si>
  <si>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</si>
  <si>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</si>
  <si>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</si>
  <si>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</si>
  <si>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</si>
  <si>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</si>
  <si>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</si>
  <si>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</si>
  <si>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</si>
  <si>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</si>
  <si>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</si>
  <si>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</si>
  <si>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</si>
  <si>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</si>
  <si>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</si>
  <si>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</si>
  <si>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</si>
  <si>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</si>
  <si>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</si>
  <si>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</si>
  <si>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</si>
  <si>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</si>
  <si>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</si>
  <si>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</si>
  <si>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</si>
  <si>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</si>
  <si>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</si>
  <si>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</si>
  <si>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</si>
  <si>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</si>
  <si>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</si>
  <si>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</si>
  <si>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</si>
  <si>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</si>
  <si>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</si>
  <si>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</si>
  <si>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</si>
  <si>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</si>
  <si>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</si>
  <si>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</si>
  <si>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</si>
  <si>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</si>
  <si>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</si>
  <si>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</si>
  <si>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</si>
  <si>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</si>
  <si>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</si>
  <si>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</si>
  <si>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</si>
  <si>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</si>
  <si>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</si>
  <si>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</si>
  <si>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</si>
  <si>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</si>
  <si>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</si>
  <si>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</si>
  <si>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</si>
  <si>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</si>
  <si>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</si>
  <si>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</si>
  <si>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</si>
  <si>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</si>
  <si>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</si>
  <si>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</si>
  <si>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</si>
  <si>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</si>
  <si>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</si>
  <si>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</si>
  <si>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</si>
  <si>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</si>
  <si>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</si>
  <si>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</si>
  <si>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</si>
  <si>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</si>
  <si>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</si>
  <si>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</si>
  <si>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</si>
  <si>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</si>
  <si>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</si>
  <si>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</si>
  <si>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</si>
  <si>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</si>
  <si>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</si>
  <si>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</si>
  <si>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</si>
  <si>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</si>
  <si>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</si>
  <si>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</si>
  <si>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</si>
  <si>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</si>
  <si>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</si>
  <si>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</si>
  <si>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</si>
  <si>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</si>
  <si>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</si>
  <si>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</si>
  <si>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</si>
  <si>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</si>
  <si>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</si>
  <si>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</si>
  <si>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</si>
  <si>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</si>
  <si>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</si>
  <si>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</si>
  <si>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</si>
  <si>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</si>
  <si>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</si>
  <si>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</si>
  <si>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</si>
  <si>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</si>
  <si>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</si>
  <si>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</si>
  <si>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</si>
  <si>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</si>
  <si>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</si>
  <si>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</si>
  <si>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</si>
  <si>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</si>
  <si>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</si>
  <si>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</si>
  <si>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</si>
  <si>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</si>
  <si>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</si>
  <si>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</si>
  <si>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</si>
  <si>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</si>
  <si>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</si>
  <si>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</si>
  <si>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</si>
  <si>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</si>
  <si>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</si>
  <si>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</si>
  <si>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</si>
  <si>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</si>
  <si>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</si>
  <si>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</si>
  <si>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</si>
  <si>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</si>
  <si>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</si>
  <si>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</si>
  <si>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</si>
  <si>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</si>
  <si>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</si>
  <si>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</si>
  <si>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</si>
  <si>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</si>
  <si>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</si>
  <si>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</si>
  <si>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</si>
  <si>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</si>
  <si>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</si>
  <si>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</si>
  <si>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</si>
  <si>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</si>
  <si>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</si>
  <si>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</si>
  <si>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</si>
  <si>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</si>
  <si>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</si>
  <si>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</si>
  <si>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</si>
  <si>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</si>
  <si>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</si>
  <si>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</si>
  <si>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</si>
  <si>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</si>
  <si>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</si>
  <si>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</si>
  <si>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</si>
  <si>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</si>
  <si>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</si>
  <si>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</si>
  <si>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</si>
  <si>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</si>
  <si>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</si>
  <si>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</si>
  <si>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</si>
  <si>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</si>
  <si>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</si>
  <si>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</si>
  <si>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</si>
  <si>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</si>
  <si>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</si>
  <si>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</si>
  <si>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</si>
  <si>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</si>
  <si>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</si>
  <si>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</si>
  <si>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</si>
  <si>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</si>
  <si>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</si>
  <si>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</si>
  <si>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</si>
  <si>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</si>
  <si>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</si>
  <si>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</si>
  <si>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</si>
  <si>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</si>
  <si>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</si>
  <si>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</si>
  <si>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</si>
  <si>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</si>
  <si>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</si>
  <si>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</si>
  <si>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</si>
  <si>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</si>
  <si>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</si>
  <si>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</si>
  <si>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</si>
  <si>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</si>
  <si>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</si>
  <si>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</si>
  <si>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</si>
  <si>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</si>
  <si>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</si>
  <si>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</si>
  <si>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</si>
  <si>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</si>
  <si>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</si>
  <si>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</si>
  <si>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</si>
  <si>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</si>
  <si>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</si>
  <si>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</si>
  <si>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</si>
  <si>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</si>
  <si>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</si>
  <si>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</si>
  <si>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</si>
  <si>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</si>
  <si>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</si>
  <si>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</si>
  <si>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</si>
  <si>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</si>
  <si>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</si>
  <si>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</si>
  <si>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</si>
  <si>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</si>
  <si>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</si>
  <si>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</si>
  <si>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</si>
  <si>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</si>
  <si>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</si>
  <si>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</si>
  <si>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</si>
  <si>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</si>
  <si>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</si>
  <si>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</si>
  <si>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</si>
  <si>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</si>
  <si>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</si>
  <si>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</si>
  <si>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</si>
  <si>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</si>
  <si>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</si>
  <si>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</si>
  <si>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</si>
  <si>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</si>
  <si>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</si>
  <si>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</si>
  <si>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</si>
  <si>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</si>
  <si>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</si>
  <si>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</si>
  <si>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</si>
  <si>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</si>
  <si>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</si>
  <si>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</si>
  <si>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</si>
  <si>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</si>
  <si>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</si>
  <si>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</si>
  <si>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</si>
  <si>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</si>
  <si>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</si>
  <si>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</si>
  <si>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</si>
  <si>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</si>
  <si>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</si>
  <si>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</si>
  <si>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</si>
  <si>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</si>
  <si>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</si>
  <si>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</si>
  <si>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</si>
  <si>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</si>
  <si>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</si>
  <si>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</si>
  <si>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</si>
  <si>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</si>
  <si>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</si>
  <si>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</si>
  <si>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</si>
  <si>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</si>
  <si>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</si>
  <si>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</si>
  <si>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</si>
  <si>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</si>
  <si>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</si>
  <si>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</si>
  <si>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</si>
  <si>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</si>
  <si>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</si>
  <si>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</si>
  <si>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</si>
  <si>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</si>
  <si>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</si>
  <si>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</si>
  <si>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</si>
  <si>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</si>
  <si>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</si>
  <si>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</si>
  <si>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</si>
  <si>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</si>
  <si>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</si>
  <si>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</si>
  <si>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</si>
  <si>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</si>
  <si>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</si>
  <si>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</si>
  <si>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</si>
  <si>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</si>
  <si>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</si>
  <si>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</si>
  <si>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</si>
  <si>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</si>
  <si>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</si>
  <si>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</si>
  <si>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</si>
  <si>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</si>
  <si>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</si>
  <si>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</si>
  <si>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</si>
  <si>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</si>
  <si>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</si>
  <si>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</si>
  <si>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</si>
  <si>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</si>
  <si>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</si>
  <si>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</si>
  <si>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</si>
  <si>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</si>
  <si>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</si>
  <si>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</si>
  <si>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</si>
  <si>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</si>
  <si>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</si>
  <si>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</si>
  <si>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</si>
  <si>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</si>
  <si>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</si>
  <si>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</si>
  <si>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</si>
  <si>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</si>
  <si>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</si>
  <si>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</si>
  <si>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</si>
  <si>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</si>
  <si>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</si>
  <si>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</si>
  <si>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</si>
  <si>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</si>
  <si>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</si>
  <si>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</si>
  <si>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</si>
  <si>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</si>
  <si>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</si>
  <si>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</si>
  <si>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</si>
  <si>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</si>
  <si>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</si>
  <si>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</si>
  <si>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</si>
  <si>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</si>
  <si>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</si>
  <si>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</si>
  <si>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</si>
  <si>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</si>
  <si>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</si>
  <si>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</si>
  <si>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</si>
  <si>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</si>
  <si>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</si>
  <si>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</si>
  <si>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</si>
  <si>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</si>
  <si>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</si>
  <si>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</si>
  <si>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</si>
  <si>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</si>
  <si>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</si>
  <si>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</si>
  <si>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</si>
  <si>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</si>
  <si>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</si>
  <si>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</si>
  <si>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</si>
  <si>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</si>
  <si>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</si>
  <si>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</si>
  <si>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</si>
  <si>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</si>
  <si>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</si>
  <si>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</si>
  <si>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</si>
  <si>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</si>
  <si>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</si>
  <si>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</si>
  <si>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</si>
  <si>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</si>
  <si>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</si>
  <si>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</si>
  <si>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</si>
  <si>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</si>
  <si>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</si>
  <si>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</si>
  <si>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</si>
  <si>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</si>
  <si>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</si>
  <si>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</si>
  <si>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</si>
  <si>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</si>
  <si>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</si>
  <si>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</si>
  <si>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</si>
  <si>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</si>
  <si>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</si>
  <si>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</si>
  <si>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</si>
  <si>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</si>
  <si>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</si>
  <si>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</si>
  <si>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</si>
  <si>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</si>
  <si>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</si>
  <si>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</si>
  <si>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</si>
  <si>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</si>
  <si>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</si>
  <si>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</si>
  <si>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</si>
  <si>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</si>
  <si>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</si>
  <si>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</si>
  <si>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</si>
  <si>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</si>
  <si>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</si>
  <si>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</si>
  <si>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</si>
  <si>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</si>
  <si>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</si>
  <si>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</si>
  <si>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</si>
  <si>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</si>
  <si>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</si>
  <si>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</si>
  <si>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</si>
  <si>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</si>
  <si>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</si>
  <si>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</si>
  <si>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</si>
  <si>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</si>
  <si>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</si>
  <si>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</si>
  <si>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</si>
  <si>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</si>
  <si>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</si>
  <si>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</si>
  <si>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</si>
  <si>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</si>
  <si>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</si>
  <si>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</si>
  <si>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</si>
  <si>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</si>
  <si>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</si>
  <si>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</si>
  <si>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</si>
  <si>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</si>
  <si>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</si>
  <si>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</si>
  <si>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</si>
  <si>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</si>
  <si>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</si>
  <si>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</si>
  <si>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</si>
  <si>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</si>
  <si>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</si>
  <si>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</si>
  <si>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</si>
  <si>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</si>
  <si>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</si>
  <si>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</si>
  <si>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</si>
  <si>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</si>
  <si>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</si>
  <si>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</si>
  <si>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</si>
  <si>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</si>
  <si>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</si>
  <si>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</si>
  <si>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</si>
  <si>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</si>
  <si>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</si>
  <si>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</si>
  <si>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</si>
  <si>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</si>
  <si>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</si>
  <si>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</si>
  <si>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</si>
  <si>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</si>
  <si>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</si>
  <si>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</si>
  <si>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</si>
  <si>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</si>
  <si>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</si>
  <si>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</si>
  <si>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</si>
  <si>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</si>
  <si>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</si>
  <si>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</si>
  <si>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</si>
  <si>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</si>
  <si>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</si>
  <si>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</si>
  <si>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</si>
  <si>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</si>
  <si>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</si>
  <si>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</si>
  <si>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</si>
  <si>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</si>
  <si>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</si>
  <si>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</si>
  <si>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</si>
  <si>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</si>
  <si>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</si>
  <si>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</si>
  <si>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</si>
  <si>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</si>
  <si>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</si>
  <si>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</si>
  <si>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</si>
  <si>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</si>
  <si>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</si>
  <si>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</si>
  <si>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</si>
  <si>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</si>
  <si>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</si>
  <si>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</si>
  <si>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</si>
  <si>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</si>
  <si>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</si>
  <si>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</si>
  <si>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</si>
  <si>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</si>
  <si>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</si>
  <si>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</si>
  <si>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</si>
  <si>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</si>
  <si>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</si>
  <si>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</si>
  <si>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</si>
  <si>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</si>
  <si>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</si>
  <si>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</si>
  <si>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</si>
  <si>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</si>
  <si>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</si>
  <si>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</si>
  <si>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</si>
  <si>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</si>
  <si>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</si>
  <si>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</si>
  <si>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</si>
  <si>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</si>
  <si>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</si>
  <si>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</si>
  <si>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</si>
  <si>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</si>
  <si>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</si>
  <si>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</si>
  <si>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</si>
  <si>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</si>
  <si>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</si>
  <si>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</si>
  <si>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</si>
  <si>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</si>
  <si>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</si>
  <si>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</si>
  <si>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</si>
  <si>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</si>
  <si>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</si>
  <si>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</si>
  <si>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</si>
  <si>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</si>
  <si>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</si>
  <si>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</si>
  <si>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</si>
  <si>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</si>
  <si>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</si>
  <si>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</si>
  <si>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</si>
  <si>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</si>
  <si>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</si>
  <si>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</si>
  <si>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</si>
  <si>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</si>
  <si>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</si>
  <si>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</si>
  <si>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</si>
  <si>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</si>
  <si>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</si>
  <si>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</si>
  <si>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</si>
  <si>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</si>
  <si>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</si>
  <si>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</si>
  <si>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</si>
  <si>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</si>
  <si>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</si>
  <si>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</si>
  <si>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</si>
  <si>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</si>
  <si>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</si>
  <si>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</si>
  <si>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</si>
  <si>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</si>
  <si>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</si>
  <si>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</si>
  <si>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</si>
  <si>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</si>
  <si>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</si>
  <si>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</si>
  <si>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</si>
  <si>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</si>
  <si>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</si>
  <si>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</si>
  <si>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</si>
  <si>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</si>
  <si>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</si>
  <si>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</si>
  <si>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</si>
  <si>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</si>
  <si>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</si>
  <si>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</si>
  <si>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</si>
  <si>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</si>
  <si>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</si>
  <si>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</si>
  <si>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</si>
  <si>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</si>
  <si>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</si>
  <si>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</si>
  <si>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</si>
  <si>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</si>
  <si>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</si>
  <si>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</si>
  <si>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</si>
  <si>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</si>
  <si>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</si>
  <si>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</si>
  <si>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</si>
  <si>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</si>
  <si>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</si>
  <si>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</si>
  <si>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</si>
  <si>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</si>
  <si>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</si>
  <si>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</si>
  <si>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</si>
  <si>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</si>
  <si>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</si>
  <si>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</si>
  <si>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</si>
  <si>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</si>
  <si>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</si>
  <si>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</si>
  <si>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</si>
  <si>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</si>
  <si>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</si>
  <si>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</si>
  <si>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</si>
  <si>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</si>
  <si>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</si>
  <si>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</si>
  <si>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</si>
  <si>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</si>
  <si>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</si>
  <si>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</si>
  <si>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</si>
  <si>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</si>
  <si>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</si>
  <si>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</si>
  <si>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</si>
  <si>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</si>
  <si>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</si>
  <si>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</si>
  <si>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</si>
  <si>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</si>
  <si>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</si>
  <si>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</si>
  <si>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</si>
  <si>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</si>
  <si>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</si>
  <si>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</si>
  <si>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</si>
  <si>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</si>
  <si>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</si>
  <si>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</si>
  <si>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</si>
  <si>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</si>
  <si>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</si>
  <si>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</si>
  <si>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</si>
  <si>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</si>
  <si>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</si>
  <si>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</si>
  <si>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</si>
  <si>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</si>
  <si>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</si>
  <si>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</si>
  <si>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</si>
  <si>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</si>
  <si>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</si>
  <si>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</si>
  <si>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</si>
  <si>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</si>
  <si>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</si>
  <si>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38 - 46</t>
  </si>
  <si>
    <t>37</t>
  </si>
  <si>
    <t>32-33</t>
  </si>
  <si>
    <t>X</t>
  </si>
  <si>
    <t>LOGAN</t>
  </si>
  <si>
    <t>400 WEST FRONT STREET</t>
  </si>
  <si>
    <t>HARTSBURG</t>
  </si>
  <si>
    <t>twisniewski@hartem.org</t>
  </si>
  <si>
    <t>TERRY WISNIEWSKI</t>
  </si>
  <si>
    <t>217-642-5244</t>
  </si>
  <si>
    <t>217-642-5333</t>
  </si>
  <si>
    <t>J.M. ABBOTT &amp; ASSOCIATES, LTD.</t>
  </si>
  <si>
    <t>207 S. MCLEAN ST.</t>
  </si>
  <si>
    <t>LINCOLN</t>
  </si>
  <si>
    <t>IL</t>
  </si>
  <si>
    <t>217-735-1576</t>
  </si>
  <si>
    <t>217-735-5866</t>
  </si>
  <si>
    <t>066-005243</t>
  </si>
  <si>
    <t>deb@jmabbott.com</t>
  </si>
  <si>
    <t>MARK JONTRY</t>
  </si>
  <si>
    <t>jontrym@roe17.org</t>
  </si>
  <si>
    <t>309-888-5120</t>
  </si>
  <si>
    <t>309-862-0420</t>
  </si>
  <si>
    <t>DEBRA LAST</t>
  </si>
  <si>
    <t>20.  They overspent their budget in the Operations and Maintenance Fund by $8,297, and in the Fire Protection and Safety Fund by $140.</t>
  </si>
  <si>
    <t>NONE</t>
  </si>
  <si>
    <t>ILLINI CENTRAL CUSD #189; DELAVAN CUSD #703</t>
  </si>
  <si>
    <t>REGIONAL OFFICE OF EDUCATION #17</t>
  </si>
  <si>
    <t>LINCOLNLAND TECHNICAL EDUCATION CENTER</t>
  </si>
  <si>
    <t>LINCOLNLAND REGIONAL DELIVERY SYSTEM</t>
  </si>
  <si>
    <t>TRI COUNTY SPECIAL ED BOTH YEARS; SEE BELOW</t>
  </si>
  <si>
    <t>LINE 26: IN FY 19-20, SHARED WITH CHESTER EAST LINCOLN #61 AND HEYWORTH CUSD #4</t>
  </si>
  <si>
    <t>BUS LEASE</t>
  </si>
  <si>
    <t>BUS LEASES</t>
  </si>
  <si>
    <t>P. 11, Line 121, Acct 3099 - Other Unrestricted Grants-in-aid from State Sources</t>
  </si>
  <si>
    <t>Library Grant</t>
  </si>
  <si>
    <t>P. 13, Line 174, Acct 4009 - Other Restricted Grants-in-aid Directly from the Federal Government</t>
  </si>
  <si>
    <t>REAP</t>
  </si>
  <si>
    <t>P. 16, Line 73, Acct 2900, Other Support Services</t>
  </si>
  <si>
    <t>Homeless Supplies</t>
  </si>
  <si>
    <t>P. 16, Line 83, Acct 4190 - Other Payments to In-State Governmental Units</t>
  </si>
  <si>
    <t>Annexation Fee</t>
  </si>
  <si>
    <t>P. 17, Line 128, Acct 2900, Other Supporting Services</t>
  </si>
  <si>
    <t>Property Insurance</t>
  </si>
  <si>
    <t>P. 18, Line 183, Acct 2900, Other Supporting Services</t>
  </si>
  <si>
    <t>Bus Insurance</t>
  </si>
  <si>
    <t>Audit Checklist, Error #8:  The Distrcit recognizes capital leases for buses in the Transportation Fund using option number 1 for capital leases</t>
  </si>
  <si>
    <t>as described in the Illinois Program Accounting Manual, pages 96-97, where the asset is capitalized as the lease/purchase payments are made.</t>
  </si>
  <si>
    <t>No principal payments are recognized throughout the life of the lease, but interest is recognized.  As a result, debt activity on page 24</t>
  </si>
  <si>
    <t>will not agree to the activity in the Transportation Fund on pages 8 or 18.</t>
  </si>
  <si>
    <t xml:space="preserve"> Hartsburg Emden CUSD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</si>
</sst>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7" fillId="0" borderId="0" xfId="1" applyNumberFormat="1" applyFont="1"/>
    <xf numFmtId="186" fontId="144" fillId="0" borderId="0" xfId="21"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0</xdr:row>
          <xdr:rowOff>142875</xdr:rowOff>
        </xdr:from>
        <xdr:to>
          <xdr:col>1</xdr:col>
          <xdr:colOff>981075</xdr:colOff>
          <xdr:row>5</xdr:row>
          <xdr:rowOff>19050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0</xdr:row>
          <xdr:rowOff>142875</xdr:rowOff>
        </xdr:from>
        <xdr:to>
          <xdr:col>1</xdr:col>
          <xdr:colOff>2171700</xdr:colOff>
          <xdr:row>5</xdr:row>
          <xdr:rowOff>19050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38100</xdr:rowOff>
        </xdr:from>
        <xdr:to>
          <xdr:col>1</xdr:col>
          <xdr:colOff>923925</xdr:colOff>
          <xdr:row>10</xdr:row>
          <xdr:rowOff>76200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6</xdr:row>
          <xdr:rowOff>28575</xdr:rowOff>
        </xdr:from>
        <xdr:to>
          <xdr:col>1</xdr:col>
          <xdr:colOff>2152650</xdr:colOff>
          <xdr:row>10</xdr:row>
          <xdr:rowOff>66675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6">
        <f>+'AFR20'!E4</f>
        <v>44119</v>
      </c>
      <c r="C1" s="2116"/>
      <c r="D1" s="2117"/>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18">
        <f>+'AFR20'!F4</f>
        <v>44151</v>
      </c>
      <c r="C2" s="2118"/>
      <c r="D2" s="2119"/>
      <c r="I2" s="2080" t="s">
        <v>2003</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3" t="s">
        <v>530</v>
      </c>
      <c r="U9" s="2134"/>
      <c r="V9" s="2134"/>
      <c r="W9" s="2134"/>
      <c r="X9" s="2134"/>
      <c r="Y9" s="2134"/>
      <c r="Z9" s="2134"/>
      <c r="AA9" s="2135"/>
    </row>
    <row r="10" spans="1:32" ht="13.5" customHeight="1" x14ac:dyDescent="0.2">
      <c r="A10" s="2140" t="s">
        <v>670</v>
      </c>
      <c r="B10" s="2141"/>
      <c r="C10" s="2141"/>
      <c r="D10" s="2141"/>
      <c r="E10" s="2141"/>
      <c r="F10" s="2141"/>
      <c r="G10" s="2141"/>
      <c r="H10" s="2142"/>
      <c r="I10" s="29"/>
      <c r="J10" s="30"/>
      <c r="K10" s="28"/>
      <c r="R10" s="30"/>
      <c r="S10" s="30"/>
      <c r="T10" s="2136"/>
      <c r="U10" s="2087"/>
      <c r="V10" s="2087"/>
      <c r="W10" s="2087"/>
      <c r="X10" s="2087"/>
      <c r="Y10" s="2087"/>
      <c r="Z10" s="2087"/>
      <c r="AA10" s="2090"/>
    </row>
    <row r="11" spans="1:32" ht="14.25" customHeight="1" x14ac:dyDescent="0.2">
      <c r="A11" s="2143" t="s">
        <v>949</v>
      </c>
      <c r="B11" s="2144"/>
      <c r="C11" s="2144"/>
      <c r="D11" s="2144"/>
      <c r="E11" s="2144"/>
      <c r="F11" s="2144"/>
      <c r="G11" s="2144"/>
      <c r="H11" s="2145"/>
      <c r="I11" s="27"/>
      <c r="J11" s="71"/>
      <c r="K11" s="27"/>
      <c r="O11" s="144" t="s">
        <v>2051</v>
      </c>
      <c r="P11" s="97" t="s">
        <v>199</v>
      </c>
      <c r="Q11" s="30"/>
      <c r="R11" s="28"/>
      <c r="S11" s="27"/>
      <c r="T11" s="2137"/>
      <c r="U11" s="2138"/>
      <c r="V11" s="2138"/>
      <c r="W11" s="2138"/>
      <c r="X11" s="2138"/>
      <c r="Y11" s="2138"/>
      <c r="Z11" s="2138"/>
      <c r="AA11" s="213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6">
        <v>17054021026</v>
      </c>
      <c r="B13" s="2097"/>
      <c r="C13" s="2097"/>
      <c r="D13" s="2097"/>
      <c r="E13" s="2097"/>
      <c r="F13" s="2097"/>
      <c r="G13" s="2097"/>
      <c r="H13" s="2098"/>
      <c r="I13" s="31"/>
      <c r="J13" s="30"/>
      <c r="K13" s="28"/>
      <c r="L13" s="30"/>
      <c r="M13" s="30"/>
      <c r="N13" s="30"/>
      <c r="O13" s="30"/>
      <c r="P13" s="30"/>
      <c r="Q13" s="30"/>
      <c r="R13" s="30"/>
      <c r="S13" s="30"/>
      <c r="T13" s="2102" t="s">
        <v>2059</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9" t="s">
        <v>2052</v>
      </c>
      <c r="B15" s="2100"/>
      <c r="C15" s="2100"/>
      <c r="D15" s="2100"/>
      <c r="E15" s="2100"/>
      <c r="F15" s="2100"/>
      <c r="G15" s="2100"/>
      <c r="H15" s="2101"/>
      <c r="T15" s="2106" t="s">
        <v>2071</v>
      </c>
      <c r="U15" s="2066"/>
      <c r="V15" s="2066"/>
      <c r="W15" s="2066"/>
      <c r="X15" s="2066"/>
      <c r="Y15" s="2107"/>
      <c r="Z15" s="2107"/>
      <c r="AA15" s="210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2098</v>
      </c>
      <c r="B17" s="2073"/>
      <c r="C17" s="2073"/>
      <c r="D17" s="2073"/>
      <c r="E17" s="2073"/>
      <c r="F17" s="2073"/>
      <c r="G17" s="2073"/>
      <c r="H17" s="2095"/>
      <c r="T17" s="2113" t="s">
        <v>2060</v>
      </c>
      <c r="U17" s="2114"/>
      <c r="V17" s="2114"/>
      <c r="W17" s="2114"/>
      <c r="X17" s="2114"/>
      <c r="Y17" s="2114"/>
      <c r="Z17" s="2114"/>
      <c r="AA17" s="2115"/>
    </row>
    <row r="18" spans="1:27" ht="13.5" customHeight="1" x14ac:dyDescent="0.2">
      <c r="A18" s="82" t="s">
        <v>527</v>
      </c>
      <c r="B18" s="73"/>
      <c r="C18" s="69"/>
      <c r="D18" s="73"/>
      <c r="E18" s="73"/>
      <c r="F18" s="73"/>
      <c r="G18" s="73"/>
      <c r="H18" s="53"/>
      <c r="I18" s="2094"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099" t="s">
        <v>2053</v>
      </c>
      <c r="B19" s="2058"/>
      <c r="C19" s="2058"/>
      <c r="D19" s="2058"/>
      <c r="E19" s="2058"/>
      <c r="F19" s="2058"/>
      <c r="G19" s="2058"/>
      <c r="H19" s="2040"/>
      <c r="I19" s="30"/>
      <c r="J19" s="96"/>
      <c r="K19" s="40"/>
      <c r="L19" s="38"/>
      <c r="M19" s="109" t="s">
        <v>312</v>
      </c>
      <c r="P19" s="27"/>
      <c r="Q19" s="27"/>
      <c r="R19" s="27"/>
      <c r="S19" s="31"/>
      <c r="T19" s="2099" t="s">
        <v>2061</v>
      </c>
      <c r="U19" s="2039"/>
      <c r="V19" s="2039"/>
      <c r="W19" s="2040"/>
      <c r="X19" s="2111" t="s">
        <v>2062</v>
      </c>
      <c r="Y19" s="2112"/>
      <c r="Z19" s="2109">
        <v>62656</v>
      </c>
      <c r="AA19" s="211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2054</v>
      </c>
      <c r="B21" s="2039"/>
      <c r="C21" s="2039"/>
      <c r="D21" s="2039"/>
      <c r="E21" s="2039"/>
      <c r="F21" s="2039"/>
      <c r="G21" s="2039"/>
      <c r="H21" s="2040"/>
      <c r="I21" s="2089" t="s">
        <v>673</v>
      </c>
      <c r="J21" s="2087"/>
      <c r="K21" s="2087"/>
      <c r="L21" s="2087"/>
      <c r="M21" s="2087"/>
      <c r="N21" s="2087"/>
      <c r="O21" s="2087"/>
      <c r="P21" s="2087"/>
      <c r="Q21" s="2087"/>
      <c r="R21" s="2087"/>
      <c r="S21" s="2090"/>
      <c r="T21" s="2124" t="s">
        <v>2063</v>
      </c>
      <c r="U21" s="2125"/>
      <c r="V21" s="2125"/>
      <c r="W21" s="2125"/>
      <c r="X21" s="2130" t="s">
        <v>2064</v>
      </c>
      <c r="Y21" s="2131"/>
      <c r="Z21" s="2131"/>
      <c r="AA21" s="2132"/>
    </row>
    <row r="22" spans="1:27" ht="13.5" customHeight="1" x14ac:dyDescent="0.2">
      <c r="A22" s="84" t="s">
        <v>528</v>
      </c>
      <c r="B22" s="56"/>
      <c r="C22" s="56"/>
      <c r="D22" s="56"/>
      <c r="E22" s="56"/>
      <c r="F22" s="56"/>
      <c r="G22" s="56"/>
      <c r="H22" s="57"/>
      <c r="I22" s="2091" t="s">
        <v>1412</v>
      </c>
      <c r="J22" s="2092"/>
      <c r="K22" s="2092"/>
      <c r="L22" s="2092"/>
      <c r="M22" s="2092"/>
      <c r="N22" s="2092"/>
      <c r="O22" s="2092"/>
      <c r="P22" s="2092"/>
      <c r="Q22" s="2092"/>
      <c r="R22" s="2092"/>
      <c r="S22" s="2093"/>
      <c r="T22" s="82" t="s">
        <v>1499</v>
      </c>
      <c r="U22" s="48"/>
      <c r="V22" s="69"/>
      <c r="W22" s="48"/>
      <c r="X22" s="155" t="s">
        <v>1307</v>
      </c>
      <c r="Z22" s="43"/>
      <c r="AA22" s="44"/>
    </row>
    <row r="23" spans="1:27" ht="13.5" customHeight="1" x14ac:dyDescent="0.2">
      <c r="A23" s="2052" t="s">
        <v>2055</v>
      </c>
      <c r="B23" s="2053"/>
      <c r="C23" s="2053"/>
      <c r="D23" s="2053"/>
      <c r="E23" s="2053"/>
      <c r="F23" s="2053"/>
      <c r="G23" s="2053"/>
      <c r="H23" s="2054"/>
      <c r="T23" s="2072" t="s">
        <v>2065</v>
      </c>
      <c r="U23" s="2123"/>
      <c r="V23" s="2123"/>
      <c r="W23" s="2123"/>
      <c r="X23" s="2127">
        <v>44530</v>
      </c>
      <c r="Y23" s="2128"/>
      <c r="Z23" s="2128"/>
      <c r="AA23" s="2129"/>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8">
        <v>62643</v>
      </c>
      <c r="B25" s="2039"/>
      <c r="C25" s="2039"/>
      <c r="D25" s="2039"/>
      <c r="E25" s="2039"/>
      <c r="F25" s="2039"/>
      <c r="G25" s="2039"/>
      <c r="H25" s="2040"/>
      <c r="I25" s="110"/>
      <c r="J25" s="2061"/>
      <c r="K25" s="2061"/>
      <c r="L25" s="2061"/>
      <c r="M25" s="2061"/>
      <c r="N25" s="2061"/>
      <c r="O25" s="2061"/>
      <c r="P25" s="2061"/>
      <c r="Q25" s="2061"/>
      <c r="R25" s="2061"/>
      <c r="S25" s="2062"/>
      <c r="T25" s="2120" t="s">
        <v>2066</v>
      </c>
      <c r="U25" s="2121"/>
      <c r="V25" s="2121"/>
      <c r="W25" s="2121"/>
      <c r="X25" s="2121"/>
      <c r="Y25" s="2121"/>
      <c r="Z25" s="2121"/>
      <c r="AA25" s="212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2056</v>
      </c>
      <c r="B38" s="2073"/>
      <c r="C38" s="2073"/>
      <c r="D38" s="2073"/>
      <c r="E38" s="2073"/>
      <c r="F38" s="2039"/>
      <c r="G38" s="2039"/>
      <c r="H38" s="2040"/>
      <c r="I38" s="2065"/>
      <c r="J38" s="2066"/>
      <c r="K38" s="2066"/>
      <c r="L38" s="2066"/>
      <c r="M38" s="2066"/>
      <c r="N38" s="2066"/>
      <c r="O38" s="2066"/>
      <c r="P38" s="2067"/>
      <c r="Q38" s="2067"/>
      <c r="R38" s="2067"/>
      <c r="S38" s="2068"/>
      <c r="T38" s="2106" t="s">
        <v>2067</v>
      </c>
      <c r="U38" s="2066"/>
      <c r="V38" s="2066"/>
      <c r="W38" s="2066"/>
      <c r="X38" s="2067"/>
      <c r="Y38" s="2067"/>
      <c r="Z38" s="2067"/>
      <c r="AA38" s="2068"/>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2055</v>
      </c>
      <c r="B40" s="2053"/>
      <c r="C40" s="2053"/>
      <c r="D40" s="2053"/>
      <c r="E40" s="2053"/>
      <c r="F40" s="2053"/>
      <c r="G40" s="2053"/>
      <c r="H40" s="2054"/>
      <c r="I40" s="2075"/>
      <c r="J40" s="2076"/>
      <c r="K40" s="2076"/>
      <c r="L40" s="2076"/>
      <c r="M40" s="2076"/>
      <c r="N40" s="2076"/>
      <c r="O40" s="2076"/>
      <c r="P40" s="2076"/>
      <c r="Q40" s="2076"/>
      <c r="R40" s="2076"/>
      <c r="S40" s="2077"/>
      <c r="T40" s="2075" t="s">
        <v>2068</v>
      </c>
      <c r="U40" s="2126"/>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2057</v>
      </c>
      <c r="B42" s="2056"/>
      <c r="C42" s="2057"/>
      <c r="D42" s="2055" t="s">
        <v>2058</v>
      </c>
      <c r="E42" s="2056"/>
      <c r="F42" s="2056"/>
      <c r="G42" s="2056"/>
      <c r="H42" s="2057"/>
      <c r="I42" s="2041"/>
      <c r="J42" s="2042"/>
      <c r="K42" s="2042"/>
      <c r="L42" s="2042"/>
      <c r="M42" s="2042"/>
      <c r="N42" s="2042"/>
      <c r="O42" s="2043"/>
      <c r="P42" s="2074"/>
      <c r="Q42" s="2042"/>
      <c r="R42" s="2042"/>
      <c r="S42" s="2043"/>
      <c r="T42" s="2041" t="s">
        <v>2069</v>
      </c>
      <c r="U42" s="2042"/>
      <c r="V42" s="2042"/>
      <c r="W42" s="2043"/>
      <c r="X42" s="2074" t="s">
        <v>2070</v>
      </c>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6"/>
      <c r="J44" s="2047"/>
      <c r="K44" s="2047"/>
      <c r="L44" s="2047"/>
      <c r="M44" s="2047"/>
      <c r="N44" s="2047"/>
      <c r="O44" s="2047"/>
      <c r="P44" s="2047"/>
      <c r="Q44" s="2047"/>
      <c r="R44" s="2047"/>
      <c r="S44" s="2048"/>
      <c r="T44" s="2046"/>
      <c r="U44" s="2063"/>
      <c r="V44" s="2063"/>
      <c r="W44" s="2063"/>
      <c r="X44" s="2063"/>
      <c r="Y44" s="2063"/>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2"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69" sqref="C6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5"/>
      <c r="B3" s="1294"/>
      <c r="C3" s="1295"/>
      <c r="D3" s="1296" t="s">
        <v>254</v>
      </c>
      <c r="E3" s="1295"/>
      <c r="F3" s="1296" t="s">
        <v>255</v>
      </c>
    </row>
    <row r="4" spans="1:8" ht="13.7" customHeight="1" x14ac:dyDescent="0.2">
      <c r="A4" s="579" t="s">
        <v>1145</v>
      </c>
      <c r="B4" s="1721">
        <f>'Revenues 9-14'!C5</f>
        <v>1653006</v>
      </c>
      <c r="C4" s="1722"/>
      <c r="D4" s="1723">
        <f>B4-C4</f>
        <v>1653006</v>
      </c>
      <c r="E4" s="1722">
        <f>1702339+1</f>
        <v>1702340</v>
      </c>
      <c r="F4" s="1723">
        <f>E4-C4</f>
        <v>1702340</v>
      </c>
    </row>
    <row r="5" spans="1:8" ht="13.7" customHeight="1" x14ac:dyDescent="0.2">
      <c r="A5" s="579" t="s">
        <v>865</v>
      </c>
      <c r="B5" s="1724">
        <f>'Revenues 9-14'!D5</f>
        <v>261961</v>
      </c>
      <c r="C5" s="1664"/>
      <c r="D5" s="1725">
        <f t="shared" ref="D5:D18" si="0">B5-C5</f>
        <v>261961</v>
      </c>
      <c r="E5" s="1664">
        <v>264694</v>
      </c>
      <c r="F5" s="1725">
        <f>E5-C5</f>
        <v>264694</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143522</v>
      </c>
      <c r="C7" s="1664"/>
      <c r="D7" s="1725">
        <f t="shared" si="0"/>
        <v>143522</v>
      </c>
      <c r="E7" s="1664">
        <v>143039</v>
      </c>
      <c r="F7" s="1725">
        <f t="shared" si="1"/>
        <v>143039</v>
      </c>
    </row>
    <row r="8" spans="1:8" ht="13.7" customHeight="1" x14ac:dyDescent="0.2">
      <c r="A8" s="579" t="s">
        <v>1169</v>
      </c>
      <c r="B8" s="1724">
        <f>'Revenues 9-14'!G5</f>
        <v>37962</v>
      </c>
      <c r="C8" s="1664"/>
      <c r="D8" s="1725">
        <f t="shared" si="0"/>
        <v>37962</v>
      </c>
      <c r="E8" s="1664">
        <v>37487</v>
      </c>
      <c r="F8" s="1725">
        <f t="shared" si="1"/>
        <v>37487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13810</v>
      </c>
      <c r="C10" s="1664"/>
      <c r="D10" s="1725">
        <f t="shared" si="0"/>
        <v>13810</v>
      </c>
      <c r="E10" s="1664">
        <v>13813</v>
      </c>
      <c r="F10" s="1725">
        <f t="shared" si="1"/>
        <v>13813</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5907</v>
      </c>
      <c r="C12" s="1664"/>
      <c r="D12" s="1725">
        <f t="shared" si="0"/>
        <v>5907</v>
      </c>
      <c r="E12" s="1664">
        <v>5968</v>
      </c>
      <c r="F12" s="1725">
        <f t="shared" si="1"/>
        <v>5968</v>
      </c>
    </row>
    <row r="13" spans="1:8" ht="13.7" customHeight="1" x14ac:dyDescent="0.2">
      <c r="A13" s="579" t="s">
        <v>930</v>
      </c>
      <c r="B13" s="1724">
        <f>SUM('Revenues 9-14'!C6:D6)</f>
        <v>10165</v>
      </c>
      <c r="C13" s="1664"/>
      <c r="D13" s="1725">
        <f t="shared" si="0"/>
        <v>10165</v>
      </c>
      <c r="E13" s="1664">
        <v>10268</v>
      </c>
      <c r="F13" s="1725">
        <f t="shared" si="1"/>
        <v>10268</v>
      </c>
    </row>
    <row r="14" spans="1:8" ht="13.7" customHeight="1" x14ac:dyDescent="0.2">
      <c r="A14" s="579" t="s">
        <v>407</v>
      </c>
      <c r="B14" s="1724">
        <f>SUM('Revenues 9-14'!C7:D7,'Revenues 9-14'!F7:H7)</f>
        <v>30437</v>
      </c>
      <c r="C14" s="1664"/>
      <c r="D14" s="1725">
        <f t="shared" si="0"/>
        <v>30437</v>
      </c>
      <c r="E14" s="1664">
        <v>30740</v>
      </c>
      <c r="F14" s="1725">
        <f t="shared" si="1"/>
        <v>30740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49541</v>
      </c>
      <c r="C16" s="1664"/>
      <c r="D16" s="1725">
        <f t="shared" si="0"/>
        <v>49541</v>
      </c>
      <c r="E16" s="1664">
        <v>50026</v>
      </c>
      <c r="F16" s="1725">
        <f t="shared" si="1"/>
        <v>50026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2206311</v>
      </c>
      <c r="C19" s="1726">
        <f>SUM(C4:C18)</f>
        <v>0</v>
      </c>
      <c r="D19" s="1726">
        <f>SUM(D4:D18)</f>
        <v>2206311</v>
      </c>
      <c r="E19" s="1726">
        <f>SUM(E4:E18)</f>
        <v>2258375</v>
      </c>
      <c r="F19" s="1726">
        <f>SUM(F4:F18)</f>
        <v>2258375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3" right="0.15" top="1.65" bottom="0.52" header="0.94" footer="0.2"/>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4" colorId="8" zoomScale="110" zoomScaleNormal="110" workbookViewId="0">
      <selection activeCell="C69" sqref="C6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6" t="s">
        <v>625</v>
      </c>
      <c r="B1" s="2304"/>
      <c r="C1" s="585"/>
    </row>
    <row r="2" spans="1:7" ht="33.75" x14ac:dyDescent="0.2">
      <c r="A2" s="2311" t="s">
        <v>1779</v>
      </c>
      <c r="B2" s="231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3" t="s">
        <v>1104</v>
      </c>
      <c r="B3" s="2314"/>
      <c r="C3" s="2307"/>
      <c r="D3" s="2308"/>
      <c r="E3" s="2308"/>
      <c r="F3" s="2309"/>
    </row>
    <row r="4" spans="1:7" ht="12.75" customHeight="1" thickBot="1" x14ac:dyDescent="0.25">
      <c r="A4" s="2301" t="s">
        <v>626</v>
      </c>
      <c r="B4" s="2302"/>
      <c r="C4" s="1656"/>
      <c r="D4" s="1656"/>
      <c r="E4" s="1656"/>
      <c r="F4" s="1732">
        <f>SUM(C4+D4)-E4</f>
        <v>0</v>
      </c>
    </row>
    <row r="5" spans="1:7" ht="15.75" customHeight="1" thickTop="1" x14ac:dyDescent="0.2">
      <c r="A5" s="2305" t="s">
        <v>1101</v>
      </c>
      <c r="B5" s="2300"/>
      <c r="C5" s="2294"/>
      <c r="D5" s="2295"/>
      <c r="E5" s="2295"/>
      <c r="F5" s="229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7" t="s">
        <v>627</v>
      </c>
      <c r="B15" s="2298"/>
      <c r="C15" s="1732">
        <f>SUM(C6:C14)</f>
        <v>0</v>
      </c>
      <c r="D15" s="1732">
        <f>SUM(D6:D14)</f>
        <v>0</v>
      </c>
      <c r="E15" s="1732">
        <f>SUM(E6:E14)</f>
        <v>0</v>
      </c>
      <c r="F15" s="1732">
        <f>SUM(F6:F14)</f>
        <v>0</v>
      </c>
      <c r="G15" s="473"/>
    </row>
    <row r="16" spans="1:7" s="197" customFormat="1" ht="15.75" customHeight="1" thickTop="1" x14ac:dyDescent="0.2">
      <c r="A16" s="2310" t="s">
        <v>1102</v>
      </c>
      <c r="B16" s="2300"/>
      <c r="C16" s="2294"/>
      <c r="D16" s="2295"/>
      <c r="E16" s="2295"/>
      <c r="F16" s="2296"/>
    </row>
    <row r="17" spans="1:11" ht="12.75" customHeight="1" thickBot="1" x14ac:dyDescent="0.25">
      <c r="A17" s="2292" t="s">
        <v>64</v>
      </c>
      <c r="B17" s="2293"/>
      <c r="C17" s="1733"/>
      <c r="D17" s="1664"/>
      <c r="E17" s="1733"/>
      <c r="F17" s="1732">
        <f>SUM(C17+D17)-E17</f>
        <v>0</v>
      </c>
    </row>
    <row r="18" spans="1:11" ht="12.75" customHeight="1" thickTop="1" thickBot="1" x14ac:dyDescent="0.25">
      <c r="A18" s="2292" t="s">
        <v>6</v>
      </c>
      <c r="B18" s="2293"/>
      <c r="C18" s="1733"/>
      <c r="D18" s="1664"/>
      <c r="E18" s="1733"/>
      <c r="F18" s="1732">
        <f>SUM(C18+D18)-E18</f>
        <v>0</v>
      </c>
    </row>
    <row r="19" spans="1:11" ht="12.75" customHeight="1" thickTop="1" thickBot="1" x14ac:dyDescent="0.25">
      <c r="A19" s="2292" t="s">
        <v>385</v>
      </c>
      <c r="B19" s="2293"/>
      <c r="C19" s="1733"/>
      <c r="D19" s="1664"/>
      <c r="E19" s="1733"/>
      <c r="F19" s="1732">
        <f>SUM(C19+D19)-E19</f>
        <v>0</v>
      </c>
    </row>
    <row r="20" spans="1:11" ht="12.75" customHeight="1" thickTop="1" thickBot="1" x14ac:dyDescent="0.25">
      <c r="A20" s="2292" t="s">
        <v>445</v>
      </c>
      <c r="B20" s="2293"/>
      <c r="C20" s="1733"/>
      <c r="D20" s="1664"/>
      <c r="E20" s="1733"/>
      <c r="F20" s="1732">
        <f>SUM(C20+D20)-E20</f>
        <v>0</v>
      </c>
    </row>
    <row r="21" spans="1:11" ht="14.25" thickTop="1" thickBot="1" x14ac:dyDescent="0.25">
      <c r="A21" s="2297" t="s">
        <v>628</v>
      </c>
      <c r="B21" s="2298"/>
      <c r="C21" s="1732">
        <f>SUM(C17:C20)</f>
        <v>0</v>
      </c>
      <c r="D21" s="1732">
        <f>SUM(D17:D20)</f>
        <v>0</v>
      </c>
      <c r="E21" s="1732">
        <f>SUM(E17:E20)</f>
        <v>0</v>
      </c>
      <c r="F21" s="1732">
        <f>SUM(F17:F20)</f>
        <v>0</v>
      </c>
      <c r="G21" s="473"/>
    </row>
    <row r="22" spans="1:11" ht="15.75" customHeight="1" thickTop="1" x14ac:dyDescent="0.2">
      <c r="A22" s="2299" t="s">
        <v>1103</v>
      </c>
      <c r="B22" s="2300"/>
      <c r="C22" s="2294"/>
      <c r="D22" s="2295"/>
      <c r="E22" s="2295"/>
      <c r="F22" s="2296"/>
    </row>
    <row r="23" spans="1:11" ht="13.5" thickBot="1" x14ac:dyDescent="0.25">
      <c r="A23" s="2301" t="s">
        <v>629</v>
      </c>
      <c r="B23" s="2302"/>
      <c r="C23" s="1656"/>
      <c r="D23" s="1656"/>
      <c r="E23" s="1656"/>
      <c r="F23" s="1732">
        <f>SUM(C23+D23)-E23</f>
        <v>0</v>
      </c>
      <c r="G23" s="473"/>
    </row>
    <row r="24" spans="1:11" ht="15.75" customHeight="1" thickTop="1" x14ac:dyDescent="0.2">
      <c r="A24" s="2299" t="s">
        <v>2006</v>
      </c>
      <c r="B24" s="2300"/>
      <c r="C24" s="2294"/>
      <c r="D24" s="2295"/>
      <c r="E24" s="2295"/>
      <c r="F24" s="2296"/>
    </row>
    <row r="25" spans="1:11" ht="13.5" thickBot="1" x14ac:dyDescent="0.25">
      <c r="A25" s="2301" t="s">
        <v>2007</v>
      </c>
      <c r="B25" s="2302"/>
      <c r="C25" s="1656"/>
      <c r="D25" s="1656"/>
      <c r="E25" s="1656"/>
      <c r="F25" s="1732">
        <f>SUM(C25+D25)-E25</f>
        <v>0</v>
      </c>
      <c r="G25" s="473"/>
    </row>
    <row r="26" spans="1:11" ht="15.75" customHeight="1" thickTop="1" x14ac:dyDescent="0.2">
      <c r="A26" s="2305" t="s">
        <v>652</v>
      </c>
      <c r="B26" s="2300"/>
      <c r="C26" s="589"/>
      <c r="D26" s="589"/>
      <c r="E26" s="589"/>
      <c r="F26" s="590"/>
    </row>
    <row r="27" spans="1:11" ht="13.5" thickBot="1" x14ac:dyDescent="0.25">
      <c r="A27" s="2297" t="s">
        <v>1061</v>
      </c>
      <c r="B27" s="2298"/>
      <c r="C27" s="1664"/>
      <c r="D27" s="1664"/>
      <c r="E27" s="1664"/>
      <c r="F27" s="1732">
        <f>SUM(C27+D27)-E27</f>
        <v>0</v>
      </c>
      <c r="G27" s="473"/>
    </row>
    <row r="28" spans="1:11" ht="7.5" customHeight="1" thickTop="1" x14ac:dyDescent="0.2">
      <c r="A28" s="489"/>
    </row>
    <row r="29" spans="1:11" ht="23.25" customHeight="1" x14ac:dyDescent="0.2">
      <c r="A29" s="2303" t="s">
        <v>578</v>
      </c>
      <c r="B29" s="230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2080</v>
      </c>
      <c r="B31" s="595">
        <v>43296</v>
      </c>
      <c r="C31" s="1734">
        <v>249659</v>
      </c>
      <c r="D31" s="1735">
        <v>7</v>
      </c>
      <c r="E31" s="1734">
        <v>205349</v>
      </c>
      <c r="F31" s="1734"/>
      <c r="G31" s="1734"/>
      <c r="H31" s="1734">
        <v>35966</v>
      </c>
      <c r="I31" s="1736">
        <f>((E31+F31)-H31)+G31</f>
        <v>169383</v>
      </c>
      <c r="J31" s="1734">
        <v>169383</v>
      </c>
      <c r="K31" s="596"/>
    </row>
    <row r="32" spans="1:11" ht="12" customHeight="1" x14ac:dyDescent="0.2">
      <c r="A32" s="594" t="s">
        <v>2080</v>
      </c>
      <c r="B32" s="595">
        <v>43296</v>
      </c>
      <c r="C32" s="1734">
        <v>58795</v>
      </c>
      <c r="D32" s="1735">
        <v>7</v>
      </c>
      <c r="E32" s="1734">
        <v>47971</v>
      </c>
      <c r="F32" s="1734"/>
      <c r="G32" s="1734"/>
      <c r="H32" s="1734">
        <v>8770</v>
      </c>
      <c r="I32" s="1736">
        <f>((E32+F32)-H32)+G32</f>
        <v>39201</v>
      </c>
      <c r="J32" s="1734">
        <v>39201</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308454</v>
      </c>
      <c r="D49" s="1742"/>
      <c r="E49" s="1736">
        <f t="shared" ref="E49:J49" si="2">SUM(E31:E48)</f>
        <v>253320</v>
      </c>
      <c r="F49" s="1736">
        <f t="shared" si="2"/>
        <v>0</v>
      </c>
      <c r="G49" s="1736">
        <f t="shared" si="2"/>
        <v>0</v>
      </c>
      <c r="H49" s="1736">
        <f t="shared" si="2"/>
        <v>44736</v>
      </c>
      <c r="I49" s="1736">
        <f t="shared" si="2"/>
        <v>208584</v>
      </c>
      <c r="J49" s="1736">
        <f t="shared" si="2"/>
        <v>208584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6" t="s">
        <v>580</v>
      </c>
      <c r="C52" s="2287"/>
      <c r="D52" s="2287"/>
      <c r="E52" s="603" t="s">
        <v>840</v>
      </c>
      <c r="F52" s="2288" t="s">
        <v>2081</v>
      </c>
      <c r="G52" s="2289"/>
      <c r="H52" s="596"/>
      <c r="I52" s="596"/>
      <c r="J52" s="600"/>
    </row>
    <row r="53" spans="1:11" ht="11.25" customHeight="1" x14ac:dyDescent="0.2">
      <c r="A53" s="604" t="s">
        <v>907</v>
      </c>
      <c r="B53" s="605" t="s">
        <v>945</v>
      </c>
      <c r="C53" s="600"/>
      <c r="D53" s="597"/>
      <c r="E53" s="603" t="s">
        <v>494</v>
      </c>
      <c r="F53" s="2290"/>
      <c r="G53" s="2291"/>
      <c r="H53" s="596"/>
      <c r="I53" s="596"/>
      <c r="J53" s="600"/>
    </row>
    <row r="54" spans="1:11" ht="11.25" customHeight="1" x14ac:dyDescent="0.2">
      <c r="A54" s="606" t="s">
        <v>908</v>
      </c>
      <c r="B54" s="601" t="s">
        <v>946</v>
      </c>
      <c r="C54" s="600"/>
      <c r="D54" s="597"/>
      <c r="E54" s="603" t="s">
        <v>495</v>
      </c>
      <c r="F54" s="2290"/>
      <c r="G54" s="229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 header="0.35" footer="0.05"/>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C69" sqref="C6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5" t="s">
        <v>851</v>
      </c>
      <c r="B1" s="2316"/>
      <c r="C1" s="2316"/>
      <c r="D1" s="2316"/>
      <c r="E1" s="2316"/>
      <c r="F1" s="2316"/>
      <c r="G1" s="2317"/>
      <c r="H1" s="1298"/>
      <c r="I1" s="614"/>
      <c r="J1" s="400"/>
    </row>
    <row r="2" spans="1:11" ht="26.25" x14ac:dyDescent="0.2">
      <c r="A2" s="2334" t="s">
        <v>1658</v>
      </c>
      <c r="B2" s="2335"/>
      <c r="C2" s="2335"/>
      <c r="D2" s="2335"/>
      <c r="E2" s="2336"/>
      <c r="F2" s="615" t="s">
        <v>898</v>
      </c>
      <c r="G2" s="616" t="s">
        <v>1655</v>
      </c>
      <c r="H2" s="616" t="s">
        <v>407</v>
      </c>
      <c r="I2" s="616" t="s">
        <v>1148</v>
      </c>
      <c r="J2" s="616" t="s">
        <v>1789</v>
      </c>
      <c r="K2" s="616" t="s">
        <v>137</v>
      </c>
    </row>
    <row r="3" spans="1:11" x14ac:dyDescent="0.2">
      <c r="A3" s="2337" t="str">
        <f>"Cash Basis Fund Balance as of July 1, "&amp;'AFR20'!E2-1</f>
        <v>Cash Basis Fund Balance as of July 1, 2019</v>
      </c>
      <c r="B3" s="2338"/>
      <c r="C3" s="2338"/>
      <c r="D3" s="2338"/>
      <c r="E3" s="2339"/>
      <c r="F3" s="617"/>
      <c r="G3" s="1744"/>
      <c r="H3" s="1744"/>
      <c r="I3" s="1744"/>
      <c r="J3" s="1745">
        <v>441369</v>
      </c>
      <c r="K3" s="1745"/>
    </row>
    <row r="4" spans="1:11" x14ac:dyDescent="0.2">
      <c r="A4" s="2340" t="s">
        <v>366</v>
      </c>
      <c r="B4" s="2341"/>
      <c r="C4" s="2341"/>
      <c r="D4" s="2341"/>
      <c r="E4" s="2287"/>
      <c r="F4" s="620"/>
      <c r="G4" s="1746"/>
      <c r="H4" s="1747"/>
      <c r="I4" s="1746"/>
      <c r="J4" s="1748"/>
      <c r="K4" s="1748"/>
    </row>
    <row r="5" spans="1:11" x14ac:dyDescent="0.2">
      <c r="A5" s="2318" t="s">
        <v>1060</v>
      </c>
      <c r="B5" s="2319"/>
      <c r="C5" s="2319"/>
      <c r="D5" s="2319"/>
      <c r="E5" s="2320"/>
      <c r="F5" s="622" t="s">
        <v>843</v>
      </c>
      <c r="G5" s="1749"/>
      <c r="H5" s="1744">
        <v>30437</v>
      </c>
      <c r="I5" s="1750"/>
      <c r="J5" s="1751"/>
      <c r="K5" s="1751"/>
    </row>
    <row r="6" spans="1:11" x14ac:dyDescent="0.2">
      <c r="A6" s="625" t="s">
        <v>715</v>
      </c>
      <c r="B6" s="626"/>
      <c r="C6" s="626"/>
      <c r="D6" s="626"/>
      <c r="E6" s="627"/>
      <c r="F6" s="628" t="s">
        <v>844</v>
      </c>
      <c r="G6" s="1744"/>
      <c r="H6" s="1744"/>
      <c r="I6" s="1744"/>
      <c r="J6" s="1745">
        <v>230</v>
      </c>
      <c r="K6" s="1745"/>
    </row>
    <row r="7" spans="1:11" x14ac:dyDescent="0.2">
      <c r="A7" s="629" t="s">
        <v>244</v>
      </c>
      <c r="B7" s="630"/>
      <c r="C7" s="630"/>
      <c r="D7" s="630"/>
      <c r="E7" s="631"/>
      <c r="F7" s="622" t="s">
        <v>845</v>
      </c>
      <c r="G7" s="1746"/>
      <c r="H7" s="1746"/>
      <c r="I7" s="1746"/>
      <c r="J7" s="1752"/>
      <c r="K7" s="1745">
        <v>450</v>
      </c>
    </row>
    <row r="8" spans="1:11" x14ac:dyDescent="0.2">
      <c r="A8" s="629" t="s">
        <v>342</v>
      </c>
      <c r="B8" s="630"/>
      <c r="C8" s="630"/>
      <c r="D8" s="630"/>
      <c r="E8" s="631"/>
      <c r="F8" s="622" t="s">
        <v>846</v>
      </c>
      <c r="G8" s="1753"/>
      <c r="H8" s="1753"/>
      <c r="I8" s="1753"/>
      <c r="J8" s="1745">
        <v>102749</v>
      </c>
      <c r="K8" s="1748"/>
    </row>
    <row r="9" spans="1:11" x14ac:dyDescent="0.2">
      <c r="A9" s="629" t="s">
        <v>137</v>
      </c>
      <c r="B9" s="630"/>
      <c r="C9" s="630"/>
      <c r="D9" s="630"/>
      <c r="E9" s="631"/>
      <c r="F9" s="628" t="s">
        <v>848</v>
      </c>
      <c r="G9" s="1753"/>
      <c r="H9" s="1749"/>
      <c r="I9" s="1749"/>
      <c r="J9" s="1752"/>
      <c r="K9" s="1745">
        <v>2458</v>
      </c>
    </row>
    <row r="10" spans="1:11" x14ac:dyDescent="0.2">
      <c r="A10" s="2318" t="s">
        <v>1790</v>
      </c>
      <c r="B10" s="2319"/>
      <c r="C10" s="2319"/>
      <c r="D10" s="2319"/>
      <c r="E10" s="2321"/>
      <c r="F10" s="633" t="s">
        <v>857</v>
      </c>
      <c r="G10" s="1753"/>
      <c r="H10" s="1754"/>
      <c r="I10" s="1744"/>
      <c r="J10" s="1745"/>
      <c r="K10" s="1745"/>
    </row>
    <row r="11" spans="1:11" x14ac:dyDescent="0.2">
      <c r="A11" s="2318" t="s">
        <v>159</v>
      </c>
      <c r="B11" s="2319"/>
      <c r="C11" s="2319"/>
      <c r="D11" s="2319"/>
      <c r="E11" s="2320"/>
      <c r="F11" s="622" t="s">
        <v>847</v>
      </c>
      <c r="G11" s="1749"/>
      <c r="H11" s="1744"/>
      <c r="I11" s="1744"/>
      <c r="J11" s="1745"/>
      <c r="K11" s="1751"/>
    </row>
    <row r="12" spans="1:11" ht="13.5" thickBot="1" x14ac:dyDescent="0.25">
      <c r="A12" s="2345" t="s">
        <v>899</v>
      </c>
      <c r="B12" s="2346"/>
      <c r="C12" s="2346"/>
      <c r="D12" s="2346"/>
      <c r="E12" s="2347"/>
      <c r="F12" s="1433"/>
      <c r="G12" s="1755">
        <f>SUM(G5:G11)</f>
        <v>0</v>
      </c>
      <c r="H12" s="1755">
        <f>SUM(H5:H11)</f>
        <v>30437</v>
      </c>
      <c r="I12" s="1755">
        <f>SUM(I5:I11)</f>
        <v>0</v>
      </c>
      <c r="J12" s="1755">
        <f>SUM(J5:J11)</f>
        <v>102979</v>
      </c>
      <c r="K12" s="1755">
        <f>SUM(K5:K11)</f>
        <v>2908</v>
      </c>
    </row>
    <row r="13" spans="1:11" ht="13.5" thickTop="1" x14ac:dyDescent="0.2">
      <c r="A13" s="2342" t="s">
        <v>367</v>
      </c>
      <c r="B13" s="2343"/>
      <c r="C13" s="2343"/>
      <c r="D13" s="2343"/>
      <c r="E13" s="2344"/>
      <c r="F13" s="634"/>
      <c r="G13" s="1756"/>
      <c r="H13" s="1757"/>
      <c r="I13" s="1758"/>
      <c r="J13" s="1758"/>
      <c r="K13" s="1758"/>
    </row>
    <row r="14" spans="1:11" x14ac:dyDescent="0.2">
      <c r="A14" s="2325" t="s">
        <v>453</v>
      </c>
      <c r="B14" s="2325"/>
      <c r="C14" s="2325"/>
      <c r="D14" s="2325"/>
      <c r="E14" s="2326"/>
      <c r="F14" s="635" t="s">
        <v>849</v>
      </c>
      <c r="G14" s="1753"/>
      <c r="H14" s="1744">
        <v>30437</v>
      </c>
      <c r="I14" s="1749"/>
      <c r="J14" s="1751"/>
      <c r="K14" s="1745">
        <v>2908</v>
      </c>
    </row>
    <row r="15" spans="1:11" x14ac:dyDescent="0.2">
      <c r="A15" s="2319" t="s">
        <v>4</v>
      </c>
      <c r="B15" s="2319"/>
      <c r="C15" s="2319"/>
      <c r="D15" s="2319"/>
      <c r="E15" s="2320"/>
      <c r="F15" s="635" t="s">
        <v>850</v>
      </c>
      <c r="G15" s="1749"/>
      <c r="H15" s="1744"/>
      <c r="I15" s="1744"/>
      <c r="J15" s="1745">
        <v>135065</v>
      </c>
      <c r="K15" s="1745"/>
    </row>
    <row r="16" spans="1:11" x14ac:dyDescent="0.2">
      <c r="A16" s="2319" t="s">
        <v>295</v>
      </c>
      <c r="B16" s="2319"/>
      <c r="C16" s="2319"/>
      <c r="D16" s="2319"/>
      <c r="E16" s="2320"/>
      <c r="F16" s="635" t="s">
        <v>917</v>
      </c>
      <c r="G16" s="1750"/>
      <c r="H16" s="1746"/>
      <c r="I16" s="1746"/>
      <c r="J16" s="1748"/>
      <c r="K16" s="1748"/>
    </row>
    <row r="17" spans="1:15" x14ac:dyDescent="0.2">
      <c r="A17" s="2352" t="s">
        <v>929</v>
      </c>
      <c r="B17" s="2352"/>
      <c r="C17" s="2352"/>
      <c r="D17" s="2352"/>
      <c r="E17" s="2353"/>
      <c r="F17" s="636"/>
      <c r="G17" s="1759"/>
      <c r="H17" s="1760"/>
      <c r="I17" s="1760"/>
      <c r="J17" s="1761"/>
      <c r="K17" s="1762"/>
    </row>
    <row r="18" spans="1:15" x14ac:dyDescent="0.2">
      <c r="A18" s="2329" t="s">
        <v>365</v>
      </c>
      <c r="B18" s="2330"/>
      <c r="C18" s="2330"/>
      <c r="D18" s="2330"/>
      <c r="E18" s="2331"/>
      <c r="F18" s="635" t="s">
        <v>926</v>
      </c>
      <c r="G18" s="1753"/>
      <c r="H18" s="1753"/>
      <c r="I18" s="1753"/>
      <c r="J18" s="1745"/>
      <c r="K18" s="1763"/>
    </row>
    <row r="19" spans="1:15" ht="21.75" customHeight="1" x14ac:dyDescent="0.2">
      <c r="A19" s="2327" t="s">
        <v>1786</v>
      </c>
      <c r="B19" s="2327"/>
      <c r="C19" s="2327"/>
      <c r="D19" s="2327"/>
      <c r="E19" s="2328"/>
      <c r="F19" s="635" t="s">
        <v>927</v>
      </c>
      <c r="G19" s="1753"/>
      <c r="H19" s="1753"/>
      <c r="I19" s="1753"/>
      <c r="J19" s="1745"/>
      <c r="K19" s="1763"/>
    </row>
    <row r="20" spans="1:15" x14ac:dyDescent="0.2">
      <c r="A20" s="2329" t="s">
        <v>1791</v>
      </c>
      <c r="B20" s="2330"/>
      <c r="C20" s="2330"/>
      <c r="D20" s="2330"/>
      <c r="E20" s="2331"/>
      <c r="F20" s="635" t="s">
        <v>928</v>
      </c>
      <c r="G20" s="1753"/>
      <c r="H20" s="1753"/>
      <c r="I20" s="1753"/>
      <c r="J20" s="1745"/>
      <c r="K20" s="1763"/>
    </row>
    <row r="21" spans="1:15" ht="13.5" thickBot="1" x14ac:dyDescent="0.25">
      <c r="A21" s="2348" t="s">
        <v>633</v>
      </c>
      <c r="B21" s="2348"/>
      <c r="C21" s="2348"/>
      <c r="D21" s="2348"/>
      <c r="E21" s="2348"/>
      <c r="F21" s="1434"/>
      <c r="G21" s="1760"/>
      <c r="H21" s="1764"/>
      <c r="I21" s="1764"/>
      <c r="J21" s="1765">
        <f>SUM(J18:J20)</f>
        <v>0</v>
      </c>
      <c r="K21" s="1761"/>
    </row>
    <row r="22" spans="1:15" ht="13.5" thickTop="1" x14ac:dyDescent="0.2">
      <c r="A22" s="2319" t="s">
        <v>1792</v>
      </c>
      <c r="B22" s="2319"/>
      <c r="C22" s="2319"/>
      <c r="D22" s="2319"/>
      <c r="E22" s="2320"/>
      <c r="F22" s="635" t="s">
        <v>857</v>
      </c>
      <c r="G22" s="1753"/>
      <c r="H22" s="1744"/>
      <c r="I22" s="1744"/>
      <c r="J22" s="1766"/>
      <c r="K22" s="1745"/>
    </row>
    <row r="23" spans="1:15" ht="13.5" thickBot="1" x14ac:dyDescent="0.25">
      <c r="A23" s="2349" t="s">
        <v>900</v>
      </c>
      <c r="B23" s="2348"/>
      <c r="C23" s="2348"/>
      <c r="D23" s="2348"/>
      <c r="E23" s="2348"/>
      <c r="F23" s="1436"/>
      <c r="G23" s="1755">
        <f>SUM(G14:G16,G21,G22)</f>
        <v>0</v>
      </c>
      <c r="H23" s="1755">
        <f>SUM(H14:H16,H21,H22)</f>
        <v>30437</v>
      </c>
      <c r="I23" s="1755">
        <f>SUM(I14:I16,I21,I22)</f>
        <v>0</v>
      </c>
      <c r="J23" s="1755">
        <f>SUM(J14:J16,J21,J22)</f>
        <v>135065</v>
      </c>
      <c r="K23" s="1755">
        <f>SUM(K14:K16,K21,K22)</f>
        <v>2908</v>
      </c>
      <c r="M23" s="1846"/>
      <c r="N23" s="1846"/>
      <c r="O23" s="1846"/>
    </row>
    <row r="24" spans="1:15" ht="14.25" thickTop="1" thickBot="1" x14ac:dyDescent="0.25">
      <c r="A24" s="2350" t="str">
        <f>"Ending Cash Basis Fund Balance as of June 30, "&amp;'AFR20'!E2</f>
        <v>Ending Cash Basis Fund Balance as of June 30, 2020</v>
      </c>
      <c r="B24" s="2351"/>
      <c r="C24" s="2351"/>
      <c r="D24" s="2351"/>
      <c r="E24" s="2351"/>
      <c r="F24" s="1437"/>
      <c r="G24" s="1767">
        <f>SUM(G3,G12)-G23</f>
        <v>0</v>
      </c>
      <c r="H24" s="1767">
        <f>SUM(H3,H12)-H23</f>
        <v>0</v>
      </c>
      <c r="I24" s="1767">
        <f>SUM(I3,I12)-I23</f>
        <v>0</v>
      </c>
      <c r="J24" s="1767">
        <f>SUM(J3,J12)-J23</f>
        <v>409283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409283</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22"/>
      <c r="I31" s="2323"/>
      <c r="J31" s="2323"/>
      <c r="K31" s="2323"/>
    </row>
    <row r="32" spans="1:15" x14ac:dyDescent="0.2">
      <c r="A32" s="649"/>
      <c r="B32" s="232"/>
      <c r="C32" s="232"/>
      <c r="D32" s="232"/>
      <c r="E32" s="645"/>
      <c r="F32" s="651" t="s">
        <v>537</v>
      </c>
      <c r="G32" s="618"/>
      <c r="H32" s="2324"/>
      <c r="I32" s="2323"/>
      <c r="J32" s="2323"/>
      <c r="K32" s="2323"/>
    </row>
    <row r="33" spans="1:11" ht="1.5" customHeight="1" x14ac:dyDescent="0.2">
      <c r="A33" s="652" t="s">
        <v>1159</v>
      </c>
      <c r="B33" s="341"/>
      <c r="C33" s="341"/>
      <c r="D33" s="341"/>
      <c r="E33" s="341"/>
      <c r="F33" s="341"/>
      <c r="G33" s="653"/>
      <c r="H33" s="2324"/>
      <c r="I33" s="2323"/>
      <c r="J33" s="2323"/>
      <c r="K33" s="232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32"/>
      <c r="C41" s="2332"/>
      <c r="D41" s="2332"/>
      <c r="E41" s="2332"/>
      <c r="F41" s="233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25" right="0.25" top="0.75" bottom="0.5" header="0.45" footer="0.1"/>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69" sqref="C6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6" t="s">
        <v>1875</v>
      </c>
      <c r="B1" s="2357"/>
      <c r="C1" s="2358"/>
      <c r="D1" s="666"/>
      <c r="E1" s="667"/>
      <c r="F1" s="667"/>
      <c r="G1" s="668"/>
      <c r="H1" s="669"/>
      <c r="I1" s="670"/>
      <c r="J1" s="2354"/>
      <c r="K1" s="2355"/>
      <c r="L1" s="235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10588</v>
      </c>
      <c r="D5" s="1770"/>
      <c r="E5" s="1770"/>
      <c r="F5" s="1765">
        <f>(C5+D5)-E5</f>
        <v>10588</v>
      </c>
      <c r="G5" s="676"/>
      <c r="H5" s="680"/>
      <c r="I5" s="680"/>
      <c r="J5" s="680"/>
      <c r="K5" s="637"/>
      <c r="L5" s="1442">
        <f>F5-K5</f>
        <v>10588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f>2230428+1</f>
        <v>2230429</v>
      </c>
      <c r="D8" s="1771"/>
      <c r="E8" s="1771"/>
      <c r="F8" s="1765">
        <f>(C8+D8)-E8</f>
        <v>2230429</v>
      </c>
      <c r="G8" s="681">
        <v>50</v>
      </c>
      <c r="H8" s="619">
        <v>1479247</v>
      </c>
      <c r="I8" s="619">
        <v>28071</v>
      </c>
      <c r="J8" s="619"/>
      <c r="K8" s="1442">
        <f>(H8+I8)-J8</f>
        <v>1507318</v>
      </c>
      <c r="L8" s="1442">
        <f>F8-K8</f>
        <v>723111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160104</v>
      </c>
      <c r="D10" s="1772"/>
      <c r="E10" s="1772"/>
      <c r="F10" s="1773">
        <f>(C10+D10)-E10</f>
        <v>160104</v>
      </c>
      <c r="G10" s="681">
        <v>20</v>
      </c>
      <c r="H10" s="683">
        <v>158535</v>
      </c>
      <c r="I10" s="683">
        <v>1166</v>
      </c>
      <c r="J10" s="683"/>
      <c r="K10" s="1442">
        <f>(H10+I10)-J10</f>
        <v>159701</v>
      </c>
      <c r="L10" s="1442">
        <f>F10-K10</f>
        <v>403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1122077</v>
      </c>
      <c r="D12" s="1771">
        <v>62926</v>
      </c>
      <c r="E12" s="1771"/>
      <c r="F12" s="1765">
        <f>(C12+D12)-E12</f>
        <v>1185003</v>
      </c>
      <c r="G12" s="681">
        <v>10</v>
      </c>
      <c r="H12" s="619">
        <v>981916</v>
      </c>
      <c r="I12" s="619">
        <v>38084</v>
      </c>
      <c r="J12" s="619"/>
      <c r="K12" s="1442">
        <f>(H12+I12)-J12</f>
        <v>1020000</v>
      </c>
      <c r="L12" s="1442">
        <f>F12-K12</f>
        <v>165003</v>
      </c>
    </row>
    <row r="13" spans="1:14" ht="14.25" thickTop="1" thickBot="1" x14ac:dyDescent="0.25">
      <c r="A13" s="684" t="s">
        <v>1112</v>
      </c>
      <c r="B13" s="679">
        <v>252</v>
      </c>
      <c r="C13" s="1771">
        <v>640829</v>
      </c>
      <c r="D13" s="1771">
        <v>55134</v>
      </c>
      <c r="E13" s="1771"/>
      <c r="F13" s="1765">
        <f>(C13+D13)-E13</f>
        <v>695963</v>
      </c>
      <c r="G13" s="681">
        <v>5</v>
      </c>
      <c r="H13" s="619">
        <v>504409</v>
      </c>
      <c r="I13" s="619">
        <v>59692</v>
      </c>
      <c r="J13" s="619"/>
      <c r="K13" s="1442">
        <f>(H13+I13)-J13</f>
        <v>564101</v>
      </c>
      <c r="L13" s="1442">
        <f>F13-K13</f>
        <v>131862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4164027</v>
      </c>
      <c r="D16" s="1765">
        <f>SUM(D3,D5:D6,D8:D10,D12:D15)</f>
        <v>118060</v>
      </c>
      <c r="E16" s="1765">
        <f>SUM(E3,E5:E6,E8:E10,E12:E15)</f>
        <v>0</v>
      </c>
      <c r="F16" s="1765">
        <f>SUM(F3,F5:F6,F8:F10,F12:F15)</f>
        <v>4282087</v>
      </c>
      <c r="G16" s="681"/>
      <c r="H16" s="1435">
        <f>SUM(H3,H6,H8:H10,H12:H14,)</f>
        <v>3124107</v>
      </c>
      <c r="I16" s="1435">
        <f>SUM(I3,I6,I8:I10,I12:I14,)</f>
        <v>127013</v>
      </c>
      <c r="J16" s="1435">
        <f>SUM(J3,J6,J8:J10,J12:J14,)</f>
        <v>0</v>
      </c>
      <c r="K16" s="1435">
        <f>(H16+I16)-J16</f>
        <v>3251120</v>
      </c>
      <c r="L16" s="1435">
        <f>F16-K16</f>
        <v>1030967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127013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4" colorId="8" zoomScale="110" zoomScaleNormal="110" workbookViewId="0">
      <selection activeCell="C69" sqref="C6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2" t="str">
        <f>"ESTIMATED OPERATING EXPENSE PER PUPIL (OEPP)/PER CAPITA TUITION CHARGE (PCTC) COMPUTATIONS ("&amp;'AFR20'!E2-1&amp;" - "&amp;'AFR20'!E2&amp;")"</f>
        <v>ESTIMATED OPERATING EXPENSE PER PUPIL (OEPP)/PER CAPITA TUITION CHARGE (PCTC) COMPUTATIONS (2019 - 2020)</v>
      </c>
      <c r="B1" s="2363"/>
      <c r="C1" s="2363"/>
      <c r="D1" s="2363"/>
      <c r="E1" s="2363"/>
      <c r="F1" s="2364"/>
      <c r="G1" s="691"/>
      <c r="I1" s="701"/>
    </row>
    <row r="2" spans="1:9" ht="15" customHeight="1" thickBot="1" x14ac:dyDescent="0.25">
      <c r="A2" s="2365" t="s">
        <v>474</v>
      </c>
      <c r="B2" s="2366"/>
      <c r="C2" s="2366"/>
      <c r="D2" s="2366"/>
      <c r="E2" s="2366"/>
      <c r="F2" s="236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8"/>
      <c r="B5" s="2369"/>
      <c r="C5" s="2369"/>
      <c r="D5" s="2369"/>
      <c r="E5" s="2369"/>
      <c r="F5" s="2369"/>
    </row>
    <row r="6" spans="1:9" ht="13.5" customHeight="1" thickBot="1" x14ac:dyDescent="0.25">
      <c r="A6" s="2359" t="s">
        <v>1095</v>
      </c>
      <c r="B6" s="2360"/>
      <c r="C6" s="2360"/>
      <c r="D6" s="2360"/>
      <c r="E6" s="2360"/>
      <c r="F6" s="236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2118086</v>
      </c>
      <c r="G8" s="701"/>
    </row>
    <row r="9" spans="1:9" x14ac:dyDescent="0.2">
      <c r="A9" s="705" t="s">
        <v>457</v>
      </c>
      <c r="B9" s="706" t="s">
        <v>1848</v>
      </c>
      <c r="C9" s="707"/>
      <c r="D9" s="705" t="s">
        <v>498</v>
      </c>
      <c r="E9" s="704"/>
      <c r="F9" s="1775">
        <f>'Expenditures 15-22'!K151</f>
        <v>350247</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155825</v>
      </c>
      <c r="G11" s="708"/>
    </row>
    <row r="12" spans="1:9" x14ac:dyDescent="0.2">
      <c r="A12" s="705" t="s">
        <v>459</v>
      </c>
      <c r="B12" s="706" t="s">
        <v>1851</v>
      </c>
      <c r="C12" s="707"/>
      <c r="D12" s="705" t="s">
        <v>498</v>
      </c>
      <c r="E12" s="704"/>
      <c r="F12" s="1775">
        <f>'Expenditures 15-22'!K295</f>
        <v>56125</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2680283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92833</v>
      </c>
      <c r="G53" s="701"/>
    </row>
    <row r="54" spans="1:7" x14ac:dyDescent="0.2">
      <c r="A54" s="705" t="s">
        <v>456</v>
      </c>
      <c r="B54" s="705" t="s">
        <v>1459</v>
      </c>
      <c r="C54" s="724" t="s">
        <v>975</v>
      </c>
      <c r="D54" s="720" t="s">
        <v>1086</v>
      </c>
      <c r="E54" s="704"/>
      <c r="F54" s="1782">
        <f>'Expenditures 15-22'!G114</f>
        <v>2569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6000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55134</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156536</v>
      </c>
      <c r="G77" s="701"/>
    </row>
    <row r="78" spans="1:9" s="728" customFormat="1" ht="12" customHeight="1" thickTop="1" thickBot="1" x14ac:dyDescent="0.25">
      <c r="A78" s="1450"/>
      <c r="B78" s="1448"/>
      <c r="C78" s="1445"/>
      <c r="D78" s="1449" t="s">
        <v>2012</v>
      </c>
      <c r="E78" s="1447"/>
      <c r="F78" s="1788">
        <f>(F14-F77)</f>
        <v>2523747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100</v>
      </c>
      <c r="G79" s="733"/>
      <c r="H79" s="705"/>
      <c r="I79" s="705"/>
    </row>
    <row r="80" spans="1:9" s="728" customFormat="1" ht="12" customHeight="1" thickBot="1" x14ac:dyDescent="0.25">
      <c r="A80" s="1452"/>
      <c r="B80" s="1448"/>
      <c r="C80" s="1445"/>
      <c r="D80" s="1449" t="s">
        <v>2013</v>
      </c>
      <c r="E80" s="1447" t="s">
        <v>952</v>
      </c>
      <c r="F80" s="1790">
        <f>IF(F79&gt;0,F78/F79," Complete Line 79")</f>
        <v>25237.47</v>
      </c>
      <c r="G80" s="705"/>
    </row>
    <row r="81" spans="1:7" s="728" customFormat="1" ht="8.25" customHeight="1" thickTop="1" x14ac:dyDescent="0.2">
      <c r="A81" s="734"/>
      <c r="B81" s="705"/>
      <c r="C81" s="707"/>
      <c r="D81" s="735"/>
      <c r="E81" s="704"/>
      <c r="F81" s="1791"/>
      <c r="G81" s="705"/>
    </row>
    <row r="82" spans="1:7" s="728" customFormat="1" ht="12" thickBot="1" x14ac:dyDescent="0.25">
      <c r="A82" s="2359" t="s">
        <v>1096</v>
      </c>
      <c r="B82" s="2360"/>
      <c r="C82" s="2360"/>
      <c r="D82" s="2360"/>
      <c r="E82" s="2360"/>
      <c r="F82" s="236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41643</v>
      </c>
      <c r="G95" s="745"/>
    </row>
    <row r="96" spans="1:7" x14ac:dyDescent="0.2">
      <c r="A96" s="741" t="s">
        <v>139</v>
      </c>
      <c r="B96" s="741" t="s">
        <v>174</v>
      </c>
      <c r="C96" s="743">
        <v>1700</v>
      </c>
      <c r="D96" s="751" t="str">
        <f>'Revenues 9-14'!A82</f>
        <v>Total District/School Activity Income</v>
      </c>
      <c r="E96" s="739"/>
      <c r="F96" s="1793">
        <f>SUM('Revenues 9-14'!C82,'Revenues 9-14'!D82)</f>
        <v>11186</v>
      </c>
      <c r="G96" s="745"/>
    </row>
    <row r="97" spans="1:7" x14ac:dyDescent="0.2">
      <c r="A97" s="741" t="s">
        <v>456</v>
      </c>
      <c r="B97" s="741" t="s">
        <v>175</v>
      </c>
      <c r="C97" s="743">
        <f>'Revenues 9-14'!B84</f>
        <v>1811</v>
      </c>
      <c r="D97" s="744" t="str">
        <f>'Revenues 9-14'!A84</f>
        <v>Rentals - Regular Textbooks</v>
      </c>
      <c r="E97" s="739"/>
      <c r="F97" s="1793">
        <f>'Revenues 9-14'!C84</f>
        <v>13891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9706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832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2458</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59448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99259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34226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42432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750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51395</v>
      </c>
      <c r="G172" s="760"/>
    </row>
    <row r="173" spans="1:7" x14ac:dyDescent="0.2">
      <c r="A173" s="1529" t="s">
        <v>659</v>
      </c>
      <c r="B173" s="1530" t="s">
        <v>1885</v>
      </c>
      <c r="C173" s="1531">
        <v>3300</v>
      </c>
      <c r="D173" s="1532" t="s">
        <v>1888</v>
      </c>
      <c r="E173" s="739"/>
      <c r="F173" s="1794">
        <v>51814</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469040</v>
      </c>
    </row>
    <row r="176" spans="1:7" ht="12" customHeight="1" x14ac:dyDescent="0.2">
      <c r="A176" s="1443"/>
      <c r="B176" s="1453"/>
      <c r="C176" s="1454"/>
      <c r="D176" s="1455" t="s">
        <v>2014</v>
      </c>
      <c r="E176" s="1456"/>
      <c r="F176" s="1793">
        <f>'PCTC-OEPP 27-28'!F78-F175</f>
        <v>2054707</v>
      </c>
    </row>
    <row r="177" spans="1:9" ht="12" customHeight="1" x14ac:dyDescent="0.2">
      <c r="A177" s="1443"/>
      <c r="B177" s="1453"/>
      <c r="C177" s="1454"/>
      <c r="D177" s="1455" t="s">
        <v>1794</v>
      </c>
      <c r="E177" s="1456"/>
      <c r="F177" s="1793">
        <f>'Cap Outlay Deprec 26'!I18</f>
        <v>127013</v>
      </c>
    </row>
    <row r="178" spans="1:9" ht="12" customHeight="1" x14ac:dyDescent="0.2">
      <c r="A178" s="1443"/>
      <c r="B178" s="1453"/>
      <c r="C178" s="1454"/>
      <c r="D178" s="1455" t="s">
        <v>2015</v>
      </c>
      <c r="E178" s="1456"/>
      <c r="F178" s="1793">
        <f>F176+F177</f>
        <v>2181720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100</v>
      </c>
      <c r="G179" s="763"/>
      <c r="I179" s="701"/>
    </row>
    <row r="180" spans="1:9" ht="12" customHeight="1" thickBot="1" x14ac:dyDescent="0.25">
      <c r="A180" s="1443"/>
      <c r="B180" s="1457"/>
      <c r="C180" s="1454"/>
      <c r="D180" s="1455" t="s">
        <v>2017</v>
      </c>
      <c r="E180" s="1456" t="s">
        <v>1528</v>
      </c>
      <c r="F180" s="1798">
        <f>F178/F179</f>
        <v>21817.200000000001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zoomScaleNormal="100" workbookViewId="0">
      <selection activeCell="C69" sqref="C69"/>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3" t="s">
        <v>1795</v>
      </c>
      <c r="B4" s="2374"/>
      <c r="C4" s="2374"/>
      <c r="D4" s="2374"/>
      <c r="E4" s="2374"/>
      <c r="F4" s="2375"/>
    </row>
    <row r="5" spans="1:6" x14ac:dyDescent="0.25">
      <c r="A5" s="2376"/>
      <c r="B5" s="2377"/>
      <c r="C5" s="2377"/>
      <c r="D5" s="2377"/>
      <c r="E5" s="2377"/>
      <c r="F5" s="2378"/>
    </row>
    <row r="6" spans="1:6" ht="18.75" x14ac:dyDescent="0.25">
      <c r="A6" s="1867" t="s">
        <v>1796</v>
      </c>
      <c r="B6" s="1868"/>
      <c r="C6" s="1869"/>
      <c r="D6" s="1869"/>
      <c r="E6" s="1869"/>
      <c r="F6" s="1870"/>
    </row>
    <row r="7" spans="1:6" ht="47.25" customHeight="1" x14ac:dyDescent="0.25">
      <c r="A7" s="2379" t="s">
        <v>1985</v>
      </c>
      <c r="B7" s="2380"/>
      <c r="C7" s="2380"/>
      <c r="D7" s="2380"/>
      <c r="E7" s="2380"/>
      <c r="F7" s="2381"/>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2" t="s">
        <v>1981</v>
      </c>
      <c r="B10" s="2383"/>
      <c r="C10" s="2383"/>
      <c r="D10" s="2383"/>
      <c r="E10" s="2383"/>
      <c r="F10" s="2384"/>
    </row>
    <row r="11" spans="1:6" ht="33" customHeight="1" x14ac:dyDescent="0.25">
      <c r="A11" s="2379" t="s">
        <v>1986</v>
      </c>
      <c r="B11" s="2380"/>
      <c r="C11" s="2380"/>
      <c r="D11" s="2380"/>
      <c r="E11" s="2380"/>
      <c r="F11" s="2381"/>
    </row>
    <row r="12" spans="1:6" ht="15" customHeight="1" x14ac:dyDescent="0.25">
      <c r="A12" s="1873" t="s">
        <v>1982</v>
      </c>
      <c r="B12" s="1874"/>
      <c r="C12" s="1875"/>
      <c r="D12" s="1875"/>
      <c r="E12" s="1875"/>
      <c r="F12" s="1876"/>
    </row>
    <row r="13" spans="1:6" ht="17.25" customHeight="1" x14ac:dyDescent="0.25">
      <c r="A13" s="2379" t="s">
        <v>1983</v>
      </c>
      <c r="B13" s="2380"/>
      <c r="C13" s="2380"/>
      <c r="D13" s="2380"/>
      <c r="E13" s="2380"/>
      <c r="F13" s="2381"/>
    </row>
    <row r="14" spans="1:6" ht="15" customHeight="1" x14ac:dyDescent="0.25">
      <c r="A14" s="1873" t="s">
        <v>1800</v>
      </c>
      <c r="B14" s="1874"/>
      <c r="C14" s="1875"/>
      <c r="D14" s="1875"/>
      <c r="E14" s="1875"/>
      <c r="F14" s="1876"/>
    </row>
    <row r="15" spans="1:6" ht="32.25" customHeight="1" x14ac:dyDescent="0.25">
      <c r="A15" s="237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1"/>
      <c r="C15" s="2371"/>
      <c r="D15" s="2371"/>
      <c r="E15" s="2371"/>
      <c r="F15" s="237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2073</v>
      </c>
      <c r="B18" s="1907"/>
      <c r="C18" s="2035"/>
      <c r="D18" s="1885"/>
      <c r="E18" s="1905">
        <f t="shared" ref="E18:E33" si="0">IF(D18&lt;25000,D18,"25,000")</f>
        <v>0</v>
      </c>
      <c r="F18" s="1905" t="str">
        <f t="shared" ref="F18:F33" si="1">IF(D18&gt;=25000,(D18-E18),"0")</f>
        <v>0</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E36" si="2">IF(D34&lt;25000,D34,"25,000")</f>
        <v>0</v>
      </c>
      <c r="F34" s="1905" t="str">
        <f t="shared" ref="F34:F36" si="3">IF(D34&gt;=25000,(D34-E34),"0")</f>
        <v>0</v>
      </c>
    </row>
    <row r="35" spans="1:6" x14ac:dyDescent="0.25">
      <c r="A35" s="1887"/>
      <c r="B35" s="1908"/>
      <c r="C35" s="1888"/>
      <c r="D35" s="1885"/>
      <c r="E35" s="1905">
        <f t="shared" si="2"/>
        <v>0</v>
      </c>
      <c r="F35" s="1905" t="str">
        <f t="shared" si="3"/>
        <v>0</v>
      </c>
    </row>
    <row r="36" spans="1:6" x14ac:dyDescent="0.25">
      <c r="A36" s="1887"/>
      <c r="B36" s="1909"/>
      <c r="C36" s="1888"/>
      <c r="D36" s="1885"/>
      <c r="E36" s="1905">
        <f t="shared" si="2"/>
        <v>0</v>
      </c>
      <c r="F36" s="1905" t="str">
        <f t="shared" si="3"/>
        <v>0</v>
      </c>
    </row>
    <row r="37" spans="1:6" x14ac:dyDescent="0.25">
      <c r="A37" s="1889" t="s">
        <v>155</v>
      </c>
      <c r="B37" s="1910"/>
      <c r="C37" s="1890"/>
      <c r="D37" s="1891">
        <f>SUM(D18:D36)</f>
        <v>0</v>
      </c>
      <c r="E37" s="1892">
        <f>SUM(E18:E36)</f>
        <v>0</v>
      </c>
      <c r="F37" s="1893">
        <f>SUM(F18:F36)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69" sqref="C6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5" t="s">
        <v>1660</v>
      </c>
      <c r="B5" s="2386"/>
      <c r="C5" s="2386"/>
      <c r="D5" s="2386"/>
      <c r="E5" s="2386"/>
      <c r="F5" s="2386"/>
      <c r="G5" s="238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61112</v>
      </c>
      <c r="F10" s="805"/>
      <c r="G10" s="806"/>
      <c r="H10" s="157"/>
      <c r="I10" s="157"/>
    </row>
    <row r="11" spans="1:13" s="542" customFormat="1" ht="22.5" customHeight="1" x14ac:dyDescent="0.2">
      <c r="A11" s="239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1"/>
      <c r="C11" s="2391"/>
      <c r="D11" s="2392"/>
      <c r="E11" s="1801">
        <v>15292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1421776</v>
      </c>
      <c r="F19" s="1802"/>
      <c r="G19" s="1804">
        <f>'Expenditures 15-22'!K33-SUM('Expenditures 15-22'!G33,'Expenditures 15-22'!I33)+'Expenditures 15-22'!D229</f>
        <v>1421776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50746</v>
      </c>
      <c r="F21" s="1805"/>
      <c r="G21" s="1808">
        <f>'Expenditures 15-22'!K42-SUM('Expenditures 15-22'!G42,'Expenditures 15-22'!I42)+'Expenditures 15-22'!K120-SUM('Expenditures 15-22'!G120,'Expenditures 15-22'!I120)+'Expenditures 15-22'!K180-SUM('Expenditures 15-22'!G180,'Expenditures 15-22'!I180)+'Expenditures 15-22'!D238</f>
        <v>50746</v>
      </c>
      <c r="H21" s="817"/>
      <c r="I21" s="157"/>
    </row>
    <row r="22" spans="1:9" s="542" customFormat="1" ht="12" customHeight="1" x14ac:dyDescent="0.2">
      <c r="A22" s="824" t="s">
        <v>560</v>
      </c>
      <c r="B22" s="825"/>
      <c r="C22" s="823">
        <v>2200</v>
      </c>
      <c r="D22" s="1805"/>
      <c r="E22" s="1807">
        <f>'Expenditures 15-22'!K47-SUM('Expenditures 15-22'!G47,'Expenditures 15-22'!I47)+'Expenditures 15-22'!D243</f>
        <v>49903</v>
      </c>
      <c r="F22" s="1805"/>
      <c r="G22" s="1808">
        <f>'Expenditures 15-22'!K47-SUM('Expenditures 15-22'!G47,'Expenditures 15-22'!I47)+'Expenditures 15-22'!D243</f>
        <v>49903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179639</v>
      </c>
      <c r="F23" s="1805"/>
      <c r="G23" s="1807">
        <f>'Expenditures 15-22'!K53-SUM('Expenditures 15-22'!G53,'Expenditures 15-22'!I53)+'Expenditures 15-22'!D257+'Expenditures 15-22'!K330-SUM('Expenditures 15-22'!G330,'Expenditures 15-22'!I330)</f>
        <v>179639</v>
      </c>
      <c r="H23" s="817"/>
      <c r="I23" s="157"/>
    </row>
    <row r="24" spans="1:9" s="542" customFormat="1" ht="12" customHeight="1" x14ac:dyDescent="0.2">
      <c r="A24" s="824" t="s">
        <v>562</v>
      </c>
      <c r="B24" s="825"/>
      <c r="C24" s="823">
        <v>2400</v>
      </c>
      <c r="D24" s="1805"/>
      <c r="E24" s="1807">
        <f>'Expenditures 15-22'!K57-SUM('Expenditures 15-22'!G57,'Expenditures 15-22'!I57)+'Expenditures 15-22'!D261</f>
        <v>145111</v>
      </c>
      <c r="F24" s="1805"/>
      <c r="G24" s="1808">
        <f>'Expenditures 15-22'!K57-SUM('Expenditures 15-22'!G57,'Expenditures 15-22'!I57)+'Expenditures 15-22'!D261</f>
        <v>145111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59976</v>
      </c>
      <c r="E27" s="1807">
        <f>E8</f>
        <v>0</v>
      </c>
      <c r="F27" s="1807">
        <f>'Expenditures 15-22'!K60-SUM('Expenditures 15-22'!G60,'Expenditures 15-22'!I60)+'Expenditures 15-22'!D264-E8</f>
        <v>59976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323818</v>
      </c>
      <c r="F28" s="1809">
        <f>'Expenditures 15-22'!K61-SUM('Expenditures 15-22'!G61,'Expenditures 15-22'!I61)+'Expenditures 15-22'!K124-SUM('Expenditures 15-22'!G124,'Expenditures 15-22'!I124)+'Expenditures 15-22'!D266-E9</f>
        <v>323818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88676</v>
      </c>
      <c r="F29" s="1805"/>
      <c r="G29" s="1808">
        <f>'Expenditures 15-22'!K62-SUM('Expenditures 15-22'!G62,'Expenditures 15-22'!I62)+'Expenditures 15-22'!K125-SUM('Expenditures 15-22'!G125,'Expenditures 15-22'!I125)+'Expenditures 15-22'!K182-SUM('Expenditures 15-22'!G182,'Expenditures 15-22'!I182)+'Expenditures 15-22'!D267</f>
        <v>88676</v>
      </c>
      <c r="H29" s="815"/>
    </row>
    <row r="30" spans="1:9" ht="12" customHeight="1" x14ac:dyDescent="0.2">
      <c r="A30" s="824" t="s">
        <v>100</v>
      </c>
      <c r="B30" s="827"/>
      <c r="C30" s="823">
        <v>2560</v>
      </c>
      <c r="D30" s="1805"/>
      <c r="E30" s="1807">
        <f>'Expenditures 15-22'!K63-SUM('Expenditures 15-22'!G63,'Expenditures 15-22'!I63)+'Expenditures 15-22'!D268-E10</f>
        <v>93209</v>
      </c>
      <c r="F30" s="1805"/>
      <c r="G30" s="1807">
        <f>'Expenditures 15-22'!K63-SUM('Expenditures 15-22'!G63,'Expenditures 15-22'!I63)+'Expenditures 15-22'!D268-E10</f>
        <v>93209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49781</v>
      </c>
      <c r="F38" s="1805"/>
      <c r="G38" s="1807">
        <f>'Expenditures 15-22'!K73-SUM('Expenditures 15-22'!G73,'Expenditures 15-22'!I73)+'Expenditures 15-22'!K128-SUM('Expenditures 15-22'!G128,'Expenditures 15-22'!I128)+'Expenditures 15-22'!K183-SUM('Expenditures 15-22'!G183,'Expenditures 15-22'!I183)+'Expenditures 15-22'!D278</f>
        <v>49781</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29'!F37</f>
        <v>0</v>
      </c>
      <c r="F40" s="1805"/>
      <c r="G40" s="1809">
        <f>-'Contracts Paid in CY 29'!F37</f>
        <v>0</v>
      </c>
    </row>
    <row r="41" spans="1:7" ht="12" customHeight="1" x14ac:dyDescent="0.2">
      <c r="A41" s="828" t="s">
        <v>155</v>
      </c>
      <c r="B41" s="829"/>
      <c r="C41" s="830"/>
      <c r="D41" s="1809">
        <f>SUM(D19:D39)</f>
        <v>59976</v>
      </c>
      <c r="E41" s="1809">
        <f>SUM(E19:E40)</f>
        <v>2402659</v>
      </c>
      <c r="F41" s="1809">
        <f>SUM(F19:F39)</f>
        <v>383794</v>
      </c>
      <c r="G41" s="1809">
        <f>SUM(G19:G40)</f>
        <v>2078841</v>
      </c>
    </row>
    <row r="42" spans="1:7" x14ac:dyDescent="0.2">
      <c r="A42" s="817"/>
      <c r="B42" s="157"/>
      <c r="C42" s="831"/>
      <c r="D42" s="2388" t="s">
        <v>519</v>
      </c>
      <c r="E42" s="2389"/>
      <c r="F42" s="832" t="s">
        <v>520</v>
      </c>
      <c r="G42" s="833"/>
    </row>
    <row r="43" spans="1:7" ht="12" customHeight="1" x14ac:dyDescent="0.2">
      <c r="A43" s="817"/>
      <c r="B43" s="157"/>
      <c r="C43" s="831"/>
      <c r="D43" s="1458" t="s">
        <v>470</v>
      </c>
      <c r="E43" s="1810">
        <f>D41</f>
        <v>59976</v>
      </c>
      <c r="F43" s="1458" t="s">
        <v>470</v>
      </c>
      <c r="G43" s="1810">
        <f>F41</f>
        <v>383794</v>
      </c>
    </row>
    <row r="44" spans="1:7" ht="12" customHeight="1" x14ac:dyDescent="0.2">
      <c r="A44" s="817"/>
      <c r="B44" s="157"/>
      <c r="C44" s="831"/>
      <c r="D44" s="1458" t="s">
        <v>471</v>
      </c>
      <c r="E44" s="1810">
        <f>E41</f>
        <v>2402659</v>
      </c>
      <c r="F44" s="1458" t="s">
        <v>471</v>
      </c>
      <c r="G44" s="1810">
        <f>G41</f>
        <v>2078841</v>
      </c>
    </row>
    <row r="45" spans="1:7" ht="12" customHeight="1" x14ac:dyDescent="0.2">
      <c r="A45" s="817"/>
      <c r="B45" s="157"/>
      <c r="C45" s="157"/>
      <c r="D45" s="1459" t="s">
        <v>999</v>
      </c>
      <c r="E45" s="1811">
        <f>(E43/E44)</f>
        <v>2.4962343803261303E-2</v>
      </c>
      <c r="F45" s="1459" t="s">
        <v>999</v>
      </c>
      <c r="G45" s="1811">
        <f>(G43/G44)</f>
        <v>0.18461921811240012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8" bottom="0.3" header="0.5" footer="0.05"/>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3" zoomScale="110" zoomScaleNormal="110" workbookViewId="0">
      <selection activeCell="C69" sqref="C6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7" t="s">
        <v>1363</v>
      </c>
      <c r="B1" s="2407"/>
      <c r="C1" s="2407"/>
      <c r="D1" s="2407"/>
      <c r="E1" s="2407"/>
      <c r="F1" s="2407"/>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8" t="s">
        <v>1529</v>
      </c>
      <c r="B5" s="2409"/>
      <c r="C5" s="2410"/>
      <c r="D5" s="2410"/>
      <c r="E5" s="2410"/>
      <c r="F5" s="2410"/>
      <c r="G5" s="1507"/>
      <c r="L5" s="1507"/>
      <c r="M5" s="1855"/>
      <c r="N5" s="1855"/>
      <c r="O5" s="1855"/>
    </row>
    <row r="6" spans="1:15" ht="12" customHeight="1" x14ac:dyDescent="0.25">
      <c r="A6" s="1480"/>
      <c r="B6" s="1481"/>
      <c r="C6" s="2411" t="str">
        <f>COVER!A17</f>
        <v xml:space="preserve"> Hartsburg Emden CUSD 21</v>
      </c>
      <c r="D6" s="2411"/>
      <c r="E6" s="2411"/>
      <c r="F6" s="1482"/>
      <c r="G6" s="1507"/>
      <c r="L6" s="1507"/>
      <c r="M6" s="1855"/>
      <c r="N6" s="1855"/>
      <c r="O6" s="1855"/>
    </row>
    <row r="7" spans="1:15" ht="11.25" customHeight="1" thickBot="1" x14ac:dyDescent="0.3">
      <c r="A7" s="1480"/>
      <c r="B7" s="1481"/>
      <c r="C7" s="2412">
        <f>COVER!A13</f>
        <v>17054021026</v>
      </c>
      <c r="D7" s="2412"/>
      <c r="E7" s="2412"/>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2074</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2078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2051</v>
      </c>
      <c r="D29" s="1495"/>
      <c r="E29" s="1498"/>
      <c r="F29" s="1497" t="s">
        <v>2075</v>
      </c>
      <c r="G29" s="1507"/>
      <c r="H29" s="1507">
        <f t="shared" si="0"/>
        <v>5</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2076</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2077</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20</v>
      </c>
      <c r="J34" s="1507">
        <f>SUM(J11:J32)</f>
        <v>0</v>
      </c>
      <c r="K34" s="1507">
        <f>SUM(H34:J34)</f>
        <v>45</v>
      </c>
      <c r="L34" s="1507"/>
      <c r="M34" s="1855"/>
      <c r="N34" s="1855"/>
      <c r="O34" s="1855"/>
    </row>
    <row r="35" spans="1:15" ht="12" customHeight="1" x14ac:dyDescent="0.2">
      <c r="A35" s="1500" t="s">
        <v>1376</v>
      </c>
      <c r="B35" s="1501"/>
      <c r="C35" s="2413"/>
      <c r="D35" s="2413"/>
      <c r="E35" s="2413"/>
      <c r="F35" s="2414"/>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399"/>
      <c r="B38" s="2400"/>
      <c r="C38" s="2400"/>
      <c r="D38" s="2400"/>
      <c r="E38" s="2400"/>
      <c r="F38" s="2401"/>
    </row>
    <row r="39" spans="1:15" ht="4.5" hidden="1" customHeight="1" x14ac:dyDescent="0.2">
      <c r="A39" s="1502"/>
      <c r="B39" s="1502"/>
      <c r="C39" s="1502"/>
      <c r="D39" s="1502"/>
      <c r="E39" s="1502"/>
      <c r="F39" s="1502"/>
    </row>
    <row r="40" spans="1:15" s="1499" customFormat="1" ht="12" customHeight="1" x14ac:dyDescent="0.25">
      <c r="A40" s="1503" t="s">
        <v>1375</v>
      </c>
      <c r="B40" s="1504"/>
      <c r="C40" s="2402"/>
      <c r="D40" s="2402"/>
      <c r="E40" s="2402"/>
      <c r="F40" s="2403"/>
      <c r="H40" s="1508"/>
      <c r="I40" s="1508"/>
      <c r="J40" s="1508"/>
      <c r="K40" s="1508"/>
    </row>
    <row r="41" spans="1:15" s="1499" customFormat="1" ht="12" customHeight="1" x14ac:dyDescent="0.25">
      <c r="A41" s="2404" t="s">
        <v>2079</v>
      </c>
      <c r="B41" s="2405"/>
      <c r="C41" s="2405"/>
      <c r="D41" s="2405"/>
      <c r="E41" s="2405"/>
      <c r="F41" s="2406"/>
      <c r="H41" s="1508"/>
      <c r="I41" s="1508"/>
      <c r="J41" s="1508"/>
      <c r="K41" s="1508"/>
    </row>
    <row r="42" spans="1:15" s="1499" customFormat="1" ht="12" customHeight="1" x14ac:dyDescent="0.25">
      <c r="A42" s="2404"/>
      <c r="B42" s="2405"/>
      <c r="C42" s="2405"/>
      <c r="D42" s="2405"/>
      <c r="E42" s="2405"/>
      <c r="F42" s="2406"/>
      <c r="H42" s="1508"/>
      <c r="I42" s="1508"/>
      <c r="J42" s="1508"/>
      <c r="K42" s="1508"/>
    </row>
    <row r="43" spans="1:15" s="1499" customFormat="1" ht="15" x14ac:dyDescent="0.25">
      <c r="A43" s="2393"/>
      <c r="B43" s="2394"/>
      <c r="C43" s="2394"/>
      <c r="D43" s="2394"/>
      <c r="E43" s="2394"/>
      <c r="F43" s="2395"/>
      <c r="H43" s="1508"/>
      <c r="I43" s="1508"/>
      <c r="J43" s="1508"/>
      <c r="K43" s="1508"/>
    </row>
    <row r="44" spans="1:15" s="1499" customFormat="1" ht="12" hidden="1" customHeight="1" x14ac:dyDescent="0.25">
      <c r="A44" s="2393"/>
      <c r="B44" s="2394"/>
      <c r="C44" s="2394"/>
      <c r="D44" s="2394"/>
      <c r="E44" s="2394"/>
      <c r="F44" s="239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 right="0.2" top="0.9" bottom="0.37" header="0.17" footer="0.25"/>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C69" sqref="C69"/>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3" t="str">
        <f>COVER!A17</f>
        <v xml:space="preserve"> Hartsburg Emden CUSD 21</v>
      </c>
      <c r="K6" s="2433"/>
      <c r="L6" s="2447"/>
      <c r="M6" s="838"/>
      <c r="N6" s="1997"/>
    </row>
    <row r="7" spans="1:14" x14ac:dyDescent="0.2">
      <c r="A7" s="2448" t="s">
        <v>864</v>
      </c>
      <c r="B7" s="2449"/>
      <c r="C7" s="2449"/>
      <c r="D7" s="2449"/>
      <c r="E7" s="2450"/>
      <c r="F7" s="839"/>
      <c r="G7" s="838"/>
      <c r="H7" s="838"/>
      <c r="I7" s="1923" t="s">
        <v>369</v>
      </c>
      <c r="J7" s="2435">
        <f>COVER!A13</f>
        <v>17054021026</v>
      </c>
      <c r="K7" s="2435"/>
      <c r="L7" s="2435"/>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1" t="s">
        <v>478</v>
      </c>
      <c r="B11" s="2452"/>
      <c r="C11" s="2453"/>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129462</v>
      </c>
      <c r="F12" s="1941"/>
      <c r="G12" s="1967">
        <f>G68</f>
        <v>0</v>
      </c>
      <c r="H12" s="1943">
        <f t="shared" ref="H12:H18" si="0">SUM(E12:G12)</f>
        <v>129462</v>
      </c>
      <c r="I12" s="1942">
        <v>135570</v>
      </c>
      <c r="J12" s="1941"/>
      <c r="K12" s="1942"/>
      <c r="L12" s="1943">
        <f t="shared" ref="L12:L18" si="1">SUM(I12:K12)</f>
        <v>135570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4" t="s">
        <v>7</v>
      </c>
      <c r="C18" s="2455"/>
      <c r="D18" s="2456"/>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129462</v>
      </c>
      <c r="F19" s="1949">
        <f t="shared" si="2"/>
        <v>0</v>
      </c>
      <c r="G19" s="1949">
        <f t="shared" ref="G19" si="3">SUM(G12:G17)-G18</f>
        <v>0</v>
      </c>
      <c r="H19" s="1949">
        <f t="shared" si="2"/>
        <v>129462</v>
      </c>
      <c r="I19" s="1949">
        <f t="shared" si="2"/>
        <v>135570</v>
      </c>
      <c r="J19" s="1949">
        <f t="shared" si="2"/>
        <v>0</v>
      </c>
      <c r="K19" s="1949">
        <f t="shared" si="2"/>
        <v>0</v>
      </c>
      <c r="L19" s="1949">
        <f t="shared" si="2"/>
        <v>135570</v>
      </c>
      <c r="M19" s="838"/>
      <c r="N19" s="1997"/>
    </row>
    <row r="20" spans="1:14" ht="13.5" thickTop="1" x14ac:dyDescent="0.2">
      <c r="A20" s="2002">
        <v>9</v>
      </c>
      <c r="B20" s="2457" t="s">
        <v>2021</v>
      </c>
      <c r="C20" s="2457"/>
      <c r="D20" s="2458"/>
      <c r="E20" s="1950"/>
      <c r="F20" s="1950"/>
      <c r="G20" s="1950"/>
      <c r="H20" s="1950"/>
      <c r="I20" s="1950"/>
      <c r="J20" s="1950"/>
      <c r="K20" s="1950"/>
      <c r="L20" s="1951">
        <f>IF(AND(H19&gt;0,L19&gt;0),(((L19-H19)/H19)),"Enter Budget Data")</f>
        <v>4.7179867451452938E-2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59"/>
      <c r="D27" s="2459"/>
      <c r="E27" s="843"/>
      <c r="F27" s="2460"/>
      <c r="G27" s="2460"/>
      <c r="H27" s="2460"/>
      <c r="I27" s="838"/>
      <c r="J27" s="838"/>
      <c r="K27" s="838"/>
      <c r="L27" s="838"/>
      <c r="M27" s="838"/>
      <c r="N27" s="1997"/>
    </row>
    <row r="28" spans="1:14" x14ac:dyDescent="0.2">
      <c r="A28" s="1996"/>
      <c r="B28" s="2006"/>
      <c r="C28" s="1956" t="s">
        <v>1026</v>
      </c>
      <c r="D28" s="844"/>
      <c r="E28" s="1957"/>
      <c r="F28" s="2461" t="s">
        <v>1492</v>
      </c>
      <c r="G28" s="2461"/>
      <c r="H28" s="2461"/>
      <c r="I28" s="838"/>
      <c r="J28" s="838"/>
      <c r="K28" s="838"/>
      <c r="L28" s="838"/>
      <c r="M28" s="838"/>
      <c r="N28" s="1997"/>
    </row>
    <row r="29" spans="1:14" x14ac:dyDescent="0.2">
      <c r="A29" s="1996"/>
      <c r="B29" s="2006"/>
      <c r="C29" s="2462"/>
      <c r="D29" s="2462"/>
      <c r="E29" s="845"/>
      <c r="F29" s="2462"/>
      <c r="G29" s="2462"/>
      <c r="H29" s="2462"/>
      <c r="I29" s="838"/>
      <c r="J29" s="838"/>
      <c r="K29" s="838"/>
      <c r="L29" s="838"/>
      <c r="M29" s="838"/>
      <c r="N29" s="1997"/>
    </row>
    <row r="30" spans="1:14" x14ac:dyDescent="0.2">
      <c r="A30" s="1996"/>
      <c r="B30" s="2006"/>
      <c r="C30" s="1959" t="s">
        <v>1544</v>
      </c>
      <c r="D30" s="838"/>
      <c r="E30" s="1958"/>
      <c r="F30" s="2446" t="s">
        <v>1493</v>
      </c>
      <c r="G30" s="2446"/>
      <c r="H30" s="2446"/>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3" t="s">
        <v>2024</v>
      </c>
      <c r="D34" s="2424"/>
      <c r="E34" s="2424"/>
      <c r="F34" s="2424"/>
      <c r="G34" s="2424"/>
      <c r="H34" s="2424"/>
      <c r="I34" s="2424"/>
      <c r="J34" s="2424"/>
      <c r="K34" s="2015"/>
      <c r="L34" s="838"/>
      <c r="M34" s="838"/>
      <c r="N34" s="1997"/>
    </row>
    <row r="35" spans="1:14" x14ac:dyDescent="0.2">
      <c r="A35" s="1996"/>
      <c r="B35" s="838"/>
      <c r="C35" s="2424"/>
      <c r="D35" s="2424"/>
      <c r="E35" s="2424"/>
      <c r="F35" s="2424"/>
      <c r="G35" s="2424"/>
      <c r="H35" s="2424"/>
      <c r="I35" s="2424"/>
      <c r="J35" s="2424"/>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3" t="s">
        <v>2025</v>
      </c>
      <c r="D37" s="2424"/>
      <c r="E37" s="2424"/>
      <c r="F37" s="2424"/>
      <c r="G37" s="2424"/>
      <c r="H37" s="2424"/>
      <c r="I37" s="2424"/>
      <c r="J37" s="2424"/>
      <c r="K37" s="2015"/>
      <c r="L37" s="2017"/>
      <c r="M37" s="838"/>
      <c r="N37" s="1997"/>
    </row>
    <row r="38" spans="1:14" x14ac:dyDescent="0.2">
      <c r="A38" s="1996"/>
      <c r="B38" s="838"/>
      <c r="C38" s="2424"/>
      <c r="D38" s="2424"/>
      <c r="E38" s="2424"/>
      <c r="F38" s="2424"/>
      <c r="G38" s="2424"/>
      <c r="H38" s="2424"/>
      <c r="I38" s="2424"/>
      <c r="J38" s="2424"/>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5" t="s">
        <v>2026</v>
      </c>
      <c r="D40" s="2426"/>
      <c r="E40" s="2426"/>
      <c r="F40" s="2426"/>
      <c r="G40" s="2426"/>
      <c r="H40" s="2426"/>
      <c r="I40" s="2426"/>
      <c r="J40" s="2426"/>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27" t="s">
        <v>2027</v>
      </c>
      <c r="B43" s="2428"/>
      <c r="C43" s="2428"/>
      <c r="D43" s="2428"/>
      <c r="E43" s="2428"/>
      <c r="F43" s="2428"/>
      <c r="G43" s="2428"/>
      <c r="H43" s="2428"/>
      <c r="I43" s="2428"/>
      <c r="J43" s="2428"/>
      <c r="K43" s="2428"/>
      <c r="L43" s="2428"/>
      <c r="M43" s="2428"/>
      <c r="N43" s="2429"/>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0" t="s">
        <v>2029</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3" t="str">
        <f>J6</f>
        <v xml:space="preserve"> Hartsburg Emden CUSD 21</v>
      </c>
      <c r="M52" s="2433"/>
      <c r="N52" s="2434"/>
    </row>
    <row r="53" spans="1:14" x14ac:dyDescent="0.2">
      <c r="A53" s="1981"/>
      <c r="B53" s="1982"/>
      <c r="C53" s="1982"/>
      <c r="D53" s="1982"/>
      <c r="E53" s="1982"/>
      <c r="F53" s="1982"/>
      <c r="G53" s="1982"/>
      <c r="H53" s="1982"/>
      <c r="I53" s="1982"/>
      <c r="J53" s="1982"/>
      <c r="K53" s="1923" t="s">
        <v>369</v>
      </c>
      <c r="L53" s="2435">
        <f>J7</f>
        <v>17054021026</v>
      </c>
      <c r="M53" s="2435"/>
      <c r="N53" s="2436"/>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37"/>
      <c r="B55" s="2438"/>
      <c r="C55" s="2438"/>
      <c r="D55" s="1969"/>
      <c r="E55" s="1969"/>
      <c r="F55" s="1969"/>
      <c r="G55" s="2439" t="s">
        <v>2030</v>
      </c>
      <c r="H55" s="2439"/>
      <c r="I55" s="2439"/>
      <c r="J55" s="2439"/>
      <c r="K55" s="2439"/>
      <c r="L55" s="2439"/>
      <c r="M55" s="2439"/>
      <c r="N55" s="2440"/>
    </row>
    <row r="56" spans="1:14" ht="63.75" x14ac:dyDescent="0.2">
      <c r="A56" s="2441" t="s">
        <v>2031</v>
      </c>
      <c r="B56" s="2442"/>
      <c r="C56" s="2443"/>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4" t="s">
        <v>296</v>
      </c>
      <c r="B57" s="2445"/>
      <c r="C57" s="2445"/>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1" t="s">
        <v>2041</v>
      </c>
      <c r="B58" s="2422"/>
      <c r="C58" s="2422"/>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15" t="s">
        <v>297</v>
      </c>
      <c r="B59" s="2416"/>
      <c r="C59" s="2416"/>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15" t="s">
        <v>236</v>
      </c>
      <c r="B60" s="2416"/>
      <c r="C60" s="2416"/>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15" t="s">
        <v>697</v>
      </c>
      <c r="B61" s="2416"/>
      <c r="C61" s="2416"/>
      <c r="D61" s="1966">
        <v>2365</v>
      </c>
      <c r="E61" s="1976">
        <f>'Expenditures 15-22'!K323</f>
        <v>0</v>
      </c>
      <c r="F61" s="1971"/>
      <c r="G61" s="2030"/>
      <c r="H61" s="2031"/>
      <c r="I61" s="2031"/>
      <c r="J61" s="2031"/>
      <c r="K61" s="2031"/>
      <c r="L61" s="2031"/>
      <c r="M61" s="2031"/>
      <c r="N61" s="1974">
        <f t="shared" si="4"/>
        <v>0</v>
      </c>
    </row>
    <row r="62" spans="1:14" ht="24" customHeight="1" x14ac:dyDescent="0.2">
      <c r="A62" s="2415" t="s">
        <v>237</v>
      </c>
      <c r="B62" s="2416"/>
      <c r="C62" s="2416"/>
      <c r="D62" s="1966">
        <v>2366</v>
      </c>
      <c r="E62" s="1976">
        <f>'Expenditures 15-22'!K324</f>
        <v>0</v>
      </c>
      <c r="F62" s="1971"/>
      <c r="G62" s="2030"/>
      <c r="H62" s="2031"/>
      <c r="I62" s="2031"/>
      <c r="J62" s="2031"/>
      <c r="K62" s="2031"/>
      <c r="L62" s="2031"/>
      <c r="M62" s="2031"/>
      <c r="N62" s="1974">
        <f t="shared" si="4"/>
        <v>0</v>
      </c>
    </row>
    <row r="63" spans="1:14" ht="24" customHeight="1" x14ac:dyDescent="0.2">
      <c r="A63" s="2421" t="s">
        <v>1022</v>
      </c>
      <c r="B63" s="2422"/>
      <c r="C63" s="2422"/>
      <c r="D63" s="1966">
        <v>2367</v>
      </c>
      <c r="E63" s="1976">
        <f>'Expenditures 15-22'!K325</f>
        <v>0</v>
      </c>
      <c r="F63" s="1971"/>
      <c r="G63" s="2030"/>
      <c r="H63" s="2031"/>
      <c r="I63" s="2031"/>
      <c r="J63" s="2031"/>
      <c r="K63" s="2031"/>
      <c r="L63" s="2031"/>
      <c r="M63" s="2031"/>
      <c r="N63" s="1974">
        <f t="shared" si="4"/>
        <v>0</v>
      </c>
    </row>
    <row r="64" spans="1:14" ht="24" customHeight="1" x14ac:dyDescent="0.2">
      <c r="A64" s="2415" t="s">
        <v>1023</v>
      </c>
      <c r="B64" s="2416"/>
      <c r="C64" s="2416"/>
      <c r="D64" s="1966">
        <v>2368</v>
      </c>
      <c r="E64" s="1976">
        <f>'Expenditures 15-22'!K326</f>
        <v>0</v>
      </c>
      <c r="F64" s="1971"/>
      <c r="G64" s="2030"/>
      <c r="H64" s="2031"/>
      <c r="I64" s="2031"/>
      <c r="J64" s="2031"/>
      <c r="K64" s="2031"/>
      <c r="L64" s="2031"/>
      <c r="M64" s="2031"/>
      <c r="N64" s="1974">
        <f t="shared" si="4"/>
        <v>0</v>
      </c>
    </row>
    <row r="65" spans="1:14" ht="24" customHeight="1" x14ac:dyDescent="0.2">
      <c r="A65" s="2415" t="s">
        <v>965</v>
      </c>
      <c r="B65" s="2416"/>
      <c r="C65" s="2416"/>
      <c r="D65" s="1966">
        <v>2369</v>
      </c>
      <c r="E65" s="1976">
        <f>'Expenditures 15-22'!K327</f>
        <v>0</v>
      </c>
      <c r="F65" s="1971"/>
      <c r="G65" s="2030"/>
      <c r="H65" s="2031"/>
      <c r="I65" s="2031"/>
      <c r="J65" s="2031"/>
      <c r="K65" s="2031"/>
      <c r="L65" s="2031"/>
      <c r="M65" s="2031"/>
      <c r="N65" s="1974">
        <f t="shared" si="4"/>
        <v>0</v>
      </c>
    </row>
    <row r="66" spans="1:14" ht="24" customHeight="1" x14ac:dyDescent="0.2">
      <c r="A66" s="2415" t="s">
        <v>469</v>
      </c>
      <c r="B66" s="2416"/>
      <c r="C66" s="2416"/>
      <c r="D66" s="1966">
        <v>2371</v>
      </c>
      <c r="E66" s="1976">
        <f>'Expenditures 15-22'!K328</f>
        <v>0</v>
      </c>
      <c r="F66" s="1971"/>
      <c r="G66" s="2030"/>
      <c r="H66" s="2031"/>
      <c r="I66" s="2031"/>
      <c r="J66" s="2031"/>
      <c r="K66" s="2031"/>
      <c r="L66" s="2031"/>
      <c r="M66" s="2031"/>
      <c r="N66" s="1974">
        <f t="shared" si="4"/>
        <v>0</v>
      </c>
    </row>
    <row r="67" spans="1:14" ht="24.75" customHeight="1" x14ac:dyDescent="0.2">
      <c r="A67" s="2417" t="s">
        <v>2042</v>
      </c>
      <c r="B67" s="2418"/>
      <c r="C67" s="2418"/>
      <c r="D67" s="1968">
        <v>2372</v>
      </c>
      <c r="E67" s="1977">
        <f>'Expenditures 15-22'!K329</f>
        <v>0</v>
      </c>
      <c r="F67" s="1971"/>
      <c r="G67" s="2032"/>
      <c r="H67" s="2033"/>
      <c r="I67" s="2033"/>
      <c r="J67" s="2033"/>
      <c r="K67" s="2033"/>
      <c r="L67" s="2033"/>
      <c r="M67" s="2033"/>
      <c r="N67" s="1974">
        <f t="shared" si="4"/>
        <v>0</v>
      </c>
    </row>
    <row r="68" spans="1:14" x14ac:dyDescent="0.2">
      <c r="A68" s="2419" t="s">
        <v>1151</v>
      </c>
      <c r="B68" s="2420"/>
      <c r="C68" s="2420"/>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25" top="0.7" bottom="0.25" header="0.4" footer="0.25"/>
  <pageSetup scale="76"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6"/>
  <sheetViews>
    <sheetView showGridLines="0" zoomScale="110" zoomScaleNormal="110" workbookViewId="0">
      <selection activeCell="C69" sqref="C69"/>
    </sheetView>
  </sheetViews>
  <sheetFormatPr defaultRowHeight="12.75" x14ac:dyDescent="0.2"/>
  <cols>
    <col min="1" max="1" width="3" style="307" customWidth="1"/>
    <col min="2" max="2" width="3.5703125" style="307" customWidth="1"/>
    <col min="3" max="3" width="71.7109375" style="307" customWidth="1"/>
    <col min="4" max="4" width="14.5703125" style="2036" customWidth="1"/>
    <col min="5" max="16384" width="9.140625" style="307"/>
  </cols>
  <sheetData>
    <row r="2" spans="1:4" x14ac:dyDescent="0.2">
      <c r="A2" s="366" t="s">
        <v>256</v>
      </c>
    </row>
    <row r="3" spans="1:4" x14ac:dyDescent="0.2">
      <c r="A3" s="307" t="s">
        <v>257</v>
      </c>
    </row>
    <row r="5" spans="1:4" x14ac:dyDescent="0.2">
      <c r="A5" s="848">
        <v>1</v>
      </c>
      <c r="B5" s="307" t="s">
        <v>2082</v>
      </c>
    </row>
    <row r="6" spans="1:4" ht="15" x14ac:dyDescent="0.35">
      <c r="A6" s="848"/>
      <c r="C6" s="307" t="s">
        <v>2083</v>
      </c>
      <c r="D6" s="2037">
        <v>1500</v>
      </c>
    </row>
    <row r="7" spans="1:4" x14ac:dyDescent="0.2">
      <c r="A7" s="847"/>
    </row>
    <row r="8" spans="1:4" x14ac:dyDescent="0.2">
      <c r="A8" s="848">
        <v>2</v>
      </c>
      <c r="B8" s="307" t="s">
        <v>2084</v>
      </c>
    </row>
    <row r="9" spans="1:4" ht="15" x14ac:dyDescent="0.35">
      <c r="A9" s="847"/>
      <c r="C9" s="307" t="s">
        <v>2085</v>
      </c>
      <c r="D9" s="2037">
        <v>23738</v>
      </c>
    </row>
    <row r="10" spans="1:4" x14ac:dyDescent="0.2">
      <c r="A10" s="848"/>
    </row>
    <row r="11" spans="1:4" x14ac:dyDescent="0.2">
      <c r="A11" s="848">
        <v>3</v>
      </c>
      <c r="B11" s="307" t="s">
        <v>2086</v>
      </c>
    </row>
    <row r="12" spans="1:4" ht="15" x14ac:dyDescent="0.35">
      <c r="A12" s="848"/>
      <c r="C12" s="307" t="s">
        <v>2087</v>
      </c>
      <c r="D12" s="2037">
        <v>250</v>
      </c>
    </row>
    <row r="13" spans="1:4" x14ac:dyDescent="0.2">
      <c r="A13" s="848"/>
    </row>
    <row r="14" spans="1:4" x14ac:dyDescent="0.2">
      <c r="A14" s="848">
        <v>4</v>
      </c>
      <c r="B14" s="307" t="s">
        <v>2088</v>
      </c>
    </row>
    <row r="15" spans="1:4" ht="15" x14ac:dyDescent="0.35">
      <c r="A15" s="848"/>
      <c r="C15" s="307" t="s">
        <v>2089</v>
      </c>
      <c r="D15" s="2037">
        <v>1500</v>
      </c>
    </row>
    <row r="16" spans="1:4" x14ac:dyDescent="0.2">
      <c r="A16" s="848"/>
    </row>
    <row r="17" spans="1:4" x14ac:dyDescent="0.2">
      <c r="A17" s="848">
        <v>5</v>
      </c>
      <c r="B17" s="307" t="s">
        <v>2090</v>
      </c>
    </row>
    <row r="18" spans="1:4" ht="15" x14ac:dyDescent="0.35">
      <c r="A18" s="848"/>
      <c r="C18" s="307" t="s">
        <v>2091</v>
      </c>
      <c r="D18" s="2037">
        <v>32612</v>
      </c>
    </row>
    <row r="19" spans="1:4" x14ac:dyDescent="0.2">
      <c r="A19" s="848"/>
    </row>
    <row r="20" spans="1:4" x14ac:dyDescent="0.2">
      <c r="A20" s="848">
        <v>6</v>
      </c>
      <c r="B20" s="307" t="s">
        <v>2092</v>
      </c>
    </row>
    <row r="21" spans="1:4" ht="15" x14ac:dyDescent="0.35">
      <c r="A21" s="848"/>
      <c r="C21" s="307" t="s">
        <v>2093</v>
      </c>
      <c r="D21" s="2037">
        <v>16919</v>
      </c>
    </row>
    <row r="22" spans="1:4" x14ac:dyDescent="0.2">
      <c r="A22" s="848"/>
    </row>
    <row r="23" spans="1:4" x14ac:dyDescent="0.2">
      <c r="A23" s="848">
        <v>7</v>
      </c>
      <c r="B23" s="307" t="s">
        <v>2094</v>
      </c>
    </row>
    <row r="24" spans="1:4" x14ac:dyDescent="0.2">
      <c r="A24" s="848"/>
      <c r="B24" s="307" t="s">
        <v>2095</v>
      </c>
    </row>
    <row r="25" spans="1:4" x14ac:dyDescent="0.2">
      <c r="A25" s="848"/>
      <c r="B25" s="307" t="s">
        <v>2096</v>
      </c>
    </row>
    <row r="26" spans="1:4" x14ac:dyDescent="0.2">
      <c r="A26" s="848"/>
      <c r="B26" s="307" t="s">
        <v>2097</v>
      </c>
    </row>
    <row r="27" spans="1:4" x14ac:dyDescent="0.2">
      <c r="A27" s="848"/>
    </row>
    <row r="28" spans="1:4" x14ac:dyDescent="0.2">
      <c r="A28" s="848"/>
    </row>
    <row r="29" spans="1:4" x14ac:dyDescent="0.2">
      <c r="A29" s="848"/>
    </row>
    <row r="30" spans="1:4" x14ac:dyDescent="0.2">
      <c r="A30" s="848"/>
    </row>
    <row r="31" spans="1:4" x14ac:dyDescent="0.2">
      <c r="A31" s="848"/>
    </row>
    <row r="32" spans="1:4"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Hartsburg Emden CUSD 21</v>
      </c>
    </row>
    <row r="66" spans="1:2" x14ac:dyDescent="0.2">
      <c r="B66" s="849">
        <f>COVER!A13</f>
        <v>17054021026</v>
      </c>
    </row>
  </sheetData>
  <phoneticPr fontId="15" type="noConversion"/>
  <pageMargins left="0.6" right="0.25" top="0.75" bottom="0.75" header="0.3" footer="0.3"/>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69" sqref="C6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2050</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49" t="s">
        <v>1056</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686</v>
      </c>
      <c r="B40" s="2146"/>
      <c r="C40" s="2146"/>
      <c r="D40" s="2146"/>
      <c r="E40" s="2146"/>
    </row>
    <row r="41" spans="1:5" x14ac:dyDescent="0.2">
      <c r="A41" s="2147" t="s">
        <v>1591</v>
      </c>
      <c r="B41" s="2147"/>
      <c r="C41" s="2147"/>
      <c r="D41" s="2147"/>
      <c r="E41" s="2147"/>
    </row>
    <row r="42" spans="1:5" ht="12.75" customHeight="1" x14ac:dyDescent="0.2">
      <c r="A42" s="2148" t="s">
        <v>1015</v>
      </c>
      <c r="B42" s="2148"/>
      <c r="C42" s="2148"/>
      <c r="D42" s="2148"/>
      <c r="E42" s="214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69" sqref="C6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3" t="s">
        <v>1665</v>
      </c>
      <c r="B18" s="246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66675</xdr:colOff>
                <xdr:row>0</xdr:row>
                <xdr:rowOff>142875</xdr:rowOff>
              </from>
              <to>
                <xdr:col>1</xdr:col>
                <xdr:colOff>981075</xdr:colOff>
                <xdr:row>5</xdr:row>
                <xdr:rowOff>19050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1266825</xdr:colOff>
                <xdr:row>0</xdr:row>
                <xdr:rowOff>142875</xdr:rowOff>
              </from>
              <to>
                <xdr:col>1</xdr:col>
                <xdr:colOff>2181225</xdr:colOff>
                <xdr:row>5</xdr:row>
                <xdr:rowOff>19050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19050</xdr:colOff>
                <xdr:row>6</xdr:row>
                <xdr:rowOff>38100</xdr:rowOff>
              </from>
              <to>
                <xdr:col>1</xdr:col>
                <xdr:colOff>933450</xdr:colOff>
                <xdr:row>10</xdr:row>
                <xdr:rowOff>76200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1238250</xdr:colOff>
                <xdr:row>6</xdr:row>
                <xdr:rowOff>28575</xdr:rowOff>
              </from>
              <to>
                <xdr:col>1</xdr:col>
                <xdr:colOff>2152650</xdr:colOff>
                <xdr:row>10</xdr:row>
                <xdr:rowOff>66675</xdr:rowOff>
              </to>
            </anchor>
          </objectPr>
        </oleObject>
      </mc:Choice>
      <mc:Fallback>
        <oleObject progId="Acrobat Document" dvAspect="DVASPECT_ICON" shapeId="5632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69" sqref="C6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4" t="s">
        <v>1669</v>
      </c>
      <c r="B1" s="2465"/>
      <c r="C1" s="2465"/>
      <c r="D1" s="2465"/>
      <c r="E1" s="2465"/>
      <c r="F1" s="2466"/>
    </row>
    <row r="2" spans="1:8" ht="45"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53"/>
      <c r="H2" s="853"/>
    </row>
    <row r="3" spans="1:8" ht="57" customHeight="1" x14ac:dyDescent="0.2">
      <c r="A3" s="2477" t="s">
        <v>1972</v>
      </c>
      <c r="B3" s="2478"/>
      <c r="C3" s="2478"/>
      <c r="D3" s="2478"/>
      <c r="E3" s="2478"/>
      <c r="F3" s="2479"/>
      <c r="G3" s="853"/>
      <c r="H3" s="853"/>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53"/>
      <c r="H4" s="853"/>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53"/>
      <c r="H5" s="853"/>
    </row>
    <row r="6" spans="1:8" s="854" customFormat="1" ht="41.25" customHeight="1" x14ac:dyDescent="0.2">
      <c r="A6" s="2480" t="s">
        <v>1670</v>
      </c>
      <c r="B6" s="2481"/>
      <c r="C6" s="2481"/>
      <c r="D6" s="2481"/>
      <c r="E6" s="2481"/>
      <c r="F6" s="248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2380784</v>
      </c>
      <c r="C8" s="1813">
        <f>'Acct Summary 7-8'!D8</f>
        <v>312336</v>
      </c>
      <c r="D8" s="1813">
        <f>'Acct Summary 7-8'!F8</f>
        <v>204191</v>
      </c>
      <c r="E8" s="1813">
        <f>'Acct Summary 7-8'!I8</f>
        <v>18636</v>
      </c>
      <c r="F8" s="1813">
        <f>SUM(B8:E8)</f>
        <v>2915947</v>
      </c>
    </row>
    <row r="9" spans="1:8" s="858" customFormat="1" ht="14.25" customHeight="1" thickBot="1" x14ac:dyDescent="0.25">
      <c r="A9" s="857" t="s">
        <v>1353</v>
      </c>
      <c r="B9" s="1814">
        <f>'Acct Summary 7-8'!C17</f>
        <v>2118086</v>
      </c>
      <c r="C9" s="1814">
        <f>'Acct Summary 7-8'!D17</f>
        <v>350247</v>
      </c>
      <c r="D9" s="1814">
        <f>'Acct Summary 7-8'!F17</f>
        <v>155825</v>
      </c>
      <c r="E9" s="1813"/>
      <c r="F9" s="1813">
        <f>SUM(B9:E9)</f>
        <v>2624158</v>
      </c>
    </row>
    <row r="10" spans="1:8" s="858" customFormat="1" ht="14.25" thickTop="1" thickBot="1" x14ac:dyDescent="0.25">
      <c r="A10" s="859" t="s">
        <v>1354</v>
      </c>
      <c r="B10" s="1815">
        <f>(B8-B9)</f>
        <v>262698</v>
      </c>
      <c r="C10" s="1815">
        <f>(C8-C9)</f>
        <v>-37911</v>
      </c>
      <c r="D10" s="1815">
        <f>(D8-D9)</f>
        <v>48366</v>
      </c>
      <c r="E10" s="1814">
        <f>(E8-E9)</f>
        <v>18636</v>
      </c>
      <c r="F10" s="1816">
        <f>SUM(F8-F9)</f>
        <v>291789</v>
      </c>
    </row>
    <row r="11" spans="1:8" s="858" customFormat="1" ht="14.25" thickTop="1" thickBot="1" x14ac:dyDescent="0.25">
      <c r="A11" s="860" t="s">
        <v>1903</v>
      </c>
      <c r="B11" s="1817">
        <f>'Acct Summary 7-8'!C81</f>
        <v>1139968</v>
      </c>
      <c r="C11" s="1817">
        <f>'Acct Summary 7-8'!D81</f>
        <v>203809</v>
      </c>
      <c r="D11" s="1817">
        <f>'Acct Summary 7-8'!F81</f>
        <v>455181</v>
      </c>
      <c r="E11" s="1817">
        <f>'Acct Summary 7-8'!I81</f>
        <v>652773</v>
      </c>
      <c r="F11" s="1818">
        <f>SUM(B11:E11)</f>
        <v>2451731</v>
      </c>
    </row>
    <row r="12" spans="1:8" ht="16.5" customHeight="1" thickTop="1" x14ac:dyDescent="0.2">
      <c r="A12" s="861"/>
      <c r="B12" s="862"/>
      <c r="C12" s="2468" t="str">
        <f>IF(AND(F10&lt;0,F11&gt;=0,ABS(F10*3)&gt;ABS(F11)),A16,IF(AND(F10&lt;0,F11&gt;0,ABS(F10*3)&lt;=ABS(F11)),A17,IF(AND(F10&lt;0,F11&lt;0),A16,IF(F11=0,A19,A18))))</f>
        <v>Balanced - no deficit reduction plan is required.</v>
      </c>
      <c r="D12" s="2469"/>
      <c r="E12" s="2469"/>
      <c r="F12" s="2470"/>
    </row>
    <row r="13" spans="1:8" ht="19.5" customHeight="1" x14ac:dyDescent="0.2">
      <c r="A13" s="863"/>
      <c r="B13" s="864"/>
      <c r="C13" s="2468"/>
      <c r="D13" s="2469"/>
      <c r="E13" s="2469"/>
      <c r="F13" s="2470"/>
      <c r="H13" s="853"/>
    </row>
    <row r="14" spans="1:8" ht="19.5" customHeight="1" x14ac:dyDescent="0.2">
      <c r="A14" s="863"/>
      <c r="B14" s="864"/>
      <c r="C14" s="2468"/>
      <c r="D14" s="2469"/>
      <c r="E14" s="2469"/>
      <c r="F14" s="2470"/>
      <c r="H14" s="853"/>
    </row>
    <row r="15" spans="1:8" ht="17.25" customHeight="1" x14ac:dyDescent="0.2">
      <c r="A15" s="863"/>
      <c r="B15" s="864"/>
      <c r="C15" s="2471"/>
      <c r="D15" s="2472"/>
      <c r="E15" s="2472"/>
      <c r="F15" s="2473"/>
      <c r="H15" s="853"/>
    </row>
    <row r="16" spans="1:8" s="288" customFormat="1" ht="51.75" hidden="1" customHeight="1" x14ac:dyDescent="0.2">
      <c r="A16" s="2467" t="s">
        <v>1666</v>
      </c>
      <c r="B16" s="2467"/>
      <c r="C16" s="2467"/>
      <c r="D16" s="2467"/>
      <c r="E16" s="246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C69" sqref="C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89" t="s">
        <v>660</v>
      </c>
      <c r="B3" s="2490"/>
      <c r="C3" s="2490"/>
      <c r="D3" s="249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0" t="s">
        <v>1487</v>
      </c>
      <c r="D7" s="250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2" t="s">
        <v>1001</v>
      </c>
      <c r="B15" s="2493"/>
      <c r="C15" s="2493"/>
      <c r="D15" s="2494"/>
    </row>
    <row r="16" spans="1:4" s="542" customFormat="1" ht="24" customHeight="1" x14ac:dyDescent="0.2">
      <c r="A16" s="2495" t="s">
        <v>658</v>
      </c>
      <c r="B16" s="2496"/>
      <c r="C16" s="2496"/>
      <c r="D16" s="249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4" t="s">
        <v>311</v>
      </c>
      <c r="D21" s="2505"/>
    </row>
    <row r="22" spans="1:10" ht="12.75" x14ac:dyDescent="0.2">
      <c r="A22" s="918"/>
      <c r="B22" s="919">
        <v>2</v>
      </c>
      <c r="C22" s="2502" t="s">
        <v>1507</v>
      </c>
      <c r="D22" s="250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6" t="s">
        <v>533</v>
      </c>
      <c r="D43" s="250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8" t="s">
        <v>779</v>
      </c>
      <c r="D56" s="249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498" t="s">
        <v>1674</v>
      </c>
      <c r="D70" s="249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0" t="str">
        <f>IF('Contracts Paid in CY 29'!$D$37&gt;0,"OK","PLEASE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17054021026</v>
      </c>
      <c r="E2" s="1542">
        <v>2020</v>
      </c>
      <c r="F2" s="1542">
        <v>1</v>
      </c>
      <c r="G2" s="1898">
        <v>101000300</v>
      </c>
    </row>
    <row r="3" spans="1:7" ht="15" x14ac:dyDescent="0.25">
      <c r="A3" t="s">
        <v>950</v>
      </c>
      <c r="B3" s="135" t="str">
        <f>COVER!A15</f>
        <v>LOGAN</v>
      </c>
      <c r="E3" s="1830" t="s">
        <v>1971</v>
      </c>
      <c r="F3" s="1830" t="s">
        <v>1970</v>
      </c>
      <c r="G3" s="1898">
        <v>101000400</v>
      </c>
    </row>
    <row r="4" spans="1:7" ht="15" x14ac:dyDescent="0.25">
      <c r="A4" t="s">
        <v>1000</v>
      </c>
      <c r="B4" s="135" t="str">
        <f>COVER!A17</f>
        <v xml:space="preserve"> Hartsburg Emden CUSD 21</v>
      </c>
      <c r="E4" s="1828">
        <v>44119</v>
      </c>
      <c r="F4" s="1829">
        <v>44151</v>
      </c>
      <c r="G4" s="1898">
        <v>101000600</v>
      </c>
    </row>
    <row r="5" spans="1:7" ht="15" x14ac:dyDescent="0.25">
      <c r="A5" t="s">
        <v>699</v>
      </c>
      <c r="B5" s="135" t="str">
        <f>COVER!A38</f>
        <v>TERRY WISNIEWSKI</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MARK JONTRY</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066-005243</v>
      </c>
      <c r="G15" s="1898">
        <v>402100400</v>
      </c>
    </row>
    <row r="16" spans="1:7" ht="15" x14ac:dyDescent="0.25">
      <c r="A16" t="s">
        <v>419</v>
      </c>
      <c r="B16" s="135" t="str">
        <f>COVER!T13</f>
        <v>J.M. ABBOTT &amp; ASSOCIATES, LTD.</v>
      </c>
      <c r="G16" s="1898">
        <v>402100600</v>
      </c>
    </row>
    <row r="17" spans="1:7" ht="15" x14ac:dyDescent="0.25">
      <c r="A17" t="s">
        <v>878</v>
      </c>
      <c r="B17" s="135" t="str">
        <f>COVER!T15</f>
        <v>DEBRA LAST</v>
      </c>
      <c r="G17" s="1898">
        <v>402100800</v>
      </c>
    </row>
    <row r="18" spans="1:7" ht="15" x14ac:dyDescent="0.25">
      <c r="A18" t="s">
        <v>1140</v>
      </c>
      <c r="B18" s="135" t="str">
        <f>COVER!T17</f>
        <v>207 S. MCLEAN ST.</v>
      </c>
      <c r="G18" s="1898">
        <v>102200300</v>
      </c>
    </row>
    <row r="19" spans="1:7" ht="15" x14ac:dyDescent="0.25">
      <c r="A19" t="s">
        <v>880</v>
      </c>
      <c r="B19" s="135" t="str">
        <f>COVER!T25</f>
        <v>deb@jmabbott.com</v>
      </c>
      <c r="G19" s="1898">
        <v>102200400</v>
      </c>
    </row>
    <row r="20" spans="1:7" ht="15" x14ac:dyDescent="0.25">
      <c r="A20" t="s">
        <v>881</v>
      </c>
      <c r="B20" s="135" t="str">
        <f>COVER!T19</f>
        <v>LINCOLN</v>
      </c>
      <c r="G20" s="1898">
        <v>102200600</v>
      </c>
    </row>
    <row r="21" spans="1:7" ht="15" x14ac:dyDescent="0.25">
      <c r="A21" t="s">
        <v>476</v>
      </c>
      <c r="B21" s="135" t="str">
        <f>COVER!X19</f>
        <v>IL</v>
      </c>
      <c r="G21" s="1898">
        <v>102200800</v>
      </c>
    </row>
    <row r="22" spans="1:7" ht="15" x14ac:dyDescent="0.25">
      <c r="A22" t="s">
        <v>882</v>
      </c>
      <c r="B22" s="135">
        <f>COVER!Z19</f>
        <v>62656</v>
      </c>
      <c r="G22" s="1898">
        <v>102300300</v>
      </c>
    </row>
    <row r="23" spans="1:7" ht="15" x14ac:dyDescent="0.25">
      <c r="A23" t="s">
        <v>1142</v>
      </c>
      <c r="B23" s="135" t="str">
        <f>COVER!T21</f>
        <v>217-735-1576</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401652</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1139968</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1133398</v>
      </c>
      <c r="D92" s="2" t="str">
        <f t="shared" si="0"/>
        <v>Error?</v>
      </c>
      <c r="G92" s="1898">
        <v>102640600</v>
      </c>
    </row>
    <row r="93" spans="1:7" ht="15" x14ac:dyDescent="0.25">
      <c r="A93" s="5">
        <v>32</v>
      </c>
      <c r="B93" s="1832">
        <f>'Assets-Liab 5-6'!C41</f>
        <v>1139968</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203809</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98309</v>
      </c>
      <c r="D123" s="2" t="str">
        <f t="shared" si="0"/>
        <v>Error?</v>
      </c>
      <c r="G123" s="1898">
        <v>203000400</v>
      </c>
    </row>
    <row r="124" spans="1:7" ht="15" x14ac:dyDescent="0.25">
      <c r="A124" s="5">
        <v>63</v>
      </c>
      <c r="B124" s="1832">
        <f>'Assets-Liab 5-6'!D41</f>
        <v>203809</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251506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455181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455181</v>
      </c>
      <c r="D170" s="2" t="str">
        <f t="shared" si="1"/>
        <v>Error?</v>
      </c>
    </row>
    <row r="171" spans="1:4" x14ac:dyDescent="0.2">
      <c r="A171" s="5">
        <v>110</v>
      </c>
      <c r="B171" s="1832">
        <f>'Assets-Liab 5-6'!F41</f>
        <v>455181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163851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122825</v>
      </c>
      <c r="D189" s="2" t="str">
        <f t="shared" si="1"/>
        <v>Error?</v>
      </c>
    </row>
    <row r="190" spans="1:4" x14ac:dyDescent="0.2">
      <c r="A190" s="5">
        <v>129</v>
      </c>
      <c r="B190" s="1832">
        <f>'Assets-Liab 5-6'!G41</f>
        <v>163851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409283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409283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10588</v>
      </c>
      <c r="D273" s="2" t="str">
        <f t="shared" si="3"/>
        <v>Error?</v>
      </c>
    </row>
    <row r="274" spans="1:4" x14ac:dyDescent="0.2">
      <c r="A274" s="5">
        <v>213</v>
      </c>
      <c r="B274" s="1832">
        <f>'Assets-Liab 5-6'!M17</f>
        <v>2230429</v>
      </c>
      <c r="D274" s="2" t="str">
        <f t="shared" si="3"/>
        <v>Error?</v>
      </c>
    </row>
    <row r="275" spans="1:4" x14ac:dyDescent="0.2">
      <c r="A275" s="5">
        <v>214</v>
      </c>
      <c r="B275" s="1832">
        <f>'Assets-Liab 5-6'!M18</f>
        <v>160104</v>
      </c>
      <c r="D275" s="2" t="str">
        <f t="shared" si="3"/>
        <v>Error?</v>
      </c>
    </row>
    <row r="276" spans="1:4" x14ac:dyDescent="0.2">
      <c r="A276" s="5">
        <v>215</v>
      </c>
      <c r="B276" s="1832">
        <f>'Assets-Liab 5-6'!M19</f>
        <v>1880966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4282087</v>
      </c>
      <c r="C279" s="2" t="s">
        <v>569</v>
      </c>
      <c r="D279" s="2" t="str">
        <f t="shared" si="3"/>
        <v>Error?</v>
      </c>
    </row>
    <row r="280" spans="1:4" x14ac:dyDescent="0.2">
      <c r="A280" s="5">
        <v>219</v>
      </c>
      <c r="B280" s="1832">
        <f>'Assets-Liab 5-6'!M40</f>
        <v>4282087</v>
      </c>
      <c r="D280" s="2" t="str">
        <f t="shared" si="3"/>
        <v>Error?</v>
      </c>
    </row>
    <row r="281" spans="1:4" x14ac:dyDescent="0.2">
      <c r="A281" s="5">
        <v>220</v>
      </c>
      <c r="B281" s="1832">
        <f>'Assets-Liab 5-6'!M41</f>
        <v>4282087</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208584</v>
      </c>
      <c r="D283" s="2" t="str">
        <f t="shared" si="3"/>
        <v>Error?</v>
      </c>
    </row>
    <row r="284" spans="1:4" x14ac:dyDescent="0.2">
      <c r="A284" s="5">
        <v>223</v>
      </c>
      <c r="B284" s="1832">
        <f>'Assets-Liab 5-6'!N23</f>
        <v>208584</v>
      </c>
      <c r="C284" s="2" t="s">
        <v>569</v>
      </c>
      <c r="D284" s="2" t="str">
        <f t="shared" si="3"/>
        <v>Error?</v>
      </c>
    </row>
    <row r="285" spans="1:4" x14ac:dyDescent="0.2">
      <c r="A285" s="5">
        <v>224</v>
      </c>
      <c r="B285" s="1832">
        <f>'Assets-Liab 5-6'!N36</f>
        <v>208584</v>
      </c>
      <c r="D285" s="2" t="str">
        <f t="shared" si="3"/>
        <v>Error?</v>
      </c>
    </row>
    <row r="286" spans="1:4" x14ac:dyDescent="0.2">
      <c r="A286" s="10">
        <v>225</v>
      </c>
      <c r="B286" s="1832"/>
      <c r="D286" s="2" t="str">
        <f t="shared" si="3"/>
        <v>OK</v>
      </c>
    </row>
    <row r="287" spans="1:4" x14ac:dyDescent="0.2">
      <c r="A287" s="5">
        <v>226</v>
      </c>
      <c r="B287" s="1832">
        <f>'Assets-Liab 5-6'!N37</f>
        <v>208584</v>
      </c>
      <c r="C287" s="2" t="s">
        <v>569</v>
      </c>
      <c r="D287" s="2" t="str">
        <f t="shared" si="3"/>
        <v>Error?</v>
      </c>
    </row>
    <row r="288" spans="1:4" x14ac:dyDescent="0.2">
      <c r="A288" s="5">
        <v>227</v>
      </c>
      <c r="B288" s="1832">
        <f>'Assets-Liab 5-6'!N41</f>
        <v>208584</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4810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884337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44839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1042133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38911</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38911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31594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31594</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109426</v>
      </c>
      <c r="D733" s="2" t="str">
        <f t="shared" si="10"/>
        <v>Error?</v>
      </c>
    </row>
    <row r="734" spans="1:4" x14ac:dyDescent="0.2">
      <c r="A734" s="5">
        <v>673</v>
      </c>
      <c r="B734" s="1832">
        <f>'Expenditures 15-22'!C53</f>
        <v>109426</v>
      </c>
      <c r="C734" s="2" t="s">
        <v>569</v>
      </c>
      <c r="D734" s="2" t="str">
        <f t="shared" si="10"/>
        <v>Error?</v>
      </c>
    </row>
    <row r="735" spans="1:4" x14ac:dyDescent="0.2">
      <c r="A735" s="5">
        <v>674</v>
      </c>
      <c r="B735" s="1832">
        <f>'Expenditures 15-22'!C55</f>
        <v>120705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120705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43184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80903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124087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424723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1466856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214881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2998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241439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11109</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11109</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8350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8350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19126</v>
      </c>
      <c r="D791" s="2" t="str">
        <f t="shared" si="11"/>
        <v>Error?</v>
      </c>
    </row>
    <row r="792" spans="1:4" x14ac:dyDescent="0.2">
      <c r="A792" s="5">
        <v>731</v>
      </c>
      <c r="B792" s="1832">
        <f>'Expenditures 15-22'!D53</f>
        <v>19126</v>
      </c>
      <c r="C792" s="2" t="s">
        <v>569</v>
      </c>
      <c r="D792" s="2" t="str">
        <f t="shared" si="11"/>
        <v>Error?</v>
      </c>
    </row>
    <row r="793" spans="1:4" x14ac:dyDescent="0.2">
      <c r="A793" s="5">
        <v>732</v>
      </c>
      <c r="B793" s="1832">
        <f>'Expenditures 15-22'!D55</f>
        <v>17395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17395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3240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3602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6842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62822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304261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59529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10499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72459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90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90</v>
      </c>
      <c r="C843" s="2" t="s">
        <v>569</v>
      </c>
      <c r="D843" s="2" t="str">
        <f t="shared" si="12"/>
        <v>Error?</v>
      </c>
    </row>
    <row r="844" spans="1:4" x14ac:dyDescent="0.2">
      <c r="A844" s="5">
        <v>783</v>
      </c>
      <c r="B844" s="1832">
        <f>'Expenditures 15-22'!E44</f>
        <v>1175</v>
      </c>
      <c r="D844" s="2" t="str">
        <f t="shared" si="12"/>
        <v>Error?</v>
      </c>
    </row>
    <row r="845" spans="1:4" x14ac:dyDescent="0.2">
      <c r="A845" s="5">
        <v>784</v>
      </c>
      <c r="B845" s="1832">
        <f>'Expenditures 15-22'!E45</f>
        <v>900</v>
      </c>
      <c r="D845" s="2" t="str">
        <f t="shared" si="12"/>
        <v>Error?</v>
      </c>
    </row>
    <row r="846" spans="1:4" x14ac:dyDescent="0.2">
      <c r="A846" s="5">
        <v>785</v>
      </c>
      <c r="B846" s="1832">
        <f>'Expenditures 15-22'!E46</f>
        <v>5369</v>
      </c>
      <c r="D846" s="2" t="str">
        <f t="shared" si="12"/>
        <v>Error?</v>
      </c>
    </row>
    <row r="847" spans="1:4" x14ac:dyDescent="0.2">
      <c r="A847" s="5">
        <v>786</v>
      </c>
      <c r="B847" s="1832">
        <f>'Expenditures 15-22'!E47</f>
        <v>7444</v>
      </c>
      <c r="C847" s="2" t="s">
        <v>569</v>
      </c>
      <c r="D847" s="2" t="str">
        <f t="shared" si="12"/>
        <v>Error?</v>
      </c>
    </row>
    <row r="848" spans="1:4" x14ac:dyDescent="0.2">
      <c r="A848" s="5">
        <v>787</v>
      </c>
      <c r="B848" s="1832">
        <f>'Expenditures 15-22'!E49</f>
        <v>22053</v>
      </c>
      <c r="D848" s="2" t="str">
        <f t="shared" si="12"/>
        <v>Error?</v>
      </c>
    </row>
    <row r="849" spans="1:4" x14ac:dyDescent="0.2">
      <c r="A849" s="5">
        <v>788</v>
      </c>
      <c r="B849" s="1832">
        <f>'Expenditures 15-22'!E50</f>
        <v>910</v>
      </c>
      <c r="D849" s="2" t="str">
        <f t="shared" si="12"/>
        <v>Error?</v>
      </c>
    </row>
    <row r="850" spans="1:4" x14ac:dyDescent="0.2">
      <c r="A850" s="5">
        <v>789</v>
      </c>
      <c r="B850" s="1832">
        <f>'Expenditures 15-22'!E53</f>
        <v>46269</v>
      </c>
      <c r="C850" s="2" t="s">
        <v>569</v>
      </c>
      <c r="D850" s="2" t="str">
        <f t="shared" si="12"/>
        <v>Error?</v>
      </c>
    </row>
    <row r="851" spans="1:4" x14ac:dyDescent="0.2">
      <c r="A851" s="5">
        <v>790</v>
      </c>
      <c r="B851" s="1832">
        <f>'Expenditures 15-22'!E55</f>
        <v>1466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1466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9168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378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9546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64815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215418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23902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10120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44557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96</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96</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2057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2057</v>
      </c>
      <c r="C905" s="2" t="s">
        <v>569</v>
      </c>
      <c r="D905" s="2" t="str">
        <f t="shared" si="13"/>
        <v>Error?</v>
      </c>
    </row>
    <row r="906" spans="1:4" x14ac:dyDescent="0.2">
      <c r="A906" s="5">
        <v>845</v>
      </c>
      <c r="B906" s="1832">
        <f>'Expenditures 15-22'!F49</f>
        <v>1814</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1814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776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60941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61717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250</v>
      </c>
      <c r="D928" s="2" t="str">
        <f t="shared" si="13"/>
        <v>Error?</v>
      </c>
    </row>
    <row r="929" spans="1:4" x14ac:dyDescent="0.2">
      <c r="A929" s="5">
        <v>868</v>
      </c>
      <c r="B929" s="1832">
        <f>'Expenditures 15-22'!F74</f>
        <v>65934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110491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1970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1970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599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599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599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2569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3677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3677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125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125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14689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18491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1184619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72133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1406235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50206</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50206</v>
      </c>
      <c r="C1115" s="2" t="s">
        <v>569</v>
      </c>
      <c r="D1115" s="2" t="str">
        <f t="shared" si="16"/>
        <v>Error?</v>
      </c>
    </row>
    <row r="1116" spans="1:4" x14ac:dyDescent="0.2">
      <c r="A1116" s="5">
        <v>1055</v>
      </c>
      <c r="B1116" s="1832">
        <f>'Expenditures 15-22'!K44</f>
        <v>1175</v>
      </c>
      <c r="C1116" s="2" t="s">
        <v>569</v>
      </c>
      <c r="D1116" s="2" t="str">
        <f t="shared" si="16"/>
        <v>Error?</v>
      </c>
    </row>
    <row r="1117" spans="1:4" x14ac:dyDescent="0.2">
      <c r="A1117" s="5">
        <v>1056</v>
      </c>
      <c r="B1117" s="1832">
        <f>'Expenditures 15-22'!K45</f>
        <v>42901</v>
      </c>
      <c r="C1117" s="2" t="s">
        <v>569</v>
      </c>
      <c r="D1117" s="2" t="str">
        <f t="shared" si="16"/>
        <v>Error?</v>
      </c>
    </row>
    <row r="1118" spans="1:4" x14ac:dyDescent="0.2">
      <c r="A1118" s="5">
        <v>1057</v>
      </c>
      <c r="B1118" s="1832">
        <f>'Expenditures 15-22'!K46</f>
        <v>5369</v>
      </c>
      <c r="C1118" s="2" t="s">
        <v>569</v>
      </c>
      <c r="D1118" s="2" t="str">
        <f t="shared" si="16"/>
        <v>Error?</v>
      </c>
    </row>
    <row r="1119" spans="1:4" x14ac:dyDescent="0.2">
      <c r="A1119" s="5">
        <v>1058</v>
      </c>
      <c r="B1119" s="1832">
        <f>'Expenditures 15-22'!K47</f>
        <v>49445</v>
      </c>
      <c r="C1119" s="2" t="s">
        <v>569</v>
      </c>
      <c r="D1119" s="2" t="str">
        <f t="shared" si="16"/>
        <v>Error?</v>
      </c>
    </row>
    <row r="1120" spans="1:4" x14ac:dyDescent="0.2">
      <c r="A1120" s="5">
        <v>1059</v>
      </c>
      <c r="B1120" s="1832">
        <f>'Expenditures 15-22'!K49</f>
        <v>23867</v>
      </c>
      <c r="C1120" s="2" t="s">
        <v>569</v>
      </c>
      <c r="D1120" s="2" t="str">
        <f t="shared" si="16"/>
        <v>Error?</v>
      </c>
    </row>
    <row r="1121" spans="1:4" x14ac:dyDescent="0.2">
      <c r="A1121" s="5">
        <v>1060</v>
      </c>
      <c r="B1121" s="1832">
        <f>'Expenditures 15-22'!K50</f>
        <v>129462</v>
      </c>
      <c r="C1121" s="2" t="s">
        <v>569</v>
      </c>
      <c r="D1121" s="2" t="str">
        <f t="shared" si="16"/>
        <v>Error?</v>
      </c>
    </row>
    <row r="1122" spans="1:4" x14ac:dyDescent="0.2">
      <c r="A1122" s="5">
        <v>1061</v>
      </c>
      <c r="B1122" s="1832">
        <f>'Expenditures 15-22'!K53</f>
        <v>176635</v>
      </c>
      <c r="C1122" s="2" t="s">
        <v>569</v>
      </c>
      <c r="D1122" s="2" t="str">
        <f t="shared" si="16"/>
        <v>Error?</v>
      </c>
    </row>
    <row r="1123" spans="1:4" x14ac:dyDescent="0.2">
      <c r="A1123" s="5">
        <v>1062</v>
      </c>
      <c r="B1123" s="1832">
        <f>'Expenditures 15-22'!K55</f>
        <v>139566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139566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56368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146548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202916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250</v>
      </c>
      <c r="C1142" s="2" t="s">
        <v>569</v>
      </c>
      <c r="D1142" s="2" t="str">
        <f t="shared" si="16"/>
        <v>Error?</v>
      </c>
    </row>
    <row r="1143" spans="1:4" x14ac:dyDescent="0.2">
      <c r="A1143" s="5">
        <v>1082</v>
      </c>
      <c r="B1143" s="1832">
        <f>'Expenditures 15-22'!K74</f>
        <v>619018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92833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2118086</v>
      </c>
      <c r="C1152" s="2" t="s">
        <v>569</v>
      </c>
      <c r="D1152" s="2" t="str">
        <f t="shared" si="17"/>
        <v>Error?</v>
      </c>
    </row>
    <row r="1153" spans="1:4" x14ac:dyDescent="0.2">
      <c r="A1153" s="5">
        <v>1092</v>
      </c>
      <c r="B1153" s="1832">
        <f>'Expenditures 15-22'!K115</f>
        <v>262698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123489</v>
      </c>
      <c r="D1221" s="2" t="str">
        <f t="shared" si="18"/>
        <v>Error?</v>
      </c>
    </row>
    <row r="1222" spans="1:4" x14ac:dyDescent="0.2">
      <c r="A1222" s="10">
        <v>1161</v>
      </c>
      <c r="B1222" s="1832"/>
      <c r="D1222" s="2" t="str">
        <f t="shared" si="18"/>
        <v>OK</v>
      </c>
    </row>
    <row r="1223" spans="1:4" x14ac:dyDescent="0.2">
      <c r="A1223" s="5">
        <v>1162</v>
      </c>
      <c r="B1223" s="1832">
        <f>'Expenditures 15-22'!C127</f>
        <v>123489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123489</v>
      </c>
      <c r="C1225" s="2" t="s">
        <v>569</v>
      </c>
      <c r="D1225" s="2" t="str">
        <f t="shared" si="18"/>
        <v>Error?</v>
      </c>
    </row>
    <row r="1226" spans="1:4" x14ac:dyDescent="0.2">
      <c r="A1226" s="5">
        <v>1165</v>
      </c>
      <c r="B1226" s="1832">
        <f>'Expenditures 15-22'!C151</f>
        <v>123489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6962</v>
      </c>
      <c r="D1229" s="2" t="str">
        <f t="shared" si="18"/>
        <v>Error?</v>
      </c>
    </row>
    <row r="1230" spans="1:4" x14ac:dyDescent="0.2">
      <c r="A1230" s="10">
        <v>1169</v>
      </c>
      <c r="B1230" s="1832"/>
      <c r="D1230" s="2" t="str">
        <f t="shared" si="18"/>
        <v>OK</v>
      </c>
    </row>
    <row r="1231" spans="1:4" x14ac:dyDescent="0.2">
      <c r="A1231" s="5">
        <v>1170</v>
      </c>
      <c r="B1231" s="1832">
        <f>'Expenditures 15-22'!D127</f>
        <v>6962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6962</v>
      </c>
      <c r="C1233" s="2" t="s">
        <v>569</v>
      </c>
      <c r="D1233" s="2" t="str">
        <f t="shared" si="18"/>
        <v>Error?</v>
      </c>
    </row>
    <row r="1234" spans="1:4" x14ac:dyDescent="0.2">
      <c r="A1234" s="5">
        <v>1173</v>
      </c>
      <c r="B1234" s="1832">
        <f>'Expenditures 15-22'!D151</f>
        <v>6962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154063</v>
      </c>
      <c r="D1237" s="2" t="str">
        <f t="shared" si="18"/>
        <v>Error?</v>
      </c>
    </row>
    <row r="1238" spans="1:4" x14ac:dyDescent="0.2">
      <c r="A1238" s="10">
        <v>1177</v>
      </c>
      <c r="B1238" s="1832"/>
      <c r="D1238" s="2" t="str">
        <f t="shared" si="18"/>
        <v>OK</v>
      </c>
    </row>
    <row r="1239" spans="1:4" x14ac:dyDescent="0.2">
      <c r="A1239" s="5">
        <v>1178</v>
      </c>
      <c r="B1239" s="1832">
        <f>'Expenditures 15-22'!E127</f>
        <v>154063</v>
      </c>
      <c r="C1239" s="2" t="s">
        <v>569</v>
      </c>
      <c r="D1239" s="2" t="str">
        <f t="shared" si="18"/>
        <v>Error?</v>
      </c>
    </row>
    <row r="1240" spans="1:4" x14ac:dyDescent="0.2">
      <c r="A1240" s="5">
        <v>1179</v>
      </c>
      <c r="B1240" s="1832">
        <f>'Expenditures 15-22'!E128</f>
        <v>32612</v>
      </c>
      <c r="D1240" s="2" t="str">
        <f t="shared" si="18"/>
        <v>Error?</v>
      </c>
    </row>
    <row r="1241" spans="1:4" x14ac:dyDescent="0.2">
      <c r="A1241" s="5">
        <v>1180</v>
      </c>
      <c r="B1241" s="1832">
        <f>'Expenditures 15-22'!E129</f>
        <v>186675</v>
      </c>
      <c r="C1241" s="2" t="s">
        <v>569</v>
      </c>
      <c r="D1241" s="2" t="str">
        <f t="shared" si="18"/>
        <v>Error?</v>
      </c>
    </row>
    <row r="1242" spans="1:4" x14ac:dyDescent="0.2">
      <c r="A1242" s="5">
        <v>1181</v>
      </c>
      <c r="B1242" s="1832">
        <f>'Expenditures 15-22'!E151</f>
        <v>186675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27121</v>
      </c>
      <c r="D1245" s="2" t="str">
        <f t="shared" si="18"/>
        <v>Error?</v>
      </c>
    </row>
    <row r="1246" spans="1:4" x14ac:dyDescent="0.2">
      <c r="A1246" s="10">
        <v>1185</v>
      </c>
      <c r="B1246" s="1832"/>
      <c r="D1246" s="2" t="str">
        <f t="shared" si="18"/>
        <v>OK</v>
      </c>
    </row>
    <row r="1247" spans="1:4" x14ac:dyDescent="0.2">
      <c r="A1247" s="5">
        <v>1186</v>
      </c>
      <c r="B1247" s="1832">
        <f>'Expenditures 15-22'!F127</f>
        <v>27121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27121</v>
      </c>
      <c r="C1249" s="2" t="s">
        <v>569</v>
      </c>
      <c r="D1249" s="2" t="str">
        <f t="shared" si="18"/>
        <v>Error?</v>
      </c>
    </row>
    <row r="1250" spans="1:4" x14ac:dyDescent="0.2">
      <c r="A1250" s="5">
        <v>1189</v>
      </c>
      <c r="B1250" s="1832">
        <f>'Expenditures 15-22'!F151</f>
        <v>27121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6000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6000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6000</v>
      </c>
      <c r="C1258" s="2" t="s">
        <v>569</v>
      </c>
      <c r="D1258" s="2" t="str">
        <f t="shared" si="18"/>
        <v>Error?</v>
      </c>
    </row>
    <row r="1259" spans="1:4" x14ac:dyDescent="0.2">
      <c r="A1259" s="5">
        <v>1198</v>
      </c>
      <c r="B1259" s="1832">
        <f>'Expenditures 15-22'!G151</f>
        <v>6000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317635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317635</v>
      </c>
      <c r="C1279" s="2" t="s">
        <v>569</v>
      </c>
      <c r="D1279" s="2" t="str">
        <f t="shared" ref="D1279:D1342" si="19">IF(ISBLANK(B1279),"OK",IF(A1279-B1279=0,"OK","Error?"))</f>
        <v>Error?</v>
      </c>
    </row>
    <row r="1280" spans="1:4" x14ac:dyDescent="0.2">
      <c r="A1280" s="5">
        <v>1219</v>
      </c>
      <c r="B1280" s="1832">
        <f>'Expenditures 15-22'!K128</f>
        <v>32612</v>
      </c>
      <c r="C1280" s="2" t="s">
        <v>569</v>
      </c>
      <c r="D1280" s="2" t="str">
        <f t="shared" si="19"/>
        <v>Error?</v>
      </c>
    </row>
    <row r="1281" spans="1:4" x14ac:dyDescent="0.2">
      <c r="A1281" s="5">
        <v>1220</v>
      </c>
      <c r="B1281" s="1832">
        <f>'Expenditures 15-22'!K129</f>
        <v>350247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350247</v>
      </c>
      <c r="C1288" s="2" t="s">
        <v>569</v>
      </c>
      <c r="D1288" s="2" t="str">
        <f t="shared" si="19"/>
        <v>Error?</v>
      </c>
    </row>
    <row r="1289" spans="1:4" x14ac:dyDescent="0.2">
      <c r="A1289" s="5">
        <v>1228</v>
      </c>
      <c r="B1289" s="1832">
        <f>'Expenditures 15-22'!K152</f>
        <v>-37911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57469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57469</v>
      </c>
      <c r="C1339" s="2" t="s">
        <v>569</v>
      </c>
      <c r="D1339" s="2" t="str">
        <f t="shared" si="19"/>
        <v>Error?</v>
      </c>
    </row>
    <row r="1340" spans="1:4" x14ac:dyDescent="0.2">
      <c r="A1340" s="5">
        <v>1279</v>
      </c>
      <c r="B1340" s="1832">
        <f>'Expenditures 15-22'!C210</f>
        <v>57469</v>
      </c>
      <c r="C1340" s="2" t="s">
        <v>569</v>
      </c>
      <c r="D1340" s="2" t="str">
        <f t="shared" si="19"/>
        <v>Error?</v>
      </c>
    </row>
    <row r="1341" spans="1:4" x14ac:dyDescent="0.2">
      <c r="A1341" s="5">
        <v>1280</v>
      </c>
      <c r="B1341" s="1832">
        <f>'Expenditures 15-22'!D182</f>
        <v>810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810</v>
      </c>
      <c r="C1345" s="2" t="s">
        <v>569</v>
      </c>
      <c r="D1345" s="2" t="str">
        <f t="shared" si="20"/>
        <v>Error?</v>
      </c>
    </row>
    <row r="1346" spans="1:4" x14ac:dyDescent="0.2">
      <c r="A1346" s="5">
        <v>1285</v>
      </c>
      <c r="B1346" s="1832">
        <f>'Expenditures 15-22'!D210</f>
        <v>810</v>
      </c>
      <c r="C1346" s="2" t="s">
        <v>569</v>
      </c>
      <c r="D1346" s="2" t="str">
        <f t="shared" si="20"/>
        <v>Error?</v>
      </c>
    </row>
    <row r="1347" spans="1:4" x14ac:dyDescent="0.2">
      <c r="A1347" s="5">
        <v>1286</v>
      </c>
      <c r="B1347" s="1832">
        <f>'Expenditures 15-22'!E182</f>
        <v>5314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16919</v>
      </c>
      <c r="D1350" s="2" t="str">
        <f t="shared" si="20"/>
        <v>Error?</v>
      </c>
    </row>
    <row r="1351" spans="1:4" x14ac:dyDescent="0.2">
      <c r="A1351" s="5">
        <v>1290</v>
      </c>
      <c r="B1351" s="1832">
        <f>'Expenditures 15-22'!E184</f>
        <v>22233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22233</v>
      </c>
      <c r="C1353" s="2" t="s">
        <v>569</v>
      </c>
      <c r="D1353" s="2" t="str">
        <f t="shared" si="20"/>
        <v>Error?</v>
      </c>
    </row>
    <row r="1354" spans="1:4" x14ac:dyDescent="0.2">
      <c r="A1354" s="5">
        <v>1293</v>
      </c>
      <c r="B1354" s="1832">
        <f>'Expenditures 15-22'!F182</f>
        <v>20179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20179</v>
      </c>
      <c r="C1358" s="2" t="s">
        <v>569</v>
      </c>
      <c r="D1358" s="2" t="str">
        <f t="shared" si="20"/>
        <v>Error?</v>
      </c>
    </row>
    <row r="1359" spans="1:4" x14ac:dyDescent="0.2">
      <c r="A1359" s="5">
        <v>1298</v>
      </c>
      <c r="B1359" s="1832">
        <f>'Expenditures 15-22'!F210</f>
        <v>20179</v>
      </c>
      <c r="C1359" s="2" t="s">
        <v>569</v>
      </c>
      <c r="D1359" s="2" t="str">
        <f t="shared" si="20"/>
        <v>Error?</v>
      </c>
    </row>
    <row r="1360" spans="1:4" x14ac:dyDescent="0.2">
      <c r="A1360" s="5">
        <v>1299</v>
      </c>
      <c r="B1360" s="1832">
        <f>'Expenditures 15-22'!G182</f>
        <v>55134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55134</v>
      </c>
      <c r="C1364" s="2" t="s">
        <v>569</v>
      </c>
      <c r="D1364" s="2" t="str">
        <f t="shared" si="20"/>
        <v>Error?</v>
      </c>
    </row>
    <row r="1365" spans="1:4" x14ac:dyDescent="0.2">
      <c r="A1365" s="5">
        <v>1304</v>
      </c>
      <c r="B1365" s="1832">
        <f>'Expenditures 15-22'!G210</f>
        <v>55134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138906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16919</v>
      </c>
      <c r="C1380" s="2" t="s">
        <v>569</v>
      </c>
      <c r="D1380" s="2" t="str">
        <f t="shared" si="20"/>
        <v>Error?</v>
      </c>
    </row>
    <row r="1381" spans="1:4" x14ac:dyDescent="0.2">
      <c r="A1381" s="5">
        <v>1320</v>
      </c>
      <c r="B1381" s="1832">
        <f>'Expenditures 15-22'!K184</f>
        <v>155825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155825</v>
      </c>
      <c r="C1388" s="2" t="s">
        <v>569</v>
      </c>
      <c r="D1388" s="2" t="str">
        <f t="shared" si="20"/>
        <v>Error?</v>
      </c>
    </row>
    <row r="1389" spans="1:4" x14ac:dyDescent="0.2">
      <c r="A1389" s="5">
        <v>1328</v>
      </c>
      <c r="B1389" s="1832">
        <f>'Expenditures 15-22'!K211</f>
        <v>48366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1994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17511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540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540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458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458</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3004</v>
      </c>
      <c r="D1423" s="2" t="str">
        <f t="shared" si="21"/>
        <v>Error?</v>
      </c>
    </row>
    <row r="1424" spans="1:4" x14ac:dyDescent="0.2">
      <c r="A1424" s="5">
        <v>1363</v>
      </c>
      <c r="B1424" s="1832">
        <f>'Expenditures 15-22'!D257</f>
        <v>3004</v>
      </c>
      <c r="C1424" s="2" t="s">
        <v>569</v>
      </c>
      <c r="D1424" s="2" t="str">
        <f t="shared" si="21"/>
        <v>Error?</v>
      </c>
    </row>
    <row r="1425" spans="1:4" x14ac:dyDescent="0.2">
      <c r="A1425" s="5">
        <v>1364</v>
      </c>
      <c r="B1425" s="1832">
        <f>'Expenditures 15-22'!D259</f>
        <v>5545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5545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3608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12183</v>
      </c>
      <c r="D1431" s="2" t="str">
        <f t="shared" si="21"/>
        <v>Error?</v>
      </c>
    </row>
    <row r="1432" spans="1:4" x14ac:dyDescent="0.2">
      <c r="A1432" s="5">
        <v>1371</v>
      </c>
      <c r="B1432" s="1832">
        <f>'Expenditures 15-22'!D267</f>
        <v>4904</v>
      </c>
      <c r="D1432" s="2" t="str">
        <f t="shared" si="21"/>
        <v>Error?</v>
      </c>
    </row>
    <row r="1433" spans="1:4" x14ac:dyDescent="0.2">
      <c r="A1433" s="5">
        <v>1372</v>
      </c>
      <c r="B1433" s="1832">
        <f>'Expenditures 15-22'!D268</f>
        <v>8372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29067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38614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56125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1994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17511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540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540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458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458</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3004</v>
      </c>
      <c r="C1487" s="2" t="s">
        <v>569</v>
      </c>
      <c r="D1487" s="2" t="str">
        <f t="shared" si="22"/>
        <v>Error?</v>
      </c>
    </row>
    <row r="1488" spans="1:4" x14ac:dyDescent="0.2">
      <c r="A1488" s="5">
        <v>1427</v>
      </c>
      <c r="B1488" s="1832">
        <f>'Expenditures 15-22'!K257</f>
        <v>3004</v>
      </c>
      <c r="C1488" s="2" t="s">
        <v>569</v>
      </c>
      <c r="D1488" s="2" t="str">
        <f t="shared" si="22"/>
        <v>Error?</v>
      </c>
    </row>
    <row r="1489" spans="1:4" x14ac:dyDescent="0.2">
      <c r="A1489" s="5">
        <v>1428</v>
      </c>
      <c r="B1489" s="1832">
        <f>'Expenditures 15-22'!K259</f>
        <v>5545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5545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3608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12183</v>
      </c>
      <c r="C1495" s="2" t="s">
        <v>569</v>
      </c>
      <c r="D1495" s="2" t="str">
        <f t="shared" si="22"/>
        <v>Error?</v>
      </c>
    </row>
    <row r="1496" spans="1:4" x14ac:dyDescent="0.2">
      <c r="A1496" s="5">
        <v>1435</v>
      </c>
      <c r="B1496" s="1832">
        <f>'Expenditures 15-22'!K267</f>
        <v>4904</v>
      </c>
      <c r="C1496" s="2" t="s">
        <v>569</v>
      </c>
      <c r="D1496" s="2" t="str">
        <f t="shared" si="22"/>
        <v>Error?</v>
      </c>
    </row>
    <row r="1497" spans="1:4" x14ac:dyDescent="0.2">
      <c r="A1497" s="5">
        <v>1436</v>
      </c>
      <c r="B1497" s="1832">
        <f>'Expenditures 15-22'!K268</f>
        <v>8372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29067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38614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56125</v>
      </c>
      <c r="C1517" s="2" t="s">
        <v>569</v>
      </c>
      <c r="D1517" s="2" t="str">
        <f t="shared" si="22"/>
        <v>Error?</v>
      </c>
    </row>
    <row r="1518" spans="1:4" x14ac:dyDescent="0.2">
      <c r="A1518" s="5">
        <v>1457</v>
      </c>
      <c r="B1518" s="1832">
        <f>'Expenditures 15-22'!K296</f>
        <v>32618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78914</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78914</v>
      </c>
      <c r="C1535" s="2" t="s">
        <v>569</v>
      </c>
      <c r="D1535" s="2" t="str">
        <f t="shared" ref="D1535:D1598" si="23">IF(ISBLANK(B1535),"OK",IF(A1535-B1535=0,"OK","Error?"))</f>
        <v>Error?</v>
      </c>
    </row>
    <row r="1536" spans="1:4" x14ac:dyDescent="0.2">
      <c r="A1536" s="5">
        <v>1475</v>
      </c>
      <c r="B1536" s="1832">
        <f>'Expenditures 15-22'!E312</f>
        <v>78914</v>
      </c>
      <c r="C1536" s="2" t="s">
        <v>569</v>
      </c>
      <c r="D1536" s="2" t="str">
        <f t="shared" si="23"/>
        <v>Error?</v>
      </c>
    </row>
    <row r="1537" spans="1:4" x14ac:dyDescent="0.2">
      <c r="A1537" s="5">
        <v>1476</v>
      </c>
      <c r="B1537" s="1832">
        <f>'Expenditures 15-22'!F301</f>
        <v>1792</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1792</v>
      </c>
      <c r="C1541" s="2" t="s">
        <v>569</v>
      </c>
      <c r="D1541" s="2" t="str">
        <f t="shared" si="23"/>
        <v>Error?</v>
      </c>
    </row>
    <row r="1542" spans="1:4" x14ac:dyDescent="0.2">
      <c r="A1542" s="5">
        <v>1481</v>
      </c>
      <c r="B1542" s="1832">
        <f>'Expenditures 15-22'!F312</f>
        <v>1792</v>
      </c>
      <c r="C1542" s="2" t="s">
        <v>569</v>
      </c>
      <c r="D1542" s="2" t="str">
        <f t="shared" si="23"/>
        <v>Error?</v>
      </c>
    </row>
    <row r="1543" spans="1:4" x14ac:dyDescent="0.2">
      <c r="A1543" s="5">
        <v>1482</v>
      </c>
      <c r="B1543" s="1832">
        <f>'Expenditures 15-22'!G301</f>
        <v>54359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54359</v>
      </c>
      <c r="C1547" s="2" t="s">
        <v>569</v>
      </c>
      <c r="D1547" s="2" t="str">
        <f t="shared" si="23"/>
        <v>Error?</v>
      </c>
    </row>
    <row r="1548" spans="1:4" x14ac:dyDescent="0.2">
      <c r="A1548" s="5">
        <v>1487</v>
      </c>
      <c r="B1548" s="1832">
        <f>'Expenditures 15-22'!G312</f>
        <v>54359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135065</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135065</v>
      </c>
      <c r="C1559" s="2" t="s">
        <v>569</v>
      </c>
      <c r="D1559" s="2" t="str">
        <f t="shared" si="23"/>
        <v>Error?</v>
      </c>
    </row>
    <row r="1560" spans="1:4" x14ac:dyDescent="0.2">
      <c r="A1560" s="5">
        <v>1499</v>
      </c>
      <c r="B1560" s="1832">
        <f>'Expenditures 15-22'!K312</f>
        <v>135065</v>
      </c>
      <c r="C1560" s="2" t="s">
        <v>569</v>
      </c>
      <c r="D1560" s="2" t="str">
        <f t="shared" si="23"/>
        <v>Error?</v>
      </c>
    </row>
    <row r="1561" spans="1:4" x14ac:dyDescent="0.2">
      <c r="A1561" s="5">
        <v>1500</v>
      </c>
      <c r="B1561" s="1832">
        <f>'Expenditures 15-22'!K313</f>
        <v>-32086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877270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1139968</v>
      </c>
      <c r="C1630" s="2" t="s">
        <v>569</v>
      </c>
      <c r="D1630" s="2" t="str">
        <f t="shared" si="24"/>
        <v>Error?</v>
      </c>
    </row>
    <row r="1631" spans="1:4" x14ac:dyDescent="0.2">
      <c r="A1631" s="5">
        <v>1570</v>
      </c>
      <c r="B1631" s="1832">
        <f>'Acct Summary 7-8'!D79</f>
        <v>236910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203809</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406815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455181</v>
      </c>
      <c r="C1672" s="2" t="s">
        <v>569</v>
      </c>
      <c r="D1672" s="2" t="str">
        <f t="shared" si="25"/>
        <v>Error?</v>
      </c>
    </row>
    <row r="1673" spans="1:4" x14ac:dyDescent="0.2">
      <c r="A1673" s="5">
        <v>1612</v>
      </c>
      <c r="B1673" s="1832">
        <f>'Acct Summary 7-8'!G79</f>
        <v>131233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163851</v>
      </c>
      <c r="C1686" s="2" t="s">
        <v>569</v>
      </c>
      <c r="D1686" s="2" t="str">
        <f t="shared" si="25"/>
        <v>Error?</v>
      </c>
    </row>
    <row r="1687" spans="1:4" x14ac:dyDescent="0.2">
      <c r="A1687" s="5">
        <v>1626</v>
      </c>
      <c r="B1687" s="1832">
        <f>'Acct Summary 7-8'!H79</f>
        <v>441369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409283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1653006</v>
      </c>
      <c r="C1744" s="2" t="s">
        <v>569</v>
      </c>
      <c r="D1744" s="2" t="str">
        <f t="shared" si="26"/>
        <v>Error?</v>
      </c>
    </row>
    <row r="1745" spans="1:5" x14ac:dyDescent="0.2">
      <c r="A1745" s="5">
        <v>1684</v>
      </c>
      <c r="B1745" s="1832">
        <f>'Tax Sched 23'!B5</f>
        <v>261961</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143522</v>
      </c>
      <c r="C1747" s="2" t="s">
        <v>569</v>
      </c>
      <c r="D1747" s="2" t="str">
        <f t="shared" si="26"/>
        <v>Error?</v>
      </c>
    </row>
    <row r="1748" spans="1:5" x14ac:dyDescent="0.2">
      <c r="A1748" s="5">
        <v>1687</v>
      </c>
      <c r="B1748" s="1832">
        <f>'Tax Sched 23'!B8</f>
        <v>37962</v>
      </c>
      <c r="C1748" s="2" t="s">
        <v>569</v>
      </c>
      <c r="D1748" s="2" t="str">
        <f t="shared" si="26"/>
        <v>Error?</v>
      </c>
    </row>
    <row r="1749" spans="1:5" x14ac:dyDescent="0.2">
      <c r="A1749" s="5">
        <v>1688</v>
      </c>
      <c r="B1749" s="1832">
        <f>'Tax Sched 23'!B10</f>
        <v>13810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5907</v>
      </c>
      <c r="C1753" s="2" t="s">
        <v>569</v>
      </c>
      <c r="D1753" s="2" t="str">
        <f t="shared" si="26"/>
        <v>Error?</v>
      </c>
    </row>
    <row r="1754" spans="1:5" x14ac:dyDescent="0.2">
      <c r="A1754" s="5">
        <v>1693</v>
      </c>
      <c r="B1754" s="1832">
        <f>'Tax Sched 23'!B14</f>
        <v>30437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2206311</v>
      </c>
      <c r="C1759" s="2" t="s">
        <v>569</v>
      </c>
      <c r="D1759" s="2" t="str">
        <f t="shared" si="26"/>
        <v>Error?</v>
      </c>
    </row>
    <row r="1760" spans="1:5" x14ac:dyDescent="0.2">
      <c r="A1760" s="5">
        <v>1699</v>
      </c>
      <c r="B1760" s="1832">
        <f>'Tax Sched 23'!D4</f>
        <v>1653006</v>
      </c>
      <c r="C1760" s="2" t="s">
        <v>569</v>
      </c>
      <c r="D1760" s="2" t="str">
        <f t="shared" si="26"/>
        <v>Error?</v>
      </c>
    </row>
    <row r="1761" spans="1:7" x14ac:dyDescent="0.2">
      <c r="A1761" s="5">
        <v>1700</v>
      </c>
      <c r="B1761" s="1832">
        <f>'Tax Sched 23'!D5</f>
        <v>261961</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143522</v>
      </c>
      <c r="C1763" s="2" t="s">
        <v>569</v>
      </c>
      <c r="D1763" s="2" t="str">
        <f t="shared" si="26"/>
        <v>Error?</v>
      </c>
    </row>
    <row r="1764" spans="1:7" x14ac:dyDescent="0.2">
      <c r="A1764" s="5">
        <v>1703</v>
      </c>
      <c r="B1764" s="1832">
        <f>'Tax Sched 23'!D8</f>
        <v>37962</v>
      </c>
      <c r="C1764" s="2" t="s">
        <v>569</v>
      </c>
      <c r="D1764" s="2" t="str">
        <f t="shared" si="26"/>
        <v>Error?</v>
      </c>
    </row>
    <row r="1765" spans="1:7" x14ac:dyDescent="0.2">
      <c r="A1765" s="5">
        <v>1704</v>
      </c>
      <c r="B1765" s="1832">
        <f>'Tax Sched 23'!D10</f>
        <v>13810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5907</v>
      </c>
      <c r="C1769" s="2" t="s">
        <v>569</v>
      </c>
      <c r="D1769" s="2" t="str">
        <f t="shared" si="26"/>
        <v>Error?</v>
      </c>
    </row>
    <row r="1770" spans="1:7" x14ac:dyDescent="0.2">
      <c r="A1770" s="5">
        <v>1709</v>
      </c>
      <c r="B1770" s="1832">
        <f>'Tax Sched 23'!D14</f>
        <v>30437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2206311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1702340</v>
      </c>
      <c r="C1792" s="2" t="s">
        <v>569</v>
      </c>
      <c r="D1792" s="2" t="str">
        <f t="shared" si="27"/>
        <v>Error?</v>
      </c>
    </row>
    <row r="1793" spans="1:4" x14ac:dyDescent="0.2">
      <c r="A1793" s="5">
        <v>1732</v>
      </c>
      <c r="B1793" s="1832">
        <f>'Tax Sched 23'!F5</f>
        <v>264694</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143039</v>
      </c>
      <c r="C1795" s="2" t="s">
        <v>569</v>
      </c>
      <c r="D1795" s="2" t="str">
        <f t="shared" si="27"/>
        <v>Error?</v>
      </c>
    </row>
    <row r="1796" spans="1:4" x14ac:dyDescent="0.2">
      <c r="A1796" s="5">
        <v>1735</v>
      </c>
      <c r="B1796" s="1832">
        <f>'Tax Sched 23'!F8</f>
        <v>37487</v>
      </c>
      <c r="C1796" s="2" t="s">
        <v>569</v>
      </c>
      <c r="D1796" s="2" t="str">
        <f t="shared" si="27"/>
        <v>Error?</v>
      </c>
    </row>
    <row r="1797" spans="1:4" x14ac:dyDescent="0.2">
      <c r="A1797" s="5">
        <v>1736</v>
      </c>
      <c r="B1797" s="1832">
        <f>'Tax Sched 23'!F10</f>
        <v>13813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5968</v>
      </c>
      <c r="C1801" s="2" t="s">
        <v>569</v>
      </c>
      <c r="D1801" s="2" t="str">
        <f t="shared" si="27"/>
        <v>Error?</v>
      </c>
    </row>
    <row r="1802" spans="1:4" x14ac:dyDescent="0.2">
      <c r="A1802" s="5">
        <v>1741</v>
      </c>
      <c r="B1802" s="1832">
        <f>'Tax Sched 23'!F14</f>
        <v>30740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2258375</v>
      </c>
      <c r="C1807" s="2" t="s">
        <v>569</v>
      </c>
      <c r="D1807" s="2" t="str">
        <f t="shared" si="27"/>
        <v>Error?</v>
      </c>
    </row>
    <row r="1808" spans="1:4" x14ac:dyDescent="0.2">
      <c r="A1808" s="5">
        <v>1747</v>
      </c>
      <c r="B1808" s="1832">
        <f>'Tax Sched 23'!E4</f>
        <v>1702340</v>
      </c>
      <c r="D1808" s="2" t="str">
        <f t="shared" si="27"/>
        <v>Error?</v>
      </c>
    </row>
    <row r="1809" spans="1:4" x14ac:dyDescent="0.2">
      <c r="A1809" s="5">
        <v>1748</v>
      </c>
      <c r="B1809" s="1832">
        <f>'Tax Sched 23'!E5</f>
        <v>264694</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143039</v>
      </c>
      <c r="D1811" s="2" t="str">
        <f t="shared" si="27"/>
        <v>Error?</v>
      </c>
    </row>
    <row r="1812" spans="1:4" x14ac:dyDescent="0.2">
      <c r="A1812" s="5">
        <v>1751</v>
      </c>
      <c r="B1812" s="1832">
        <f>'Tax Sched 23'!E8</f>
        <v>37487</v>
      </c>
      <c r="D1812" s="2" t="str">
        <f t="shared" si="27"/>
        <v>Error?</v>
      </c>
    </row>
    <row r="1813" spans="1:4" x14ac:dyDescent="0.2">
      <c r="A1813" s="5">
        <v>1752</v>
      </c>
      <c r="B1813" s="1832">
        <f>'Tax Sched 23'!E10</f>
        <v>13813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5968</v>
      </c>
      <c r="D1817" s="2" t="str">
        <f t="shared" si="27"/>
        <v>Error?</v>
      </c>
    </row>
    <row r="1818" spans="1:4" x14ac:dyDescent="0.2">
      <c r="A1818" s="5">
        <v>1757</v>
      </c>
      <c r="B1818" s="1832">
        <f>'Tax Sched 23'!E14</f>
        <v>30740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2258375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253320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30437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30437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30437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10588</v>
      </c>
      <c r="D2008" s="2" t="str">
        <f t="shared" si="30"/>
        <v>Error?</v>
      </c>
    </row>
    <row r="2009" spans="1:4" x14ac:dyDescent="0.2">
      <c r="A2009" s="5">
        <v>1948</v>
      </c>
      <c r="B2009" s="1832">
        <f>'Cap Outlay Deprec 26'!C8</f>
        <v>2230429</v>
      </c>
      <c r="D2009" s="2" t="str">
        <f t="shared" si="30"/>
        <v>Error?</v>
      </c>
    </row>
    <row r="2010" spans="1:4" x14ac:dyDescent="0.2">
      <c r="A2010" s="5">
        <v>1949</v>
      </c>
      <c r="B2010" s="1832">
        <f>'Cap Outlay Deprec 26'!C10</f>
        <v>160104</v>
      </c>
      <c r="D2010" s="2" t="str">
        <f t="shared" si="30"/>
        <v>Error?</v>
      </c>
    </row>
    <row r="2011" spans="1:4" x14ac:dyDescent="0.2">
      <c r="A2011" s="5">
        <v>1950</v>
      </c>
      <c r="B2011" s="1832">
        <f>'Cap Outlay Deprec 26'!C12</f>
        <v>1122077</v>
      </c>
      <c r="D2011" s="2" t="str">
        <f t="shared" si="30"/>
        <v>Error?</v>
      </c>
    </row>
    <row r="2012" spans="1:4" x14ac:dyDescent="0.2">
      <c r="A2012" s="5">
        <v>1951</v>
      </c>
      <c r="B2012" s="1832">
        <f>'Cap Outlay Deprec 26'!C13</f>
        <v>640829</v>
      </c>
      <c r="D2012" s="2" t="str">
        <f t="shared" si="30"/>
        <v>Error?</v>
      </c>
    </row>
    <row r="2013" spans="1:4" x14ac:dyDescent="0.2">
      <c r="A2013" s="5">
        <v>1952</v>
      </c>
      <c r="B2013" s="1832">
        <f>'Cap Outlay Deprec 26'!C16</f>
        <v>4164027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62926</v>
      </c>
      <c r="D2017" s="2" t="str">
        <f t="shared" si="30"/>
        <v>Error?</v>
      </c>
    </row>
    <row r="2018" spans="1:4" x14ac:dyDescent="0.2">
      <c r="A2018" s="5">
        <v>1957</v>
      </c>
      <c r="B2018" s="1832">
        <f>'Cap Outlay Deprec 26'!D13</f>
        <v>55134</v>
      </c>
      <c r="D2018" s="2" t="str">
        <f t="shared" si="30"/>
        <v>Error?</v>
      </c>
    </row>
    <row r="2019" spans="1:4" x14ac:dyDescent="0.2">
      <c r="A2019" s="5">
        <v>1958</v>
      </c>
      <c r="B2019" s="1832">
        <f>'Cap Outlay Deprec 26'!D16</f>
        <v>118060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10588</v>
      </c>
      <c r="C2026" s="2" t="s">
        <v>569</v>
      </c>
      <c r="D2026" s="2" t="str">
        <f t="shared" si="30"/>
        <v>Error?</v>
      </c>
    </row>
    <row r="2027" spans="1:4" x14ac:dyDescent="0.2">
      <c r="A2027" s="5">
        <v>1966</v>
      </c>
      <c r="B2027" s="1832">
        <f>'Cap Outlay Deprec 26'!F8</f>
        <v>2230429</v>
      </c>
      <c r="C2027" s="2" t="s">
        <v>569</v>
      </c>
      <c r="D2027" s="2" t="str">
        <f t="shared" si="30"/>
        <v>Error?</v>
      </c>
    </row>
    <row r="2028" spans="1:4" x14ac:dyDescent="0.2">
      <c r="A2028" s="5">
        <v>1967</v>
      </c>
      <c r="B2028" s="1832">
        <f>'Cap Outlay Deprec 26'!F10</f>
        <v>160104</v>
      </c>
      <c r="C2028" s="2" t="s">
        <v>569</v>
      </c>
      <c r="D2028" s="2" t="str">
        <f t="shared" si="30"/>
        <v>Error?</v>
      </c>
    </row>
    <row r="2029" spans="1:4" x14ac:dyDescent="0.2">
      <c r="A2029" s="5">
        <v>1968</v>
      </c>
      <c r="B2029" s="1832">
        <f>'Cap Outlay Deprec 26'!F12</f>
        <v>1185003</v>
      </c>
      <c r="C2029" s="2" t="s">
        <v>569</v>
      </c>
      <c r="D2029" s="2" t="str">
        <f t="shared" si="30"/>
        <v>Error?</v>
      </c>
    </row>
    <row r="2030" spans="1:4" x14ac:dyDescent="0.2">
      <c r="A2030" s="5">
        <v>1969</v>
      </c>
      <c r="B2030" s="1832">
        <f>'Cap Outlay Deprec 26'!F13</f>
        <v>695963</v>
      </c>
      <c r="C2030" s="2" t="s">
        <v>569</v>
      </c>
      <c r="D2030" s="2" t="str">
        <f t="shared" si="30"/>
        <v>Error?</v>
      </c>
    </row>
    <row r="2031" spans="1:4" x14ac:dyDescent="0.2">
      <c r="A2031" s="5">
        <v>1970</v>
      </c>
      <c r="B2031" s="1832">
        <f>'Cap Outlay Deprec 26'!F16</f>
        <v>4282087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1479247</v>
      </c>
      <c r="D2033" s="2" t="str">
        <f t="shared" si="30"/>
        <v>Error?</v>
      </c>
    </row>
    <row r="2034" spans="1:4" x14ac:dyDescent="0.2">
      <c r="A2034" s="5">
        <v>1973</v>
      </c>
      <c r="B2034" s="1832">
        <f>'Cap Outlay Deprec 26'!H10</f>
        <v>158535</v>
      </c>
      <c r="D2034" s="2" t="str">
        <f t="shared" si="30"/>
        <v>Error?</v>
      </c>
    </row>
    <row r="2035" spans="1:4" x14ac:dyDescent="0.2">
      <c r="A2035" s="5">
        <v>1974</v>
      </c>
      <c r="B2035" s="1832">
        <f>'Cap Outlay Deprec 26'!H12</f>
        <v>981916</v>
      </c>
      <c r="D2035" s="2" t="str">
        <f t="shared" si="30"/>
        <v>Error?</v>
      </c>
    </row>
    <row r="2036" spans="1:4" x14ac:dyDescent="0.2">
      <c r="A2036" s="5">
        <v>1975</v>
      </c>
      <c r="B2036" s="1832">
        <f>'Cap Outlay Deprec 26'!H13</f>
        <v>504409</v>
      </c>
      <c r="D2036" s="2" t="str">
        <f t="shared" si="30"/>
        <v>Error?</v>
      </c>
    </row>
    <row r="2037" spans="1:4" x14ac:dyDescent="0.2">
      <c r="A2037" s="5">
        <v>1976</v>
      </c>
      <c r="B2037" s="1832">
        <f>'Cap Outlay Deprec 26'!H16</f>
        <v>3124107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28071</v>
      </c>
      <c r="D2039" s="2" t="str">
        <f t="shared" si="30"/>
        <v>Error?</v>
      </c>
    </row>
    <row r="2040" spans="1:4" x14ac:dyDescent="0.2">
      <c r="A2040" s="5">
        <v>1979</v>
      </c>
      <c r="B2040" s="1832">
        <f>'Cap Outlay Deprec 26'!I10</f>
        <v>1166</v>
      </c>
      <c r="D2040" s="2" t="str">
        <f t="shared" si="30"/>
        <v>Error?</v>
      </c>
    </row>
    <row r="2041" spans="1:4" x14ac:dyDescent="0.2">
      <c r="A2041" s="5">
        <v>1980</v>
      </c>
      <c r="B2041" s="1832">
        <f>'Cap Outlay Deprec 26'!I12</f>
        <v>38084</v>
      </c>
      <c r="D2041" s="2" t="str">
        <f t="shared" si="30"/>
        <v>Error?</v>
      </c>
    </row>
    <row r="2042" spans="1:4" x14ac:dyDescent="0.2">
      <c r="A2042" s="5">
        <v>1981</v>
      </c>
      <c r="B2042" s="1832">
        <f>'Cap Outlay Deprec 26'!I13</f>
        <v>59692</v>
      </c>
      <c r="D2042" s="2" t="str">
        <f t="shared" si="30"/>
        <v>Error?</v>
      </c>
    </row>
    <row r="2043" spans="1:4" x14ac:dyDescent="0.2">
      <c r="A2043" s="5">
        <v>1982</v>
      </c>
      <c r="B2043" s="1832">
        <f>'Cap Outlay Deprec 26'!I16</f>
        <v>127013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1507318</v>
      </c>
      <c r="C2051" s="2" t="s">
        <v>569</v>
      </c>
      <c r="D2051" s="2" t="str">
        <f t="shared" si="31"/>
        <v>Error?</v>
      </c>
    </row>
    <row r="2052" spans="1:4" x14ac:dyDescent="0.2">
      <c r="A2052" s="5">
        <v>1991</v>
      </c>
      <c r="B2052" s="1832">
        <f>'Cap Outlay Deprec 26'!K10</f>
        <v>159701</v>
      </c>
      <c r="C2052" s="2" t="s">
        <v>569</v>
      </c>
      <c r="D2052" s="2" t="str">
        <f t="shared" si="31"/>
        <v>Error?</v>
      </c>
    </row>
    <row r="2053" spans="1:4" x14ac:dyDescent="0.2">
      <c r="A2053" s="5">
        <v>1992</v>
      </c>
      <c r="B2053" s="1832">
        <f>'Cap Outlay Deprec 26'!K12</f>
        <v>1020000</v>
      </c>
      <c r="C2053" s="2" t="s">
        <v>569</v>
      </c>
      <c r="D2053" s="2" t="str">
        <f t="shared" si="31"/>
        <v>Error?</v>
      </c>
    </row>
    <row r="2054" spans="1:4" x14ac:dyDescent="0.2">
      <c r="A2054" s="5">
        <v>1993</v>
      </c>
      <c r="B2054" s="1832">
        <f>'Cap Outlay Deprec 26'!K13</f>
        <v>564101</v>
      </c>
      <c r="C2054" s="2" t="s">
        <v>569</v>
      </c>
      <c r="D2054" s="2" t="str">
        <f t="shared" si="31"/>
        <v>Error?</v>
      </c>
    </row>
    <row r="2055" spans="1:4" x14ac:dyDescent="0.2">
      <c r="A2055" s="5">
        <v>1994</v>
      </c>
      <c r="B2055" s="1832">
        <f>'Cap Outlay Deprec 26'!K16</f>
        <v>3251120</v>
      </c>
      <c r="C2055" s="2" t="s">
        <v>569</v>
      </c>
      <c r="D2055" s="2" t="str">
        <f t="shared" si="31"/>
        <v>Error?</v>
      </c>
    </row>
    <row r="2056" spans="1:4" x14ac:dyDescent="0.2">
      <c r="A2056" s="5">
        <v>1995</v>
      </c>
      <c r="B2056" s="1832">
        <f>'Cap Outlay Deprec 26'!L5</f>
        <v>10588</v>
      </c>
      <c r="C2056" s="2" t="s">
        <v>569</v>
      </c>
      <c r="D2056" s="2" t="str">
        <f t="shared" si="31"/>
        <v>Error?</v>
      </c>
    </row>
    <row r="2057" spans="1:4" x14ac:dyDescent="0.2">
      <c r="A2057" s="5">
        <v>1996</v>
      </c>
      <c r="B2057" s="1832">
        <f>'Cap Outlay Deprec 26'!L8</f>
        <v>723111</v>
      </c>
      <c r="C2057" s="2" t="s">
        <v>569</v>
      </c>
      <c r="D2057" s="2" t="str">
        <f t="shared" si="31"/>
        <v>Error?</v>
      </c>
    </row>
    <row r="2058" spans="1:4" x14ac:dyDescent="0.2">
      <c r="A2058" s="5">
        <v>1997</v>
      </c>
      <c r="B2058" s="1832">
        <f>'Cap Outlay Deprec 26'!L10</f>
        <v>403</v>
      </c>
      <c r="C2058" s="2" t="s">
        <v>569</v>
      </c>
      <c r="D2058" s="2" t="str">
        <f t="shared" si="31"/>
        <v>Error?</v>
      </c>
    </row>
    <row r="2059" spans="1:4" x14ac:dyDescent="0.2">
      <c r="A2059" s="5">
        <v>1998</v>
      </c>
      <c r="B2059" s="1832">
        <f>'Cap Outlay Deprec 26'!L12</f>
        <v>165003</v>
      </c>
      <c r="C2059" s="2" t="s">
        <v>569</v>
      </c>
      <c r="D2059" s="2" t="str">
        <f t="shared" si="31"/>
        <v>Error?</v>
      </c>
    </row>
    <row r="2060" spans="1:4" x14ac:dyDescent="0.2">
      <c r="A2060" s="5">
        <v>1999</v>
      </c>
      <c r="B2060" s="1832">
        <f>'Cap Outlay Deprec 26'!L13</f>
        <v>131862</v>
      </c>
      <c r="C2060" s="2" t="s">
        <v>569</v>
      </c>
      <c r="D2060" s="2" t="str">
        <f t="shared" si="31"/>
        <v>Error?</v>
      </c>
    </row>
    <row r="2061" spans="1:4" x14ac:dyDescent="0.2">
      <c r="A2061" s="5">
        <v>2000</v>
      </c>
      <c r="B2061" s="1832">
        <f>'Cap Outlay Deprec 26'!L16</f>
        <v>1030967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8406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86550</v>
      </c>
      <c r="C2088" s="2" t="s">
        <v>569</v>
      </c>
      <c r="D2088" s="2" t="str">
        <f t="shared" si="31"/>
        <v>Error?</v>
      </c>
    </row>
    <row r="2089" spans="1:4" x14ac:dyDescent="0.2">
      <c r="A2089" s="5">
        <v>2028</v>
      </c>
      <c r="B2089" s="1832">
        <f>'Expenditures 15-22'!K92</f>
        <v>6283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4810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6570</v>
      </c>
      <c r="D2435" s="2" t="str">
        <f t="shared" si="37"/>
        <v>Error?</v>
      </c>
    </row>
    <row r="2436" spans="1:4" x14ac:dyDescent="0.2">
      <c r="A2436" s="10">
        <v>2375</v>
      </c>
      <c r="B2436" s="1832"/>
      <c r="D2436" s="2" t="str">
        <f t="shared" si="37"/>
        <v>OK</v>
      </c>
    </row>
    <row r="2437" spans="1:4" x14ac:dyDescent="0.2">
      <c r="A2437" s="5">
        <v>2376</v>
      </c>
      <c r="B2437" s="1832">
        <f>'Assets-Liab 5-6'!D38</f>
        <v>105500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41026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409283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1841067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337881</v>
      </c>
      <c r="C2553" s="2" t="s">
        <v>569</v>
      </c>
      <c r="D2553" s="2" t="str">
        <f t="shared" si="38"/>
        <v>Error?</v>
      </c>
    </row>
    <row r="2554" spans="1:4" x14ac:dyDescent="0.2">
      <c r="A2554" s="5">
        <v>2493</v>
      </c>
      <c r="B2554" s="1832">
        <f>'Acct Summary 7-8'!C7</f>
        <v>201836</v>
      </c>
      <c r="C2554" s="2" t="s">
        <v>569</v>
      </c>
      <c r="D2554" s="2" t="str">
        <f t="shared" si="38"/>
        <v>Error?</v>
      </c>
    </row>
    <row r="2555" spans="1:4" x14ac:dyDescent="0.2">
      <c r="A2555" s="5">
        <v>2494</v>
      </c>
      <c r="B2555" s="1832">
        <f>'Acct Summary 7-8'!C8</f>
        <v>2380784</v>
      </c>
      <c r="C2555" s="2" t="s">
        <v>569</v>
      </c>
      <c r="D2555" s="2" t="str">
        <f t="shared" si="38"/>
        <v>Error?</v>
      </c>
    </row>
    <row r="2556" spans="1:4" x14ac:dyDescent="0.2">
      <c r="A2556" s="5">
        <v>2495</v>
      </c>
      <c r="B2556" s="1832">
        <f>'Acct Summary 7-8'!C12</f>
        <v>1406235</v>
      </c>
      <c r="C2556" s="2" t="s">
        <v>569</v>
      </c>
      <c r="D2556" s="2" t="str">
        <f t="shared" si="38"/>
        <v>Error?</v>
      </c>
    </row>
    <row r="2557" spans="1:4" x14ac:dyDescent="0.2">
      <c r="A2557" s="5">
        <v>2496</v>
      </c>
      <c r="B2557" s="1832">
        <f>'Acct Summary 7-8'!C13</f>
        <v>619018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92833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2118086</v>
      </c>
      <c r="C2561" s="2" t="s">
        <v>569</v>
      </c>
      <c r="D2561" s="2" t="str">
        <f t="shared" si="39"/>
        <v>Error?</v>
      </c>
    </row>
    <row r="2562" spans="1:4" x14ac:dyDescent="0.2">
      <c r="A2562" s="5">
        <v>2501</v>
      </c>
      <c r="B2562" s="1832">
        <f>'Acct Summary 7-8'!C20</f>
        <v>262698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262336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312336</v>
      </c>
      <c r="C2568" s="2" t="s">
        <v>569</v>
      </c>
      <c r="D2568" s="2" t="str">
        <f t="shared" si="39"/>
        <v>Error?</v>
      </c>
    </row>
    <row r="2569" spans="1:4" x14ac:dyDescent="0.2">
      <c r="A2569" s="5">
        <v>2508</v>
      </c>
      <c r="B2569" s="1832">
        <f>'Acct Summary 7-8'!D13</f>
        <v>350247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350247</v>
      </c>
      <c r="C2573" s="2" t="s">
        <v>569</v>
      </c>
      <c r="D2573" s="2" t="str">
        <f t="shared" si="39"/>
        <v>Error?</v>
      </c>
    </row>
    <row r="2574" spans="1:4" x14ac:dyDescent="0.2">
      <c r="A2574" s="5">
        <v>2513</v>
      </c>
      <c r="B2574" s="1832">
        <f>'Acct Summary 7-8'!D20</f>
        <v>-37911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144743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59448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204191</v>
      </c>
      <c r="C2595" s="2" t="s">
        <v>569</v>
      </c>
      <c r="D2595" s="2" t="str">
        <f t="shared" si="39"/>
        <v>Error?</v>
      </c>
    </row>
    <row r="2596" spans="1:4" x14ac:dyDescent="0.2">
      <c r="A2596" s="5">
        <v>2535</v>
      </c>
      <c r="B2596" s="1832">
        <f>'Acct Summary 7-8'!F13</f>
        <v>155825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155825</v>
      </c>
      <c r="C2600" s="2" t="s">
        <v>569</v>
      </c>
      <c r="D2600" s="2" t="str">
        <f t="shared" si="39"/>
        <v>Error?</v>
      </c>
    </row>
    <row r="2601" spans="1:4" x14ac:dyDescent="0.2">
      <c r="A2601" s="5">
        <v>2540</v>
      </c>
      <c r="B2601" s="1832">
        <f>'Acct Summary 7-8'!F20</f>
        <v>48366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88743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88743</v>
      </c>
      <c r="C2606" s="2" t="s">
        <v>569</v>
      </c>
      <c r="D2606" s="2" t="str">
        <f t="shared" si="39"/>
        <v>Error?</v>
      </c>
    </row>
    <row r="2607" spans="1:4" x14ac:dyDescent="0.2">
      <c r="A2607" s="5">
        <v>2546</v>
      </c>
      <c r="B2607" s="1832">
        <f>'Acct Summary 7-8'!G12</f>
        <v>17511</v>
      </c>
      <c r="C2607" s="2" t="s">
        <v>569</v>
      </c>
      <c r="D2607" s="2" t="str">
        <f t="shared" si="39"/>
        <v>Error?</v>
      </c>
    </row>
    <row r="2608" spans="1:4" x14ac:dyDescent="0.2">
      <c r="A2608" s="5">
        <v>2547</v>
      </c>
      <c r="B2608" s="1832">
        <f>'Acct Summary 7-8'!G13</f>
        <v>38614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56125</v>
      </c>
      <c r="C2612" s="2" t="s">
        <v>569</v>
      </c>
      <c r="D2612" s="2" t="str">
        <f t="shared" si="39"/>
        <v>Error?</v>
      </c>
    </row>
    <row r="2613" spans="1:4" x14ac:dyDescent="0.2">
      <c r="A2613" s="5">
        <v>2552</v>
      </c>
      <c r="B2613" s="1832">
        <f>'Acct Summary 7-8'!G20</f>
        <v>32618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102979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102979</v>
      </c>
      <c r="C2658" s="2" t="s">
        <v>569</v>
      </c>
      <c r="D2658" s="2" t="str">
        <f t="shared" si="40"/>
        <v>Error?</v>
      </c>
    </row>
    <row r="2659" spans="1:4" x14ac:dyDescent="0.2">
      <c r="A2659" s="5">
        <v>2598</v>
      </c>
      <c r="B2659" s="1832">
        <f>'Acct Summary 7-8'!H13</f>
        <v>135065</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135065</v>
      </c>
      <c r="C2661" s="2" t="s">
        <v>569</v>
      </c>
      <c r="D2661" s="2" t="str">
        <f t="shared" si="40"/>
        <v>Error?</v>
      </c>
    </row>
    <row r="2662" spans="1:4" x14ac:dyDescent="0.2">
      <c r="A2662" s="5">
        <v>2601</v>
      </c>
      <c r="B2662" s="1832">
        <f>'Acct Summary 7-8'!H20</f>
        <v>-32086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78144</v>
      </c>
      <c r="C2789" s="2" t="s">
        <v>569</v>
      </c>
      <c r="D2789" s="2" t="str">
        <f t="shared" si="42"/>
        <v>Error?</v>
      </c>
    </row>
    <row r="2790" spans="1:4" x14ac:dyDescent="0.2">
      <c r="A2790" s="5">
        <v>2729</v>
      </c>
      <c r="B2790" s="1832">
        <f>'Expenditures 15-22'!E102</f>
        <v>78144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532104</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652773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96975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652773</v>
      </c>
      <c r="D2912" s="2" t="str">
        <f t="shared" si="44"/>
        <v>Error?</v>
      </c>
    </row>
    <row r="2913" spans="1:4" x14ac:dyDescent="0.2">
      <c r="A2913" s="5">
        <v>2852</v>
      </c>
      <c r="B2913" s="1832">
        <f>'Assets-Liab 5-6'!I41</f>
        <v>652773</v>
      </c>
      <c r="C2913" s="2" t="s">
        <v>569</v>
      </c>
      <c r="D2913" s="2" t="str">
        <f t="shared" si="44"/>
        <v>Error?</v>
      </c>
    </row>
    <row r="2914" spans="1:4" x14ac:dyDescent="0.2">
      <c r="A2914" s="5">
        <v>2853</v>
      </c>
      <c r="B2914" s="1832">
        <f>'Assets-Liab 5-6'!L33</f>
        <v>96975</v>
      </c>
      <c r="D2914" s="2" t="str">
        <f t="shared" si="44"/>
        <v>Error?</v>
      </c>
    </row>
    <row r="2915" spans="1:4" x14ac:dyDescent="0.2">
      <c r="A2915" s="10">
        <v>2854</v>
      </c>
      <c r="B2915" s="1832"/>
      <c r="D2915" s="2" t="str">
        <f t="shared" si="44"/>
        <v>OK</v>
      </c>
    </row>
    <row r="2916" spans="1:4" x14ac:dyDescent="0.2">
      <c r="A2916" s="5">
        <v>2855</v>
      </c>
      <c r="B2916" s="1832">
        <f>'Assets-Liab 5-6'!L34</f>
        <v>96975</v>
      </c>
      <c r="C2916" s="2" t="s">
        <v>569</v>
      </c>
      <c r="D2916" s="2" t="str">
        <f t="shared" si="44"/>
        <v>Error?</v>
      </c>
    </row>
    <row r="2917" spans="1:4" x14ac:dyDescent="0.2">
      <c r="A2917" s="5">
        <v>2856</v>
      </c>
      <c r="B2917" s="1832">
        <f>'Assets-Liab 5-6'!L41</f>
        <v>96975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78144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6906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1500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85050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1500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24900</v>
      </c>
      <c r="D3055" s="2" t="str">
        <f t="shared" si="46"/>
        <v>Error?</v>
      </c>
    </row>
    <row r="3056" spans="1:4" x14ac:dyDescent="0.2">
      <c r="A3056" s="5">
        <v>2995</v>
      </c>
      <c r="B3056" s="1832">
        <f>'Expenditures 15-22'!D10</f>
        <v>6698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10120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41718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40</v>
      </c>
      <c r="D3064" s="2" t="str">
        <f t="shared" si="46"/>
        <v>Error?</v>
      </c>
    </row>
    <row r="3065" spans="1:4" x14ac:dyDescent="0.2">
      <c r="A3065" s="5">
        <v>3004</v>
      </c>
      <c r="B3065" s="1832">
        <f>'Expenditures 15-22'!K219</f>
        <v>40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18636</v>
      </c>
      <c r="C3225" s="2" t="s">
        <v>569</v>
      </c>
      <c r="D3225" s="2" t="str">
        <f t="shared" si="49"/>
        <v>Error?</v>
      </c>
    </row>
    <row r="3226" spans="1:4" x14ac:dyDescent="0.2">
      <c r="A3226" s="5">
        <v>3165</v>
      </c>
      <c r="B3226" s="1832">
        <f>'Acct Summary 7-8'!I8</f>
        <v>18636</v>
      </c>
      <c r="C3226" s="2" t="s">
        <v>569</v>
      </c>
      <c r="D3226" s="2" t="str">
        <f t="shared" si="49"/>
        <v>Error?</v>
      </c>
    </row>
    <row r="3227" spans="1:4" x14ac:dyDescent="0.2">
      <c r="A3227" s="5">
        <v>3166</v>
      </c>
      <c r="B3227" s="1832">
        <f>'Acct Summary 7-8'!I20</f>
        <v>18636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262698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4810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4810</v>
      </c>
      <c r="C3238" s="2" t="s">
        <v>569</v>
      </c>
      <c r="D3238" s="2" t="str">
        <f t="shared" si="49"/>
        <v>Error?</v>
      </c>
    </row>
    <row r="3239" spans="1:4" x14ac:dyDescent="0.2">
      <c r="A3239" s="5">
        <v>3178</v>
      </c>
      <c r="B3239" s="1832">
        <f>'Acct Summary 7-8'!D78</f>
        <v>-33101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48366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32618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-32086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4810</v>
      </c>
      <c r="C3318" s="2" t="s">
        <v>569</v>
      </c>
      <c r="D3318" s="2" t="str">
        <f t="shared" si="50"/>
        <v>Error?</v>
      </c>
    </row>
    <row r="3319" spans="1:4" x14ac:dyDescent="0.2">
      <c r="A3319" s="5">
        <v>3258</v>
      </c>
      <c r="B3319" s="1832">
        <f>'Acct Summary 7-8'!I77</f>
        <v>-4810</v>
      </c>
      <c r="C3319" s="2" t="s">
        <v>569</v>
      </c>
      <c r="D3319" s="2" t="str">
        <f t="shared" si="50"/>
        <v>Error?</v>
      </c>
    </row>
    <row r="3320" spans="1:4" x14ac:dyDescent="0.2">
      <c r="A3320" s="5">
        <v>3259</v>
      </c>
      <c r="B3320" s="1832">
        <f>'Acct Summary 7-8'!I78</f>
        <v>13826</v>
      </c>
      <c r="C3320" s="2" t="s">
        <v>569</v>
      </c>
      <c r="D3320" s="2" t="str">
        <f t="shared" si="50"/>
        <v>Error?</v>
      </c>
    </row>
    <row r="3321" spans="1:4" x14ac:dyDescent="0.2">
      <c r="A3321" s="5">
        <v>3260</v>
      </c>
      <c r="B3321" s="1832">
        <f>'Acct Summary 7-8'!I79</f>
        <v>638947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652773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79368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14455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595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94833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13067</v>
      </c>
      <c r="D3387" s="2" t="str">
        <f t="shared" si="51"/>
        <v>Error?</v>
      </c>
    </row>
    <row r="3388" spans="1:4" x14ac:dyDescent="0.2">
      <c r="A3388" s="5">
        <v>3327</v>
      </c>
      <c r="B3388" s="1832">
        <f>'Expenditures 15-22'!D217</f>
        <v>2289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13067</v>
      </c>
      <c r="C3390" s="2" t="s">
        <v>569</v>
      </c>
      <c r="D3390" s="2" t="str">
        <f t="shared" si="51"/>
        <v>Error?</v>
      </c>
    </row>
    <row r="3391" spans="1:4" x14ac:dyDescent="0.2">
      <c r="A3391" s="5">
        <v>3330</v>
      </c>
      <c r="B3391" s="1832">
        <f>'Expenditures 15-22'!K217</f>
        <v>2289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738316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203809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203675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163851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409283</v>
      </c>
      <c r="D3425" s="2" t="str">
        <f t="shared" si="52"/>
        <v>Error?</v>
      </c>
    </row>
    <row r="3426" spans="1:4" x14ac:dyDescent="0.2">
      <c r="A3426" s="10">
        <v>3365</v>
      </c>
      <c r="B3426" s="1832"/>
      <c r="D3426" s="2" t="str">
        <f t="shared" si="52"/>
        <v>OK</v>
      </c>
    </row>
    <row r="3427" spans="1:4" x14ac:dyDescent="0.2">
      <c r="A3427" s="5">
        <v>3366</v>
      </c>
      <c r="B3427" s="1832">
        <f>'Assets-Liab 5-6'!I4</f>
        <v>120669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96975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49541</v>
      </c>
      <c r="C3446" s="2" t="s">
        <v>569</v>
      </c>
      <c r="D3446" s="2" t="str">
        <f t="shared" si="52"/>
        <v>Error?</v>
      </c>
    </row>
    <row r="3447" spans="1:4" x14ac:dyDescent="0.2">
      <c r="A3447" s="5">
        <v>3386</v>
      </c>
      <c r="B3447" s="1832">
        <f>'Tax Sched 23'!D16</f>
        <v>49541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50026</v>
      </c>
      <c r="C3449" s="2" t="s">
        <v>569</v>
      </c>
      <c r="D3449" s="2" t="str">
        <f t="shared" si="52"/>
        <v>Error?</v>
      </c>
    </row>
    <row r="3450" spans="1:4" x14ac:dyDescent="0.2">
      <c r="A3450" s="5">
        <v>3389</v>
      </c>
      <c r="B3450" s="1832">
        <f>'Tax Sched 23'!E16</f>
        <v>50026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25703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71195</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96898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96898</v>
      </c>
      <c r="D3567" s="2" t="str">
        <f t="shared" si="54"/>
        <v>Error?</v>
      </c>
    </row>
    <row r="3568" spans="1:4" x14ac:dyDescent="0.2">
      <c r="A3568" s="5">
        <v>3507</v>
      </c>
      <c r="B3568" s="1832">
        <f>'Assets-Liab 5-6'!K41</f>
        <v>96898</v>
      </c>
      <c r="C3568" s="2" t="s">
        <v>569</v>
      </c>
      <c r="D3568" s="2" t="str">
        <f t="shared" si="54"/>
        <v>Error?</v>
      </c>
    </row>
    <row r="3569" spans="1:4" x14ac:dyDescent="0.2">
      <c r="A3569" s="5">
        <v>3508</v>
      </c>
      <c r="B3569" s="1832">
        <f>'Acct Summary 7-8'!K4</f>
        <v>6190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6190</v>
      </c>
      <c r="C3571" s="2" t="s">
        <v>569</v>
      </c>
      <c r="D3571" s="2" t="str">
        <f t="shared" si="54"/>
        <v>Error?</v>
      </c>
    </row>
    <row r="3572" spans="1:4" x14ac:dyDescent="0.2">
      <c r="A3572" s="5">
        <v>3511</v>
      </c>
      <c r="B3572" s="1832">
        <f>'Acct Summary 7-8'!K13</f>
        <v>7640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7640</v>
      </c>
      <c r="C3575" s="2" t="s">
        <v>569</v>
      </c>
      <c r="D3575" s="2" t="str">
        <f t="shared" si="54"/>
        <v>Error?</v>
      </c>
    </row>
    <row r="3576" spans="1:4" x14ac:dyDescent="0.2">
      <c r="A3576" s="5">
        <v>3515</v>
      </c>
      <c r="B3576" s="1832">
        <f>'Acct Summary 7-8'!K20</f>
        <v>-1450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-1450</v>
      </c>
      <c r="C3588" s="2" t="s">
        <v>569</v>
      </c>
      <c r="D3588" s="2" t="str">
        <f t="shared" si="55"/>
        <v>Error?</v>
      </c>
    </row>
    <row r="3589" spans="1:4" x14ac:dyDescent="0.2">
      <c r="A3589" s="5">
        <v>3528</v>
      </c>
      <c r="B3589" s="1832">
        <f>'Acct Summary 7-8'!K79</f>
        <v>98348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96898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7640</v>
      </c>
      <c r="D3632" s="2" t="str">
        <f t="shared" si="55"/>
        <v>Error?</v>
      </c>
    </row>
    <row r="3633" spans="1:4" x14ac:dyDescent="0.2">
      <c r="A3633" s="5">
        <v>3572</v>
      </c>
      <c r="B3633" s="1832">
        <f>'Expenditures 15-22'!E350</f>
        <v>7640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7640</v>
      </c>
      <c r="C3635" s="2" t="s">
        <v>569</v>
      </c>
      <c r="D3635" s="2" t="str">
        <f t="shared" si="55"/>
        <v>Error?</v>
      </c>
    </row>
    <row r="3636" spans="1:4" x14ac:dyDescent="0.2">
      <c r="A3636" s="5">
        <v>3575</v>
      </c>
      <c r="B3636" s="1832">
        <f>'Expenditures 15-22'!E367</f>
        <v>7640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7640</v>
      </c>
      <c r="C3669" s="2" t="s">
        <v>569</v>
      </c>
      <c r="D3669" s="2" t="str">
        <f t="shared" si="56"/>
        <v>Error?</v>
      </c>
    </row>
    <row r="3670" spans="1:4" x14ac:dyDescent="0.2">
      <c r="A3670" s="5">
        <v>3609</v>
      </c>
      <c r="B3670" s="1832">
        <f>'Expenditures 15-22'!K350</f>
        <v>7640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7640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7640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-1450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10165</v>
      </c>
      <c r="C3725" s="2" t="s">
        <v>569</v>
      </c>
      <c r="D3725" s="2" t="str">
        <f t="shared" si="57"/>
        <v>Error?</v>
      </c>
    </row>
    <row r="3726" spans="1:4" x14ac:dyDescent="0.2">
      <c r="A3726" s="5">
        <v>3665</v>
      </c>
      <c r="B3726" s="1832">
        <f>'Tax Sched 23'!D13</f>
        <v>10165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10268</v>
      </c>
      <c r="C3728" s="2" t="s">
        <v>569</v>
      </c>
      <c r="D3728" s="2" t="str">
        <f t="shared" si="57"/>
        <v>Error?</v>
      </c>
    </row>
    <row r="3729" spans="1:4" x14ac:dyDescent="0.2">
      <c r="A3729" s="5">
        <v>3668</v>
      </c>
      <c r="B3729" s="1832">
        <f>'Tax Sched 23'!E13</f>
        <v>10268</v>
      </c>
      <c r="D3729" s="2" t="str">
        <f t="shared" si="57"/>
        <v>Error?</v>
      </c>
    </row>
    <row r="3730" spans="1:4" x14ac:dyDescent="0.2">
      <c r="A3730" s="5">
        <v>3669</v>
      </c>
      <c r="B3730" s="1832">
        <f>'ICR Computation 30'!E10</f>
        <v>61112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1093280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3474064</v>
      </c>
      <c r="C4122" s="2" t="s">
        <v>569</v>
      </c>
      <c r="D4122" s="2" t="str">
        <f t="shared" si="63"/>
        <v>Error?</v>
      </c>
    </row>
    <row r="4123" spans="1:4" x14ac:dyDescent="0.2">
      <c r="A4123" s="5">
        <v>4062</v>
      </c>
      <c r="B4123" s="1832">
        <f>'Acct Summary 7-8'!D10</f>
        <v>312336</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204191</v>
      </c>
      <c r="C4125" s="2" t="s">
        <v>569</v>
      </c>
      <c r="D4125" s="2" t="str">
        <f t="shared" si="63"/>
        <v>Error?</v>
      </c>
    </row>
    <row r="4126" spans="1:4" x14ac:dyDescent="0.2">
      <c r="A4126" s="5">
        <v>4065</v>
      </c>
      <c r="B4126" s="1832">
        <f>'Acct Summary 7-8'!G10</f>
        <v>88743</v>
      </c>
      <c r="C4126" s="2" t="s">
        <v>569</v>
      </c>
      <c r="D4126" s="2" t="str">
        <f t="shared" si="63"/>
        <v>Error?</v>
      </c>
    </row>
    <row r="4127" spans="1:4" x14ac:dyDescent="0.2">
      <c r="A4127" s="5">
        <v>4066</v>
      </c>
      <c r="B4127" s="1832">
        <f>'Acct Summary 7-8'!H10</f>
        <v>102979</v>
      </c>
      <c r="C4127" s="2" t="s">
        <v>569</v>
      </c>
      <c r="D4127" s="2" t="str">
        <f t="shared" si="63"/>
        <v>Error?</v>
      </c>
    </row>
    <row r="4128" spans="1:4" x14ac:dyDescent="0.2">
      <c r="A4128" s="5">
        <v>4067</v>
      </c>
      <c r="B4128" s="1832">
        <f>'Acct Summary 7-8'!I10</f>
        <v>18636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6190</v>
      </c>
      <c r="C4130" s="2" t="s">
        <v>569</v>
      </c>
      <c r="D4130" s="2" t="str">
        <f t="shared" si="63"/>
        <v>Error?</v>
      </c>
    </row>
    <row r="4131" spans="1:4" x14ac:dyDescent="0.2">
      <c r="A4131" s="5">
        <v>4070</v>
      </c>
      <c r="B4131" s="1832">
        <f>'Acct Summary 7-8'!C18</f>
        <v>1093280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3211366</v>
      </c>
      <c r="C4136" s="2" t="s">
        <v>569</v>
      </c>
      <c r="D4136" s="2" t="str">
        <f t="shared" si="63"/>
        <v>Error?</v>
      </c>
    </row>
    <row r="4137" spans="1:4" x14ac:dyDescent="0.2">
      <c r="A4137" s="5">
        <v>4076</v>
      </c>
      <c r="B4137" s="1832">
        <f>'Acct Summary 7-8'!D19</f>
        <v>350247</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155825</v>
      </c>
      <c r="C4139" s="2" t="s">
        <v>569</v>
      </c>
      <c r="D4139" s="2" t="str">
        <f t="shared" si="63"/>
        <v>Error?</v>
      </c>
    </row>
    <row r="4140" spans="1:4" x14ac:dyDescent="0.2">
      <c r="A4140" s="5">
        <v>4079</v>
      </c>
      <c r="B4140" s="1832">
        <f>'Acct Summary 7-8'!G19</f>
        <v>56125</v>
      </c>
      <c r="C4140" s="2" t="s">
        <v>569</v>
      </c>
      <c r="D4140" s="2" t="str">
        <f t="shared" si="63"/>
        <v>Error?</v>
      </c>
    </row>
    <row r="4141" spans="1:4" x14ac:dyDescent="0.2">
      <c r="A4141" s="5">
        <v>4080</v>
      </c>
      <c r="B4141" s="1832">
        <f>'Acct Summary 7-8'!H19</f>
        <v>135065</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7640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208584</v>
      </c>
      <c r="C4171" s="2" t="s">
        <v>569</v>
      </c>
      <c r="D4171" s="2" t="str">
        <f t="shared" si="64"/>
        <v>Error?</v>
      </c>
    </row>
    <row r="4172" spans="1:4" x14ac:dyDescent="0.2">
      <c r="A4172" s="5">
        <v>4111</v>
      </c>
      <c r="B4172" s="1832">
        <f>'Short-Term Long-Term Debt 24'!J49</f>
        <v>208584</v>
      </c>
      <c r="C4172" s="2" t="s">
        <v>569</v>
      </c>
      <c r="D4172" s="2" t="str">
        <f t="shared" si="64"/>
        <v>Error?</v>
      </c>
    </row>
    <row r="4173" spans="1:4" x14ac:dyDescent="0.2">
      <c r="A4173" s="5">
        <v>4112</v>
      </c>
      <c r="B4173" s="1832">
        <f>'Short-Term Long-Term Debt 24'!H49</f>
        <v>44736</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3673.8</v>
      </c>
      <c r="C4265" s="2" t="s">
        <v>569</v>
      </c>
      <c r="D4265" s="2" t="str">
        <f t="shared" si="65"/>
        <v>Error?</v>
      </c>
      <c r="E4265" s="125"/>
    </row>
    <row r="4266" spans="1:5" x14ac:dyDescent="0.2">
      <c r="A4266" s="12">
        <v>4205</v>
      </c>
      <c r="B4266" s="1832">
        <f>('FP Info 3'!F10)*100000</f>
        <v>571.23</v>
      </c>
      <c r="C4266" s="2" t="s">
        <v>569</v>
      </c>
      <c r="D4266" s="2" t="str">
        <f t="shared" si="65"/>
        <v>Error?</v>
      </c>
      <c r="E4266" s="125"/>
    </row>
    <row r="4267" spans="1:5" x14ac:dyDescent="0.2">
      <c r="A4267" s="12">
        <v>4206</v>
      </c>
      <c r="B4267" s="1832">
        <f>('FP Info 3'!H10)*100000</f>
        <v>308.69</v>
      </c>
      <c r="C4267" s="2" t="s">
        <v>569</v>
      </c>
      <c r="D4267" s="2" t="str">
        <f t="shared" si="65"/>
        <v>Error?</v>
      </c>
      <c r="E4267" s="125"/>
    </row>
    <row r="4268" spans="1:5" x14ac:dyDescent="0.2">
      <c r="A4268" s="12">
        <v>4207</v>
      </c>
      <c r="B4268" s="1832">
        <f>('FP Info 3'!J10)*100000</f>
        <v>4554</v>
      </c>
      <c r="C4268" s="2" t="s">
        <v>569</v>
      </c>
      <c r="D4268" s="2" t="str">
        <f t="shared" si="65"/>
        <v>Error?</v>
      </c>
    </row>
    <row r="4269" spans="1:5" x14ac:dyDescent="0.2">
      <c r="A4269" s="12">
        <v>4208</v>
      </c>
      <c r="B4269" s="1832">
        <f>'FP Info 3'!J16</f>
        <v>2451731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750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29.81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1500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23738</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46337525</v>
      </c>
      <c r="D4995" s="2" t="str">
        <f t="shared" si="77"/>
        <v>Error?</v>
      </c>
    </row>
    <row r="4996" spans="1:4" x14ac:dyDescent="0.2">
      <c r="A4996" s="12">
        <v>4935</v>
      </c>
      <c r="B4996" s="1832">
        <f>'FP Info 3'!H31</f>
        <v>6394578.4500000002</v>
      </c>
      <c r="D4996" s="2" t="str">
        <f t="shared" si="77"/>
        <v>Error?</v>
      </c>
    </row>
    <row r="4997" spans="1:4" x14ac:dyDescent="0.2">
      <c r="A4997" s="12">
        <v>4936</v>
      </c>
      <c r="B4997" s="1832">
        <f>'FP Info 3'!H37</f>
        <v>208584</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10165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1653006</v>
      </c>
      <c r="D5061" s="2" t="str">
        <f t="shared" si="78"/>
        <v>Error?</v>
      </c>
    </row>
    <row r="5062" spans="1:4" x14ac:dyDescent="0.2">
      <c r="A5062" s="10">
        <v>5001</v>
      </c>
      <c r="B5062" s="1832"/>
      <c r="D5062" s="2" t="str">
        <f t="shared" si="78"/>
        <v>OK</v>
      </c>
    </row>
    <row r="5063" spans="1:4" x14ac:dyDescent="0.2">
      <c r="A5063" s="5">
        <v>5002</v>
      </c>
      <c r="B5063" s="1832">
        <f>'Revenues 9-14'!C7</f>
        <v>30437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1693608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76100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76100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2181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2181</v>
      </c>
      <c r="C5090" s="2" t="s">
        <v>569</v>
      </c>
      <c r="D5090" s="2" t="str">
        <f t="shared" si="78"/>
        <v>Error?</v>
      </c>
    </row>
    <row r="5091" spans="1:4" x14ac:dyDescent="0.2">
      <c r="A5091" s="5">
        <v>5030</v>
      </c>
      <c r="B5091" s="1832">
        <f>'Revenues 9-14'!C70</f>
        <v>8669</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3619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41643</v>
      </c>
      <c r="C5096" s="2" t="s">
        <v>569</v>
      </c>
      <c r="D5096" s="2" t="str">
        <f t="shared" si="78"/>
        <v>Error?</v>
      </c>
    </row>
    <row r="5097" spans="1:4" x14ac:dyDescent="0.2">
      <c r="A5097" s="5">
        <v>5036</v>
      </c>
      <c r="B5097" s="1832">
        <f>'Revenues 9-14'!C77</f>
        <v>9027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2159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11186</v>
      </c>
      <c r="C5102" s="2" t="s">
        <v>569</v>
      </c>
      <c r="D5102" s="2" t="str">
        <f t="shared" si="78"/>
        <v>Error?</v>
      </c>
    </row>
    <row r="5103" spans="1:4" x14ac:dyDescent="0.2">
      <c r="A5103" s="5">
        <v>5042</v>
      </c>
      <c r="B5103" s="1832">
        <f>'Revenues 9-14'!C84</f>
        <v>13891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13891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2008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2458</v>
      </c>
      <c r="C5120" s="2" t="s">
        <v>569</v>
      </c>
      <c r="D5120" s="2" t="str">
        <f t="shared" si="79"/>
        <v>Error?</v>
      </c>
    </row>
    <row r="5121" spans="1:4" x14ac:dyDescent="0.2">
      <c r="A5121" s="5">
        <v>5060</v>
      </c>
      <c r="B5121" s="1832">
        <f>'Revenues 9-14'!C109</f>
        <v>1841067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323385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324885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9706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832</v>
      </c>
      <c r="D5167" s="2" t="str">
        <f t="shared" si="79"/>
        <v>Error?</v>
      </c>
    </row>
    <row r="5168" spans="1:4" x14ac:dyDescent="0.2">
      <c r="A5168" s="5">
        <v>5107</v>
      </c>
      <c r="B5168" s="1832">
        <f>'Revenues 9-14'!C148</f>
        <v>2458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12996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337881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23738</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44133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13885</v>
      </c>
      <c r="D5241" s="2" t="str">
        <f t="shared" si="80"/>
        <v>Error?</v>
      </c>
    </row>
    <row r="5242" spans="1:4" x14ac:dyDescent="0.2">
      <c r="A5242" s="5">
        <v>5181</v>
      </c>
      <c r="B5242" s="1832">
        <f>'Revenues 9-14'!C194</f>
        <v>41241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99259</v>
      </c>
      <c r="C5246" s="2" t="s">
        <v>569</v>
      </c>
      <c r="D5246" s="2" t="str">
        <f t="shared" si="80"/>
        <v>Error?</v>
      </c>
    </row>
    <row r="5247" spans="1:4" x14ac:dyDescent="0.2">
      <c r="A5247" s="5">
        <v>5186</v>
      </c>
      <c r="B5247" s="1832">
        <f>'Revenues 9-14'!C200</f>
        <v>34226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34226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1431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42432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43863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178098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201836</v>
      </c>
      <c r="C5326" s="2" t="s">
        <v>569</v>
      </c>
      <c r="D5326" s="2" t="str">
        <f t="shared" si="82"/>
        <v>Error?</v>
      </c>
    </row>
    <row r="5327" spans="1:5" x14ac:dyDescent="0.2">
      <c r="A5327" s="5">
        <v>5266</v>
      </c>
      <c r="B5327" s="1832">
        <f>'Revenues 9-14'!C268</f>
        <v>2380784</v>
      </c>
      <c r="C5327" s="2" t="s">
        <v>569</v>
      </c>
      <c r="D5327" s="2" t="str">
        <f t="shared" si="82"/>
        <v>Error?</v>
      </c>
    </row>
    <row r="5328" spans="1:5" x14ac:dyDescent="0.2">
      <c r="A5328" s="5">
        <v>5267</v>
      </c>
      <c r="B5328" s="1832">
        <f>'Revenues 9-14'!D5</f>
        <v>261961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261961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375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375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262336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312336</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143522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143522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1221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1221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144743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52003</v>
      </c>
      <c r="D5615" s="2" t="str">
        <f t="shared" si="86"/>
        <v>Error?</v>
      </c>
    </row>
    <row r="5616" spans="1:4" x14ac:dyDescent="0.2">
      <c r="A5616" s="10">
        <v>5555</v>
      </c>
      <c r="B5616" s="1832"/>
      <c r="D5616" s="2" t="str">
        <f t="shared" si="86"/>
        <v>OK</v>
      </c>
    </row>
    <row r="5617" spans="1:5" x14ac:dyDescent="0.2">
      <c r="A5617" s="5">
        <v>5556</v>
      </c>
      <c r="B5617" s="1832">
        <f>'Revenues 9-14'!F153</f>
        <v>7445</v>
      </c>
      <c r="D5617" s="2" t="str">
        <f t="shared" si="86"/>
        <v>Error?</v>
      </c>
    </row>
    <row r="5618" spans="1:5" x14ac:dyDescent="0.2">
      <c r="A5618" s="5">
        <v>5557</v>
      </c>
      <c r="B5618" s="1832">
        <f>'Revenues 9-14'!F155</f>
        <v>59448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59448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59448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204191</v>
      </c>
      <c r="C5720" s="2" t="s">
        <v>569</v>
      </c>
      <c r="D5720" s="2" t="str">
        <f t="shared" si="88"/>
        <v>Error?</v>
      </c>
    </row>
    <row r="5721" spans="1:4" x14ac:dyDescent="0.2">
      <c r="A5721" s="5">
        <v>5660</v>
      </c>
      <c r="B5721" s="1832">
        <f>'Revenues 9-14'!G5</f>
        <v>37962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49541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87503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1131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1131</v>
      </c>
      <c r="C5730" s="2" t="s">
        <v>569</v>
      </c>
      <c r="D5730" s="2" t="str">
        <f t="shared" si="88"/>
        <v>Error?</v>
      </c>
    </row>
    <row r="5731" spans="1:4" x14ac:dyDescent="0.2">
      <c r="A5731" s="5">
        <v>5670</v>
      </c>
      <c r="B5731" s="1832">
        <f>'Revenues 9-14'!G65</f>
        <v>109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109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88743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230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230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102749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102979</v>
      </c>
      <c r="C5915" s="2" t="s">
        <v>569</v>
      </c>
      <c r="D5915" s="2" t="str">
        <f t="shared" si="91"/>
        <v>Error?</v>
      </c>
    </row>
    <row r="5916" spans="1:4" x14ac:dyDescent="0.2">
      <c r="A5916" s="5">
        <v>5855</v>
      </c>
      <c r="B5916" s="1832">
        <f>'Revenues 9-14'!I5</f>
        <v>13810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13810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4826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4826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18636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5907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5907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283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283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6190</v>
      </c>
      <c r="C6023" s="2" t="s">
        <v>569</v>
      </c>
      <c r="D6023" s="2" t="str">
        <f t="shared" si="93"/>
        <v>Error?</v>
      </c>
    </row>
    <row r="6024" spans="1:5" x14ac:dyDescent="0.2">
      <c r="A6024" s="5">
        <v>5963</v>
      </c>
      <c r="B6024" s="1832">
        <f>'Revenues 9-14'!G109</f>
        <v>88743</v>
      </c>
      <c r="C6024" s="2" t="s">
        <v>569</v>
      </c>
      <c r="D6024" s="2" t="str">
        <f t="shared" si="93"/>
        <v>Error?</v>
      </c>
    </row>
    <row r="6025" spans="1:5" x14ac:dyDescent="0.2">
      <c r="A6025" s="5">
        <v>5964</v>
      </c>
      <c r="B6025" s="1832">
        <f>'Revenues 9-14'!H109</f>
        <v>102979</v>
      </c>
      <c r="C6025" s="2" t="s">
        <v>569</v>
      </c>
      <c r="D6025" s="2" t="str">
        <f t="shared" si="93"/>
        <v>Error?</v>
      </c>
    </row>
    <row r="6026" spans="1:5" x14ac:dyDescent="0.2">
      <c r="A6026" s="5">
        <v>5965</v>
      </c>
      <c r="B6026" s="1832">
        <f>'Revenues 9-14'!I109</f>
        <v>18636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6190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29355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15292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262698</v>
      </c>
      <c r="D6267" s="2" t="str">
        <f t="shared" si="96"/>
        <v>Error?</v>
      </c>
      <c r="E6267" s="2" t="s">
        <v>189</v>
      </c>
    </row>
    <row r="6268" spans="1:5" x14ac:dyDescent="0.2">
      <c r="A6268">
        <v>6207</v>
      </c>
      <c r="B6268" s="1832">
        <f>'Acct Summary 7-8'!D82</f>
        <v>-33101</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48366</v>
      </c>
      <c r="D6270" s="2" t="str">
        <f t="shared" si="96"/>
        <v>Error?</v>
      </c>
      <c r="E6270" s="2" t="s">
        <v>189</v>
      </c>
    </row>
    <row r="6271" spans="1:5" x14ac:dyDescent="0.2">
      <c r="A6271">
        <v>6210</v>
      </c>
      <c r="B6271" s="1832">
        <f>'Acct Summary 7-8'!G82</f>
        <v>32618</v>
      </c>
      <c r="D6271" s="2" t="str">
        <f t="shared" ref="D6271:D6334" si="97">IF(ISBLANK(B6271),"OK",IF(A6271-B6271=0,"OK","Error?"))</f>
        <v>Error?</v>
      </c>
      <c r="E6271" s="2" t="s">
        <v>189</v>
      </c>
    </row>
    <row r="6272" spans="1:5" x14ac:dyDescent="0.2">
      <c r="A6272">
        <v>6211</v>
      </c>
      <c r="B6272" s="1832">
        <f>'Acct Summary 7-8'!H82</f>
        <v>-32086</v>
      </c>
      <c r="D6272" s="2" t="str">
        <f t="shared" si="97"/>
        <v>Error?</v>
      </c>
      <c r="E6272" s="2" t="s">
        <v>189</v>
      </c>
    </row>
    <row r="6273" spans="1:5" x14ac:dyDescent="0.2">
      <c r="A6273">
        <v>6212</v>
      </c>
      <c r="B6273" s="1832">
        <f>'Acct Summary 7-8'!I82</f>
        <v>13826</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-1450</v>
      </c>
      <c r="D6275" s="2" t="str">
        <f t="shared" si="97"/>
        <v>Error?</v>
      </c>
      <c r="E6275" s="2" t="s">
        <v>189</v>
      </c>
    </row>
    <row r="6276" spans="1:5" x14ac:dyDescent="0.2">
      <c r="A6276">
        <v>6215</v>
      </c>
      <c r="B6276" s="1832">
        <f>'Acct Summary 7-8'!C83</f>
        <v>0.23044331068942286</v>
      </c>
      <c r="D6276" s="2" t="str">
        <f t="shared" si="97"/>
        <v>Error?</v>
      </c>
      <c r="E6276" s="2" t="s">
        <v>189</v>
      </c>
    </row>
    <row r="6277" spans="1:5" x14ac:dyDescent="0.2">
      <c r="A6277">
        <v>6216</v>
      </c>
      <c r="B6277" s="1832">
        <f>'Acct Summary 7-8'!D83</f>
        <v>-0.16241186601180518</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0.10625663197716952</v>
      </c>
      <c r="D6279" s="2" t="str">
        <f t="shared" si="97"/>
        <v>Error?</v>
      </c>
      <c r="E6279" s="2" t="s">
        <v>189</v>
      </c>
    </row>
    <row r="6280" spans="1:5" x14ac:dyDescent="0.2">
      <c r="A6280">
        <v>6219</v>
      </c>
      <c r="B6280" s="1832">
        <f>'Acct Summary 7-8'!G83</f>
        <v>0.1990711072864981</v>
      </c>
      <c r="D6280" s="2" t="str">
        <f t="shared" si="97"/>
        <v>Error?</v>
      </c>
      <c r="E6280" s="2" t="s">
        <v>189</v>
      </c>
    </row>
    <row r="6281" spans="1:5" x14ac:dyDescent="0.2">
      <c r="A6281">
        <v>6220</v>
      </c>
      <c r="B6281" s="1832">
        <f>'Acct Summary 7-8'!H83</f>
        <v>-7.8395633339278695E-2</v>
      </c>
      <c r="D6281" s="2" t="str">
        <f t="shared" si="97"/>
        <v>Error?</v>
      </c>
      <c r="E6281" s="2" t="s">
        <v>189</v>
      </c>
    </row>
    <row r="6282" spans="1:5" x14ac:dyDescent="0.2">
      <c r="A6282">
        <v>6221</v>
      </c>
      <c r="B6282" s="1832">
        <f>'Acct Summary 7-8'!I83</f>
        <v>2.1180410341726755E-2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-1.4964189147350822E-2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9706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12932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23306</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23306</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3638</v>
      </c>
      <c r="D6983" s="2" t="str">
        <f t="shared" si="108"/>
        <v>Error?</v>
      </c>
    </row>
    <row r="6984" spans="1:4" x14ac:dyDescent="0.2">
      <c r="A6984">
        <v>6923</v>
      </c>
      <c r="B6984" s="1832">
        <f>'Expenditures 15-22'!K86</f>
        <v>3638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2645</v>
      </c>
      <c r="D6987" s="2" t="str">
        <f t="shared" si="108"/>
        <v>Error?</v>
      </c>
    </row>
    <row r="6988" spans="1:4" x14ac:dyDescent="0.2">
      <c r="A6988">
        <v>6927</v>
      </c>
      <c r="B6988" s="1832">
        <f>'Expenditures 15-22'!K88</f>
        <v>2645</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6283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121</v>
      </c>
      <c r="D7079" s="2" t="str">
        <f t="shared" si="109"/>
        <v>Error?</v>
      </c>
    </row>
    <row r="7080" spans="1:4" x14ac:dyDescent="0.2">
      <c r="A7080">
        <v>7019</v>
      </c>
      <c r="B7080" s="1832">
        <f>'Expenditures 15-22'!K226</f>
        <v>121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8689</v>
      </c>
      <c r="D7263" s="2" t="str">
        <f t="shared" si="112"/>
        <v>Error?</v>
      </c>
    </row>
    <row r="7264" spans="1:4" x14ac:dyDescent="0.2">
      <c r="A7264">
        <f t="shared" si="113"/>
        <v>7203</v>
      </c>
      <c r="B7264" s="1832">
        <f>'Expenditures 15-22'!D17</f>
        <v>2407</v>
      </c>
      <c r="D7264" s="2" t="str">
        <f t="shared" si="112"/>
        <v>Error?</v>
      </c>
    </row>
    <row r="7265" spans="1:5" x14ac:dyDescent="0.2">
      <c r="A7265">
        <f t="shared" si="113"/>
        <v>7204</v>
      </c>
      <c r="B7265" s="1832">
        <f>'Expenditures 15-22'!E17</f>
        <v>1836</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127013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441369</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230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450</v>
      </c>
      <c r="D7712" s="2" t="str">
        <f t="shared" si="126"/>
        <v>Error?</v>
      </c>
      <c r="E7712" s="2" t="s">
        <v>822</v>
      </c>
    </row>
    <row r="7713" spans="1:6" x14ac:dyDescent="0.2">
      <c r="A7713">
        <v>7652</v>
      </c>
      <c r="B7713" s="1832">
        <f>'Rest Tax Levies-Tort Im 25'!J8</f>
        <v>102749</v>
      </c>
      <c r="D7713" s="2" t="str">
        <f t="shared" si="126"/>
        <v>Error?</v>
      </c>
      <c r="E7713" s="2" t="s">
        <v>822</v>
      </c>
    </row>
    <row r="7714" spans="1:6" x14ac:dyDescent="0.2">
      <c r="A7714">
        <v>7653</v>
      </c>
      <c r="B7714" s="1832">
        <f>'Rest Tax Levies-Tort Im 25'!K9</f>
        <v>2458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102979</v>
      </c>
      <c r="D7718" s="2" t="str">
        <f t="shared" si="126"/>
        <v>Error?</v>
      </c>
      <c r="E7718" s="2" t="s">
        <v>822</v>
      </c>
    </row>
    <row r="7719" spans="1:6" x14ac:dyDescent="0.2">
      <c r="A7719">
        <v>7658</v>
      </c>
      <c r="B7719" s="1832">
        <f>'Rest Tax Levies-Tort Im 25'!K12</f>
        <v>2908</v>
      </c>
      <c r="D7719" s="2" t="str">
        <f t="shared" si="126"/>
        <v>Error?</v>
      </c>
      <c r="E7719" s="2" t="s">
        <v>822</v>
      </c>
    </row>
    <row r="7720" spans="1:6" x14ac:dyDescent="0.2">
      <c r="A7720">
        <v>7659</v>
      </c>
      <c r="B7720" s="1832">
        <f>'Rest Tax Levies-Tort Im 25'!H14</f>
        <v>30437</v>
      </c>
      <c r="D7720" s="2" t="str">
        <f t="shared" si="126"/>
        <v>Error?</v>
      </c>
      <c r="E7720" s="2" t="s">
        <v>822</v>
      </c>
    </row>
    <row r="7721" spans="1:6" x14ac:dyDescent="0.2">
      <c r="A7721">
        <v>7660</v>
      </c>
      <c r="B7721" s="1832">
        <f>'Rest Tax Levies-Tort Im 25'!K14</f>
        <v>2908</v>
      </c>
      <c r="D7721" s="2" t="str">
        <f t="shared" si="126"/>
        <v>Error?</v>
      </c>
      <c r="E7721" s="2" t="s">
        <v>822</v>
      </c>
    </row>
    <row r="7722" spans="1:6" x14ac:dyDescent="0.2">
      <c r="A7722">
        <v>7661</v>
      </c>
      <c r="B7722" s="1832">
        <f>'Rest Tax Levies-Tort Im 25'!J15</f>
        <v>135065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135065</v>
      </c>
      <c r="D7730" s="2" t="str">
        <f t="shared" si="126"/>
        <v>Error?</v>
      </c>
      <c r="E7730" s="2" t="s">
        <v>822</v>
      </c>
    </row>
    <row r="7731" spans="1:6" x14ac:dyDescent="0.2">
      <c r="A7731">
        <v>7670</v>
      </c>
      <c r="B7731" s="1832">
        <f>'Revenues 9-14'!H103</f>
        <v>102749</v>
      </c>
      <c r="D7731" s="2" t="str">
        <f t="shared" si="126"/>
        <v>Error?</v>
      </c>
      <c r="E7731" s="2" t="s">
        <v>822</v>
      </c>
    </row>
    <row r="7732" spans="1:6" x14ac:dyDescent="0.2">
      <c r="A7732">
        <v>7671</v>
      </c>
      <c r="B7732" s="1832">
        <f>'Rest Tax Levies-Tort Im 25'!J24</f>
        <v>409283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409283</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2908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308454</v>
      </c>
      <c r="D7817" s="2" t="str">
        <f t="shared" si="128"/>
        <v>Error?</v>
      </c>
      <c r="E7817" s="4" t="s">
        <v>1966</v>
      </c>
    </row>
    <row r="7818" spans="1:5" x14ac:dyDescent="0.2">
      <c r="A7818">
        <v>7757</v>
      </c>
      <c r="B7818" s="1832">
        <f>'PCTC-OEPP 27-28'!F172</f>
        <v>51395</v>
      </c>
      <c r="D7818" s="2" t="str">
        <f t="shared" si="128"/>
        <v>Error?</v>
      </c>
      <c r="E7818" s="4" t="s">
        <v>1980</v>
      </c>
    </row>
    <row r="7819" spans="1:5" x14ac:dyDescent="0.2">
      <c r="A7819">
        <v>7758</v>
      </c>
      <c r="B7819" s="1832">
        <f>'PCTC-OEPP 27-28'!F173</f>
        <v>51814</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2680283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156536</v>
      </c>
      <c r="D7834" s="2" t="str">
        <f t="shared" si="129"/>
        <v>Error?</v>
      </c>
      <c r="E7834" s="4" t="s">
        <v>1998</v>
      </c>
    </row>
    <row r="7835" spans="1:5" x14ac:dyDescent="0.2">
      <c r="A7835">
        <v>7774</v>
      </c>
      <c r="B7835" s="1832">
        <f>'PCTC-OEPP 27-28'!F78</f>
        <v>2523747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25237.47</v>
      </c>
      <c r="D7837" s="2" t="str">
        <f t="shared" si="129"/>
        <v>Error?</v>
      </c>
      <c r="E7837" s="4" t="s">
        <v>1998</v>
      </c>
    </row>
    <row r="7838" spans="1:5" x14ac:dyDescent="0.2">
      <c r="A7838">
        <v>7777</v>
      </c>
      <c r="B7838" s="1832">
        <f>'PCTC-OEPP 27-28'!F96</f>
        <v>11186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9706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2458</v>
      </c>
      <c r="D7846" s="2" t="str">
        <f t="shared" si="129"/>
        <v>Error?</v>
      </c>
      <c r="E7846" s="4" t="s">
        <v>1998</v>
      </c>
    </row>
    <row r="7847" spans="1:5" x14ac:dyDescent="0.2">
      <c r="A7847">
        <v>7786</v>
      </c>
      <c r="B7847" s="1832">
        <f>'PCTC-OEPP 27-28'!F112</f>
        <v>59448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99259</v>
      </c>
      <c r="D7858" s="2" t="str">
        <f t="shared" si="129"/>
        <v>Error?</v>
      </c>
      <c r="E7858" s="4" t="s">
        <v>1998</v>
      </c>
    </row>
    <row r="7859" spans="1:5" x14ac:dyDescent="0.2">
      <c r="A7859">
        <v>7798</v>
      </c>
      <c r="B7859" s="1832">
        <f>'PCTC-OEPP 27-28'!F127</f>
        <v>34226</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42432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750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469040</v>
      </c>
      <c r="D7877" s="2" t="str">
        <f t="shared" si="129"/>
        <v>Error?</v>
      </c>
      <c r="E7877" s="4" t="s">
        <v>1998</v>
      </c>
    </row>
    <row r="7878" spans="1:5" x14ac:dyDescent="0.2">
      <c r="A7878">
        <v>7817</v>
      </c>
      <c r="B7878" s="1832">
        <f>'PCTC-OEPP 27-28'!F176</f>
        <v>2054707</v>
      </c>
      <c r="D7878" s="2" t="str">
        <f t="shared" si="129"/>
        <v>Error?</v>
      </c>
      <c r="E7878" s="4" t="s">
        <v>1998</v>
      </c>
    </row>
    <row r="7879" spans="1:5" x14ac:dyDescent="0.2">
      <c r="A7879">
        <v>7818</v>
      </c>
      <c r="B7879" s="1832">
        <f>'PCTC-OEPP 27-28'!F178</f>
        <v>2181720</v>
      </c>
      <c r="D7879" s="2" t="str">
        <f t="shared" si="129"/>
        <v>Error?</v>
      </c>
      <c r="E7879" s="4" t="s">
        <v>1998</v>
      </c>
    </row>
    <row r="7880" spans="1:5" x14ac:dyDescent="0.2">
      <c r="A7880">
        <v>7819</v>
      </c>
      <c r="B7880" s="1832">
        <f>'PCTC-OEPP 27-28'!F180</f>
        <v>21817.200000000001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1" t="s">
        <v>1181</v>
      </c>
      <c r="B2" s="2531"/>
      <c r="C2" s="2531"/>
      <c r="D2" s="2531"/>
      <c r="E2" s="2531"/>
      <c r="F2" s="2531"/>
      <c r="G2" s="2531"/>
      <c r="H2" s="2531"/>
      <c r="I2" s="2531"/>
      <c r="J2" s="2531"/>
      <c r="K2" s="2531"/>
      <c r="L2" s="2531"/>
    </row>
    <row r="3" spans="1:29" ht="13.5" customHeight="1" x14ac:dyDescent="0.2">
      <c r="A3" s="2517" t="s">
        <v>1180</v>
      </c>
      <c r="B3" s="2517"/>
      <c r="C3" s="2517"/>
      <c r="D3" s="2517"/>
      <c r="E3" s="2517"/>
      <c r="F3" s="2517"/>
      <c r="G3" s="2517"/>
      <c r="H3" s="2517"/>
      <c r="I3" s="2517"/>
      <c r="J3" s="2517"/>
      <c r="K3" s="2517"/>
      <c r="L3" s="2517"/>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1" t="str">
        <f>COVER!A17</f>
        <v xml:space="preserve"> Hartsburg Emden CUSD 21</v>
      </c>
      <c r="B7" s="2512"/>
      <c r="C7" s="2512"/>
      <c r="D7" s="2550"/>
      <c r="E7" s="2551">
        <f>COVER!A13</f>
        <v>17054021026</v>
      </c>
      <c r="F7" s="2552"/>
      <c r="G7" s="2518" t="str">
        <f>COVER!T23</f>
        <v>066-005243</v>
      </c>
      <c r="H7" s="2519"/>
      <c r="I7" s="2519"/>
      <c r="J7" s="2519"/>
      <c r="K7" s="2519"/>
      <c r="L7" s="252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1"/>
      <c r="B9" s="2522"/>
      <c r="C9" s="2522"/>
      <c r="D9" s="2522"/>
      <c r="E9" s="2522"/>
      <c r="F9" s="2523"/>
      <c r="G9" s="2524" t="str">
        <f>COVER!T13</f>
        <v>J.M. ABBOTT &amp; ASSOCIATES, LTD.</v>
      </c>
      <c r="H9" s="2525"/>
      <c r="I9" s="2525"/>
      <c r="J9" s="2525"/>
      <c r="K9" s="2525"/>
      <c r="L9" s="2526"/>
    </row>
    <row r="10" spans="1:29" ht="13.5" customHeight="1" x14ac:dyDescent="0.2">
      <c r="A10" s="2508" t="str">
        <f>COVER!A38</f>
        <v>TERRY WISNIEWSKI</v>
      </c>
      <c r="B10" s="2509"/>
      <c r="C10" s="2509"/>
      <c r="D10" s="2509"/>
      <c r="E10" s="2509"/>
      <c r="F10" s="2510"/>
      <c r="G10" s="2524" t="str">
        <f>COVER!T17</f>
        <v>207 S. MCLEAN ST.</v>
      </c>
      <c r="H10" s="2537"/>
      <c r="I10" s="2537"/>
      <c r="J10" s="2537"/>
      <c r="K10" s="2537"/>
      <c r="L10" s="2538"/>
    </row>
    <row r="11" spans="1:29" ht="13.5" customHeight="1" x14ac:dyDescent="0.2">
      <c r="A11" s="963" t="s">
        <v>1502</v>
      </c>
      <c r="B11" s="964"/>
      <c r="C11" s="965"/>
      <c r="D11" s="970"/>
      <c r="E11" s="965"/>
      <c r="F11" s="969"/>
      <c r="G11" s="2524" t="str">
        <f>COVER!T19</f>
        <v>LINCOLN</v>
      </c>
      <c r="H11" s="2537"/>
      <c r="I11" s="2537"/>
      <c r="J11" s="2537"/>
      <c r="K11" s="2537"/>
      <c r="L11" s="2538"/>
    </row>
    <row r="12" spans="1:29" ht="13.5" customHeight="1" x14ac:dyDescent="0.2">
      <c r="A12" s="2542" t="s">
        <v>1501</v>
      </c>
      <c r="B12" s="2543"/>
      <c r="C12" s="2543"/>
      <c r="D12" s="2543"/>
      <c r="E12" s="2543"/>
      <c r="F12" s="2544"/>
      <c r="G12" s="2539"/>
      <c r="H12" s="2540"/>
      <c r="I12" s="2540"/>
      <c r="J12" s="2540"/>
      <c r="K12" s="2540"/>
      <c r="L12" s="2541"/>
    </row>
    <row r="13" spans="1:29" ht="13.5" customHeight="1" x14ac:dyDescent="0.2">
      <c r="A13" s="2524"/>
      <c r="B13" s="2537"/>
      <c r="C13" s="2537"/>
      <c r="D13" s="2537"/>
      <c r="E13" s="2537"/>
      <c r="F13" s="2538"/>
      <c r="G13" s="2532" t="s">
        <v>1503</v>
      </c>
      <c r="H13" s="2533"/>
      <c r="I13" s="2545" t="str">
        <f>COVER!T25</f>
        <v>deb@jmabbott.com</v>
      </c>
      <c r="J13" s="2546"/>
      <c r="K13" s="2546"/>
      <c r="L13" s="2547"/>
    </row>
    <row r="14" spans="1:29" ht="13.5" customHeight="1" x14ac:dyDescent="0.2">
      <c r="A14" s="2524" t="str">
        <f>COVER!A19</f>
        <v>400 WEST FRONT STREET</v>
      </c>
      <c r="B14" s="2537"/>
      <c r="C14" s="2537"/>
      <c r="D14" s="2537"/>
      <c r="E14" s="2537"/>
      <c r="F14" s="2538"/>
      <c r="G14" s="974" t="s">
        <v>1175</v>
      </c>
      <c r="H14" s="972"/>
      <c r="I14" s="972"/>
      <c r="J14" s="972"/>
      <c r="K14" s="972"/>
      <c r="L14" s="973"/>
    </row>
    <row r="15" spans="1:29" ht="13.5" customHeight="1" x14ac:dyDescent="0.2">
      <c r="A15" s="2524" t="str">
        <f>COVER!A21</f>
        <v>HARTSBURG</v>
      </c>
      <c r="B15" s="2537"/>
      <c r="C15" s="2537"/>
      <c r="D15" s="2537"/>
      <c r="E15" s="2537"/>
      <c r="F15" s="2538"/>
      <c r="G15" s="2534" t="str">
        <f>COVER!T15</f>
        <v>DEBRA LAST</v>
      </c>
      <c r="H15" s="2535"/>
      <c r="I15" s="2535"/>
      <c r="J15" s="2535"/>
      <c r="K15" s="2535"/>
      <c r="L15" s="2536"/>
    </row>
    <row r="16" spans="1:29" ht="12.2" customHeight="1" x14ac:dyDescent="0.2">
      <c r="A16" s="2514">
        <f>COVER!A25</f>
        <v>62643</v>
      </c>
      <c r="B16" s="2515"/>
      <c r="C16" s="2515"/>
      <c r="D16" s="2515"/>
      <c r="E16" s="2515"/>
      <c r="F16" s="2516"/>
      <c r="G16" s="2527"/>
      <c r="H16" s="2528"/>
      <c r="I16" s="2528"/>
      <c r="J16" s="2528"/>
      <c r="K16" s="2528"/>
      <c r="L16" s="2529"/>
    </row>
    <row r="17" spans="1:13" ht="12.2" customHeight="1" x14ac:dyDescent="0.2">
      <c r="A17" s="2530"/>
      <c r="B17" s="2515"/>
      <c r="C17" s="2515"/>
      <c r="D17" s="2515"/>
      <c r="E17" s="2515"/>
      <c r="F17" s="2516"/>
      <c r="G17" s="974" t="s">
        <v>1174</v>
      </c>
      <c r="H17" s="972"/>
      <c r="I17" s="972"/>
      <c r="J17" s="972"/>
      <c r="K17" s="976" t="s">
        <v>1173</v>
      </c>
      <c r="L17" s="969"/>
      <c r="M17" s="962"/>
    </row>
    <row r="18" spans="1:13" ht="12.2" customHeight="1" x14ac:dyDescent="0.2">
      <c r="A18" s="2508"/>
      <c r="B18" s="2509"/>
      <c r="C18" s="2509"/>
      <c r="D18" s="2509"/>
      <c r="E18" s="2509"/>
      <c r="F18" s="2510"/>
      <c r="G18" s="2511" t="str">
        <f>COVER!T21</f>
        <v>217-735-1576</v>
      </c>
      <c r="H18" s="2512"/>
      <c r="I18" s="2512"/>
      <c r="J18" s="2512"/>
      <c r="K18" s="2511" t="str">
        <f>COVER!X21</f>
        <v>217-735-5866</v>
      </c>
      <c r="L18" s="251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9"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3" t="str">
        <f>'Single Audit Cover'!A7</f>
        <v xml:space="preserve"> Hartsburg Emden CUSD 21</v>
      </c>
      <c r="B1" s="2554"/>
      <c r="C1" s="2554"/>
      <c r="D1" s="2554"/>
    </row>
    <row r="2" spans="1:11" s="991" customFormat="1" ht="12.75" x14ac:dyDescent="0.2">
      <c r="A2" s="2555">
        <f>'Single Audit Cover'!E7</f>
        <v>17054021026</v>
      </c>
      <c r="B2" s="2556"/>
      <c r="C2" s="2556"/>
      <c r="D2" s="2556"/>
    </row>
    <row r="3" spans="1:11" s="991" customFormat="1" ht="12.75" x14ac:dyDescent="0.2">
      <c r="A3" s="2553" t="s">
        <v>1496</v>
      </c>
      <c r="B3" s="2554"/>
      <c r="C3" s="2554"/>
      <c r="D3" s="255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5" right="0" top="0.5" bottom="0.15" header="0.3" footer="0.3"/>
  <pageSetup scale="71"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8" t="str">
        <f>'Single Audit Cover'!A7</f>
        <v xml:space="preserve"> Hartsburg Emden CUSD 21</v>
      </c>
      <c r="B1" s="2558"/>
      <c r="C1" s="2558"/>
      <c r="D1" s="2558"/>
      <c r="E1" s="2558"/>
    </row>
    <row r="2" spans="1:5" x14ac:dyDescent="0.2">
      <c r="A2" s="2559">
        <f>'Single Audit Cover'!E7</f>
        <v>17054021026</v>
      </c>
      <c r="B2" s="2559"/>
      <c r="C2" s="2559"/>
      <c r="D2" s="2559"/>
      <c r="E2" s="2559"/>
    </row>
    <row r="3" spans="1:5" ht="4.5" customHeight="1" x14ac:dyDescent="0.2"/>
    <row r="4" spans="1:5" x14ac:dyDescent="0.2">
      <c r="A4" s="2558" t="s">
        <v>1234</v>
      </c>
      <c r="B4" s="2558"/>
      <c r="C4" s="2558"/>
      <c r="D4" s="2558"/>
      <c r="E4" s="2558"/>
    </row>
    <row r="5" spans="1:5" x14ac:dyDescent="0.2">
      <c r="A5" s="2561" t="str">
        <f>'Single Audit Cover'!A4</f>
        <v>Year Ending June 30, 2020</v>
      </c>
      <c r="B5" s="2561"/>
      <c r="C5" s="2561"/>
      <c r="D5" s="2561"/>
      <c r="E5" s="2561"/>
    </row>
    <row r="6" spans="1:5" x14ac:dyDescent="0.2">
      <c r="A6" s="2558" t="s">
        <v>1233</v>
      </c>
      <c r="B6" s="2558"/>
      <c r="C6" s="2558"/>
      <c r="D6" s="2558"/>
      <c r="E6" s="2558"/>
    </row>
    <row r="8" spans="1:5" x14ac:dyDescent="0.2">
      <c r="A8" s="1036" t="s">
        <v>1232</v>
      </c>
    </row>
    <row r="10" spans="1:5" x14ac:dyDescent="0.2">
      <c r="A10" s="1037" t="s">
        <v>1231</v>
      </c>
      <c r="B10" s="1038" t="s">
        <v>1230</v>
      </c>
      <c r="C10" s="1038"/>
      <c r="D10" s="1039">
        <f>SUM('Acct Summary 7-8'!C7:K7)</f>
        <v>201836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15292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217128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0"/>
      <c r="B24" s="2560"/>
      <c r="D24" s="1044"/>
    </row>
    <row r="25" spans="1:4" x14ac:dyDescent="0.2">
      <c r="A25" s="2557"/>
      <c r="B25" s="2557"/>
      <c r="D25" s="1044"/>
    </row>
    <row r="26" spans="1:4" x14ac:dyDescent="0.2">
      <c r="A26" s="2557"/>
      <c r="B26" s="2557"/>
      <c r="D26" s="1044"/>
    </row>
    <row r="27" spans="1:4" x14ac:dyDescent="0.2">
      <c r="A27" s="2557"/>
      <c r="B27" s="2557"/>
      <c r="D27" s="1044"/>
    </row>
    <row r="28" spans="1:4" x14ac:dyDescent="0.2">
      <c r="A28" s="2557"/>
      <c r="B28" s="2557"/>
      <c r="D28" s="1044"/>
    </row>
    <row r="29" spans="1:4" x14ac:dyDescent="0.2">
      <c r="A29" s="2557"/>
      <c r="B29" s="2557"/>
      <c r="D29" s="1044"/>
    </row>
    <row r="30" spans="1:4" x14ac:dyDescent="0.2">
      <c r="A30" s="2557"/>
      <c r="B30" s="2557"/>
      <c r="D30" s="1044"/>
    </row>
    <row r="32" spans="1:4" x14ac:dyDescent="0.2">
      <c r="A32" s="1036" t="s">
        <v>1222</v>
      </c>
      <c r="D32" s="1039">
        <f>SUM(D19:D30)</f>
        <v>217128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7"/>
      <c r="B40" s="2557"/>
      <c r="D40" s="1044"/>
    </row>
    <row r="41" spans="1:4" x14ac:dyDescent="0.2">
      <c r="A41" s="2557"/>
      <c r="B41" s="2557"/>
      <c r="D41" s="1047"/>
    </row>
    <row r="42" spans="1:4" x14ac:dyDescent="0.2">
      <c r="A42" s="2557"/>
      <c r="B42" s="2557"/>
      <c r="D42" s="1047"/>
    </row>
    <row r="43" spans="1:4" x14ac:dyDescent="0.2">
      <c r="A43" s="2557"/>
      <c r="B43" s="2557"/>
      <c r="D43" s="1047"/>
    </row>
    <row r="44" spans="1:4" x14ac:dyDescent="0.2">
      <c r="A44" s="2557"/>
      <c r="B44" s="2557"/>
      <c r="D44" s="1047"/>
    </row>
    <row r="45" spans="1:4" x14ac:dyDescent="0.2">
      <c r="A45" s="2557"/>
      <c r="B45" s="2557"/>
      <c r="D45" s="1047"/>
    </row>
    <row r="47" spans="1:4" x14ac:dyDescent="0.2">
      <c r="B47" s="1048" t="s">
        <v>1216</v>
      </c>
      <c r="C47" s="1048"/>
      <c r="D47" s="1049">
        <f>SUM(D35:D45)</f>
        <v>0</v>
      </c>
    </row>
    <row r="49" spans="2:4" x14ac:dyDescent="0.2">
      <c r="B49" s="1048" t="s">
        <v>1215</v>
      </c>
      <c r="C49" s="1048"/>
      <c r="D49" s="1049">
        <f>D32-D47</f>
        <v>217128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7" t="str">
        <f>'Single Audit Cover'!A7</f>
        <v xml:space="preserve"> Hartsburg Emden CUSD 21</v>
      </c>
      <c r="C1" s="2562"/>
      <c r="D1" s="2562"/>
      <c r="E1" s="2562"/>
      <c r="F1" s="2562"/>
      <c r="G1" s="2562"/>
      <c r="H1" s="2562"/>
      <c r="I1" s="2562"/>
      <c r="J1" s="2562"/>
      <c r="K1" s="2562"/>
      <c r="L1" s="2562"/>
      <c r="M1" s="2562"/>
    </row>
    <row r="2" spans="2:14" ht="15" x14ac:dyDescent="0.2">
      <c r="B2" s="2563">
        <f>'Single Audit Cover'!E7</f>
        <v>17054021026</v>
      </c>
      <c r="C2" s="2563"/>
      <c r="D2" s="2563"/>
      <c r="E2" s="2563"/>
      <c r="F2" s="2563"/>
      <c r="G2" s="2563"/>
      <c r="H2" s="2563"/>
      <c r="I2" s="2563"/>
      <c r="J2" s="2563"/>
      <c r="K2" s="2563"/>
      <c r="L2" s="2563"/>
      <c r="M2" s="2563"/>
      <c r="N2" s="1078"/>
    </row>
    <row r="3" spans="2:14" ht="15" x14ac:dyDescent="0.2">
      <c r="B3" s="2564" t="s">
        <v>1208</v>
      </c>
      <c r="C3" s="2564"/>
      <c r="D3" s="2564"/>
      <c r="E3" s="2564"/>
      <c r="F3" s="2564"/>
      <c r="G3" s="2564"/>
      <c r="H3" s="2564"/>
      <c r="I3" s="2564"/>
      <c r="J3" s="2564"/>
      <c r="K3" s="2564"/>
      <c r="L3" s="2564"/>
      <c r="M3" s="2564"/>
      <c r="N3" s="1078"/>
    </row>
    <row r="4" spans="2:14" ht="15" x14ac:dyDescent="0.2">
      <c r="B4" s="2565" t="str">
        <f>'Single Audit Cover'!A4</f>
        <v>Year Ending June 30, 2020</v>
      </c>
      <c r="C4" s="2565"/>
      <c r="D4" s="2565"/>
      <c r="E4" s="2565"/>
      <c r="F4" s="2565"/>
      <c r="G4" s="2565"/>
      <c r="H4" s="2565"/>
      <c r="I4" s="2565"/>
      <c r="J4" s="2565"/>
      <c r="K4" s="2565"/>
      <c r="L4" s="2565"/>
      <c r="M4" s="2565"/>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7" t="str">
        <f>'Single Audit Cover'!A7</f>
        <v xml:space="preserve"> Hartsburg Emden CUSD 21</v>
      </c>
      <c r="C1" s="2562"/>
      <c r="D1" s="2562"/>
      <c r="E1" s="2562"/>
      <c r="F1" s="2562"/>
      <c r="G1" s="2562"/>
      <c r="H1" s="2562"/>
      <c r="I1" s="2562"/>
      <c r="J1" s="2562"/>
      <c r="K1" s="2562"/>
      <c r="L1" s="2562"/>
      <c r="M1" s="2562"/>
    </row>
    <row r="2" spans="2:14" ht="15" x14ac:dyDescent="0.2">
      <c r="B2" s="2563">
        <f>'Single Audit Cover'!E7</f>
        <v>17054021026</v>
      </c>
      <c r="C2" s="2563"/>
      <c r="D2" s="2563"/>
      <c r="E2" s="2563"/>
      <c r="F2" s="2563"/>
      <c r="G2" s="2563"/>
      <c r="H2" s="2563"/>
      <c r="I2" s="2563"/>
      <c r="J2" s="2563"/>
      <c r="K2" s="2563"/>
      <c r="L2" s="2563"/>
      <c r="M2" s="2563"/>
      <c r="N2" s="1078"/>
    </row>
    <row r="3" spans="2:14" ht="15" x14ac:dyDescent="0.2">
      <c r="B3" s="2564" t="s">
        <v>1208</v>
      </c>
      <c r="C3" s="2564"/>
      <c r="D3" s="2564"/>
      <c r="E3" s="2564"/>
      <c r="F3" s="2564"/>
      <c r="G3" s="2564"/>
      <c r="H3" s="2564"/>
      <c r="I3" s="2564"/>
      <c r="J3" s="2564"/>
      <c r="K3" s="2564"/>
      <c r="L3" s="2564"/>
      <c r="M3" s="2564"/>
      <c r="N3" s="1078"/>
    </row>
    <row r="4" spans="2:14" ht="15" x14ac:dyDescent="0.2">
      <c r="B4" s="2565" t="str">
        <f>'Single Audit Cover'!A4</f>
        <v>Year Ending June 30, 2020</v>
      </c>
      <c r="C4" s="2565"/>
      <c r="D4" s="2565"/>
      <c r="E4" s="2565"/>
      <c r="F4" s="2565"/>
      <c r="G4" s="2565"/>
      <c r="H4" s="2565"/>
      <c r="I4" s="2565"/>
      <c r="J4" s="2565"/>
      <c r="K4" s="2565"/>
      <c r="L4" s="2565"/>
      <c r="M4" s="2565"/>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C69" sqref="C6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0" t="s">
        <v>1158</v>
      </c>
      <c r="B2" s="2150"/>
      <c r="C2" s="2150"/>
      <c r="D2" s="2150"/>
      <c r="E2" s="2150"/>
      <c r="F2" s="2150"/>
      <c r="G2" s="2150"/>
      <c r="H2" s="2150"/>
      <c r="I2" s="2150"/>
      <c r="J2" s="215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4" t="s">
        <v>1616</v>
      </c>
      <c r="B35" s="2165"/>
      <c r="C35" s="2165"/>
      <c r="D35" s="2165"/>
      <c r="E35" s="2166"/>
      <c r="F35" s="2166"/>
      <c r="G35" s="2166"/>
      <c r="H35" s="2166"/>
      <c r="I35" s="216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4" t="s">
        <v>310</v>
      </c>
      <c r="B47" s="2167"/>
      <c r="C47" s="2167"/>
      <c r="D47" s="2167"/>
      <c r="E47" s="2168"/>
      <c r="F47" s="2168"/>
      <c r="G47" s="2168"/>
      <c r="H47" s="2168"/>
      <c r="I47" s="216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1"/>
      <c r="C57" s="2172"/>
      <c r="D57" s="2172"/>
      <c r="E57" s="2172"/>
      <c r="F57" s="2172"/>
      <c r="G57" s="2172"/>
      <c r="H57" s="2172"/>
      <c r="I57" s="2172"/>
      <c r="J57" s="2173"/>
    </row>
    <row r="58" spans="1:10" s="176" customFormat="1" x14ac:dyDescent="0.2">
      <c r="A58" s="248"/>
      <c r="B58" s="2174"/>
      <c r="C58" s="2175"/>
      <c r="D58" s="2175"/>
      <c r="E58" s="2175"/>
      <c r="F58" s="2175"/>
      <c r="G58" s="2175"/>
      <c r="H58" s="2175"/>
      <c r="I58" s="2175"/>
      <c r="J58" s="2176"/>
    </row>
    <row r="59" spans="1:10" s="176" customFormat="1" x14ac:dyDescent="0.2">
      <c r="A59" s="248"/>
      <c r="B59" s="2174"/>
      <c r="C59" s="2175"/>
      <c r="D59" s="2175"/>
      <c r="E59" s="2175"/>
      <c r="F59" s="2175"/>
      <c r="G59" s="2175"/>
      <c r="H59" s="2175"/>
      <c r="I59" s="2175"/>
      <c r="J59" s="2176"/>
    </row>
    <row r="60" spans="1:10" s="176" customFormat="1" x14ac:dyDescent="0.2">
      <c r="A60" s="248"/>
      <c r="B60" s="2174"/>
      <c r="C60" s="2175"/>
      <c r="D60" s="2175"/>
      <c r="E60" s="2175"/>
      <c r="F60" s="2175"/>
      <c r="G60" s="2175"/>
      <c r="H60" s="2175"/>
      <c r="I60" s="2175"/>
      <c r="J60" s="2176"/>
    </row>
    <row r="61" spans="1:10" s="176" customFormat="1" x14ac:dyDescent="0.2">
      <c r="A61" s="248"/>
      <c r="B61" s="2174"/>
      <c r="C61" s="2175"/>
      <c r="D61" s="2175"/>
      <c r="E61" s="2175"/>
      <c r="F61" s="2175"/>
      <c r="G61" s="2175"/>
      <c r="H61" s="2175"/>
      <c r="I61" s="2175"/>
      <c r="J61" s="2176"/>
    </row>
    <row r="62" spans="1:10" s="176" customFormat="1" x14ac:dyDescent="0.2">
      <c r="A62" s="248"/>
      <c r="B62" s="2174"/>
      <c r="C62" s="2175"/>
      <c r="D62" s="2175"/>
      <c r="E62" s="2175"/>
      <c r="F62" s="2175"/>
      <c r="G62" s="2175"/>
      <c r="H62" s="2175"/>
      <c r="I62" s="2175"/>
      <c r="J62" s="2176"/>
    </row>
    <row r="63" spans="1:10" s="176" customFormat="1" x14ac:dyDescent="0.2">
      <c r="A63" s="248"/>
      <c r="B63" s="2174"/>
      <c r="C63" s="2175"/>
      <c r="D63" s="2175"/>
      <c r="E63" s="2175"/>
      <c r="F63" s="2175"/>
      <c r="G63" s="2175"/>
      <c r="H63" s="2175"/>
      <c r="I63" s="2175"/>
      <c r="J63" s="2176"/>
    </row>
    <row r="64" spans="1:10" s="176" customFormat="1" x14ac:dyDescent="0.2">
      <c r="A64" s="248"/>
      <c r="B64" s="2174"/>
      <c r="C64" s="2175"/>
      <c r="D64" s="2175"/>
      <c r="E64" s="2175"/>
      <c r="F64" s="2175"/>
      <c r="G64" s="2175"/>
      <c r="H64" s="2175"/>
      <c r="I64" s="2175"/>
      <c r="J64" s="2176"/>
    </row>
    <row r="65" spans="1:11" s="176" customFormat="1" x14ac:dyDescent="0.2">
      <c r="A65" s="248"/>
      <c r="B65" s="2174"/>
      <c r="C65" s="2175"/>
      <c r="D65" s="2175"/>
      <c r="E65" s="2175"/>
      <c r="F65" s="2175"/>
      <c r="G65" s="2175"/>
      <c r="H65" s="2175"/>
      <c r="I65" s="2175"/>
      <c r="J65" s="2176"/>
    </row>
    <row r="66" spans="1:11" s="176" customFormat="1" x14ac:dyDescent="0.2">
      <c r="A66" s="248"/>
      <c r="B66" s="2174"/>
      <c r="C66" s="2175"/>
      <c r="D66" s="2175"/>
      <c r="E66" s="2175"/>
      <c r="F66" s="2175"/>
      <c r="G66" s="2175"/>
      <c r="H66" s="2175"/>
      <c r="I66" s="2175"/>
      <c r="J66" s="2176"/>
    </row>
    <row r="67" spans="1:11" s="176" customFormat="1" ht="9" customHeight="1" x14ac:dyDescent="0.2">
      <c r="A67" s="249"/>
      <c r="B67" s="2177"/>
      <c r="C67" s="2178"/>
      <c r="D67" s="2178"/>
      <c r="E67" s="2178"/>
      <c r="F67" s="2178"/>
      <c r="G67" s="2178"/>
      <c r="H67" s="2178"/>
      <c r="I67" s="2178"/>
      <c r="J67" s="217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4" t="s">
        <v>1312</v>
      </c>
      <c r="B70" s="2167"/>
      <c r="C70" s="2167"/>
      <c r="D70" s="2167"/>
      <c r="E70" s="2168"/>
      <c r="F70" s="2168"/>
      <c r="G70" s="2168"/>
      <c r="H70" s="2168"/>
      <c r="I70" s="216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9" t="s">
        <v>1309</v>
      </c>
      <c r="B83" s="2169"/>
      <c r="C83" s="2169"/>
      <c r="D83" s="217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0" t="s">
        <v>1989</v>
      </c>
      <c r="B85" s="2180"/>
      <c r="C85" s="2180"/>
      <c r="D85" s="2181"/>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2" t="s">
        <v>1989</v>
      </c>
      <c r="B88" s="2183"/>
      <c r="C88" s="2183"/>
      <c r="D88" s="2184"/>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1" t="s">
        <v>2072</v>
      </c>
      <c r="C102" s="2152"/>
      <c r="D102" s="2152"/>
      <c r="E102" s="2152"/>
      <c r="F102" s="2152"/>
      <c r="G102" s="2152"/>
      <c r="H102" s="2152"/>
      <c r="I102" s="2153"/>
    </row>
    <row r="103" spans="1:9" s="176" customFormat="1" ht="11.25" customHeight="1" x14ac:dyDescent="0.2">
      <c r="A103" s="294"/>
      <c r="B103" s="2154"/>
      <c r="C103" s="2155"/>
      <c r="D103" s="2155"/>
      <c r="E103" s="2155"/>
      <c r="F103" s="2155"/>
      <c r="G103" s="2155"/>
      <c r="H103" s="2155"/>
      <c r="I103" s="2156"/>
    </row>
    <row r="104" spans="1:9" s="176" customFormat="1" ht="11.25" customHeight="1" x14ac:dyDescent="0.2">
      <c r="A104" s="294"/>
      <c r="B104" s="2154"/>
      <c r="C104" s="2155"/>
      <c r="D104" s="2155"/>
      <c r="E104" s="2155"/>
      <c r="F104" s="2155"/>
      <c r="G104" s="2155"/>
      <c r="H104" s="2155"/>
      <c r="I104" s="2156"/>
    </row>
    <row r="105" spans="1:9" s="176" customFormat="1" x14ac:dyDescent="0.2">
      <c r="A105" s="294"/>
      <c r="B105" s="2154"/>
      <c r="C105" s="2155"/>
      <c r="D105" s="2155"/>
      <c r="E105" s="2155"/>
      <c r="F105" s="2155"/>
      <c r="G105" s="2155"/>
      <c r="H105" s="2155"/>
      <c r="I105" s="2156"/>
    </row>
    <row r="106" spans="1:9" s="176" customFormat="1" ht="11.25" customHeight="1" x14ac:dyDescent="0.2">
      <c r="A106" s="294"/>
      <c r="B106" s="2154"/>
      <c r="C106" s="2155"/>
      <c r="D106" s="2155"/>
      <c r="E106" s="2155"/>
      <c r="F106" s="2155"/>
      <c r="G106" s="2155"/>
      <c r="H106" s="2155"/>
      <c r="I106" s="2156"/>
    </row>
    <row r="107" spans="1:9" s="176" customFormat="1" ht="11.25" customHeight="1" x14ac:dyDescent="0.2">
      <c r="A107" s="294"/>
      <c r="B107" s="2154"/>
      <c r="C107" s="2155"/>
      <c r="D107" s="2155"/>
      <c r="E107" s="2155"/>
      <c r="F107" s="2155"/>
      <c r="G107" s="2155"/>
      <c r="H107" s="2155"/>
      <c r="I107" s="2156"/>
    </row>
    <row r="108" spans="1:9" s="176" customFormat="1" ht="11.25" customHeight="1" x14ac:dyDescent="0.2">
      <c r="A108" s="294"/>
      <c r="B108" s="2154"/>
      <c r="C108" s="2155"/>
      <c r="D108" s="2155"/>
      <c r="E108" s="2155"/>
      <c r="F108" s="2155"/>
      <c r="G108" s="2155"/>
      <c r="H108" s="2155"/>
      <c r="I108" s="2156"/>
    </row>
    <row r="109" spans="1:9" s="176" customFormat="1" ht="11.25" customHeight="1" x14ac:dyDescent="0.2">
      <c r="A109" s="294"/>
      <c r="B109" s="2154"/>
      <c r="C109" s="2155"/>
      <c r="D109" s="2155"/>
      <c r="E109" s="2155"/>
      <c r="F109" s="2155"/>
      <c r="G109" s="2155"/>
      <c r="H109" s="2155"/>
      <c r="I109" s="2156"/>
    </row>
    <row r="110" spans="1:9" s="176" customFormat="1" ht="11.25" customHeight="1" x14ac:dyDescent="0.2">
      <c r="A110" s="294"/>
      <c r="B110" s="2154"/>
      <c r="C110" s="2155"/>
      <c r="D110" s="2155"/>
      <c r="E110" s="2155"/>
      <c r="F110" s="2155"/>
      <c r="G110" s="2155"/>
      <c r="H110" s="2155"/>
      <c r="I110" s="2156"/>
    </row>
    <row r="111" spans="1:9" s="176" customFormat="1" ht="11.25" customHeight="1" x14ac:dyDescent="0.2">
      <c r="A111" s="294"/>
      <c r="B111" s="2154"/>
      <c r="C111" s="2155"/>
      <c r="D111" s="2155"/>
      <c r="E111" s="2155"/>
      <c r="F111" s="2155"/>
      <c r="G111" s="2155"/>
      <c r="H111" s="2155"/>
      <c r="I111" s="2156"/>
    </row>
    <row r="112" spans="1:9" s="176" customFormat="1" ht="11.25" customHeight="1" x14ac:dyDescent="0.2">
      <c r="A112" s="294"/>
      <c r="B112" s="2157"/>
      <c r="C112" s="2158"/>
      <c r="D112" s="2158"/>
      <c r="E112" s="2158"/>
      <c r="F112" s="2158"/>
      <c r="G112" s="2158"/>
      <c r="H112" s="2158"/>
      <c r="I112" s="215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0" t="s">
        <v>2059</v>
      </c>
      <c r="D114" s="216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1" t="s">
        <v>1319</v>
      </c>
      <c r="D117" s="2162"/>
      <c r="E117" s="2163"/>
      <c r="F117" s="2163"/>
      <c r="G117" s="2163"/>
      <c r="H117" s="216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5"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7" t="str">
        <f>'Single Audit Cover'!A7</f>
        <v xml:space="preserve"> Hartsburg Emden CUSD 21</v>
      </c>
      <c r="C1" s="2562"/>
      <c r="D1" s="2562"/>
      <c r="E1" s="2562"/>
      <c r="F1" s="2562"/>
      <c r="G1" s="2562"/>
      <c r="H1" s="2562"/>
      <c r="I1" s="2562"/>
      <c r="J1" s="2562"/>
      <c r="K1" s="2562"/>
      <c r="L1" s="2562"/>
      <c r="M1" s="2562"/>
    </row>
    <row r="2" spans="2:14" ht="15" x14ac:dyDescent="0.2">
      <c r="B2" s="2563">
        <f>'Single Audit Cover'!E7</f>
        <v>17054021026</v>
      </c>
      <c r="C2" s="2563"/>
      <c r="D2" s="2563"/>
      <c r="E2" s="2563"/>
      <c r="F2" s="2563"/>
      <c r="G2" s="2563"/>
      <c r="H2" s="2563"/>
      <c r="I2" s="2563"/>
      <c r="J2" s="2563"/>
      <c r="K2" s="2563"/>
      <c r="L2" s="2563"/>
      <c r="M2" s="2563"/>
      <c r="N2" s="1078"/>
    </row>
    <row r="3" spans="2:14" ht="15" x14ac:dyDescent="0.2">
      <c r="B3" s="2564" t="s">
        <v>1208</v>
      </c>
      <c r="C3" s="2564"/>
      <c r="D3" s="2564"/>
      <c r="E3" s="2564"/>
      <c r="F3" s="2564"/>
      <c r="G3" s="2564"/>
      <c r="H3" s="2564"/>
      <c r="I3" s="2564"/>
      <c r="J3" s="2564"/>
      <c r="K3" s="2564"/>
      <c r="L3" s="2564"/>
      <c r="M3" s="2564"/>
      <c r="N3" s="1078"/>
    </row>
    <row r="4" spans="2:14" ht="15" x14ac:dyDescent="0.2">
      <c r="B4" s="2565" t="str">
        <f>'Single Audit Cover'!A4</f>
        <v>Year Ending June 30, 2020</v>
      </c>
      <c r="C4" s="2565"/>
      <c r="D4" s="2565"/>
      <c r="E4" s="2565"/>
      <c r="F4" s="2565"/>
      <c r="G4" s="2565"/>
      <c r="H4" s="2565"/>
      <c r="I4" s="2565"/>
      <c r="J4" s="2565"/>
      <c r="K4" s="2565"/>
      <c r="L4" s="2565"/>
      <c r="M4" s="2565"/>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7" t="str">
        <f>'Single Audit Cover'!A7</f>
        <v xml:space="preserve"> Hartsburg Emden CUSD 21</v>
      </c>
      <c r="C1" s="2562"/>
      <c r="D1" s="2562"/>
      <c r="E1" s="2562"/>
      <c r="F1" s="2562"/>
      <c r="G1" s="2562"/>
      <c r="H1" s="2562"/>
      <c r="I1" s="2562"/>
      <c r="J1" s="2562"/>
      <c r="K1" s="2562"/>
      <c r="L1" s="2562"/>
      <c r="M1" s="2562"/>
    </row>
    <row r="2" spans="2:14" ht="15" x14ac:dyDescent="0.2">
      <c r="B2" s="2563">
        <f>'Single Audit Cover'!E7</f>
        <v>17054021026</v>
      </c>
      <c r="C2" s="2563"/>
      <c r="D2" s="2563"/>
      <c r="E2" s="2563"/>
      <c r="F2" s="2563"/>
      <c r="G2" s="2563"/>
      <c r="H2" s="2563"/>
      <c r="I2" s="2563"/>
      <c r="J2" s="2563"/>
      <c r="K2" s="2563"/>
      <c r="L2" s="2563"/>
      <c r="M2" s="2563"/>
      <c r="N2" s="1078"/>
    </row>
    <row r="3" spans="2:14" ht="15" x14ac:dyDescent="0.2">
      <c r="B3" s="2564" t="s">
        <v>1208</v>
      </c>
      <c r="C3" s="2564"/>
      <c r="D3" s="2564"/>
      <c r="E3" s="2564"/>
      <c r="F3" s="2564"/>
      <c r="G3" s="2564"/>
      <c r="H3" s="2564"/>
      <c r="I3" s="2564"/>
      <c r="J3" s="2564"/>
      <c r="K3" s="2564"/>
      <c r="L3" s="2564"/>
      <c r="M3" s="2564"/>
      <c r="N3" s="1078"/>
    </row>
    <row r="4" spans="2:14" ht="15" x14ac:dyDescent="0.2">
      <c r="B4" s="2565" t="str">
        <f>'Single Audit Cover'!A4</f>
        <v>Year Ending June 30, 2020</v>
      </c>
      <c r="C4" s="2565"/>
      <c r="D4" s="2565"/>
      <c r="E4" s="2565"/>
      <c r="F4" s="2565"/>
      <c r="G4" s="2565"/>
      <c r="H4" s="2565"/>
      <c r="I4" s="2565"/>
      <c r="J4" s="2565"/>
      <c r="K4" s="2565"/>
      <c r="L4" s="2565"/>
      <c r="M4" s="2565"/>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7" t="str">
        <f>'Single Audit Cover'!A7</f>
        <v xml:space="preserve"> Hartsburg Emden CUSD 21</v>
      </c>
      <c r="B1" s="2567"/>
      <c r="C1" s="2567"/>
      <c r="D1" s="2567"/>
      <c r="E1" s="2567"/>
      <c r="F1" s="2567"/>
    </row>
    <row r="2" spans="1:7" ht="13.5" customHeight="1" x14ac:dyDescent="0.2">
      <c r="A2" s="2563">
        <f>'Single Audit Cover'!E7</f>
        <v>17054021026</v>
      </c>
      <c r="B2" s="2563"/>
      <c r="C2" s="2563"/>
      <c r="D2" s="2563"/>
      <c r="E2" s="2563"/>
      <c r="F2" s="2563"/>
      <c r="G2" s="1051"/>
    </row>
    <row r="3" spans="1:7" ht="15.75" customHeight="1" x14ac:dyDescent="0.2">
      <c r="A3" s="2568" t="s">
        <v>1260</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95"/>
      <c r="D5" s="295"/>
    </row>
    <row r="6" spans="1:7" ht="13.5" customHeight="1" x14ac:dyDescent="0.2">
      <c r="A6" s="1052" t="s">
        <v>1705</v>
      </c>
      <c r="C6" s="295"/>
      <c r="D6" s="295"/>
    </row>
    <row r="7" spans="1:7" ht="60.95" customHeight="1" x14ac:dyDescent="0.2">
      <c r="A7" s="2566" t="s">
        <v>1706</v>
      </c>
      <c r="B7" s="2566"/>
      <c r="C7" s="2566"/>
      <c r="D7" s="2566"/>
      <c r="E7" s="2566"/>
      <c r="F7" s="256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6" t="s">
        <v>1708</v>
      </c>
      <c r="B13" s="2566"/>
      <c r="C13" s="2566"/>
      <c r="D13" s="2566"/>
      <c r="E13" s="2566"/>
      <c r="F13" s="2566"/>
    </row>
    <row r="14" spans="1:7" ht="9.75" customHeight="1" x14ac:dyDescent="0.2">
      <c r="C14" s="1036"/>
      <c r="D14" s="1036"/>
    </row>
    <row r="15" spans="1:7" ht="13.5" customHeight="1" x14ac:dyDescent="0.2">
      <c r="C15" s="1476" t="s">
        <v>1259</v>
      </c>
      <c r="D15" s="2571" t="s">
        <v>1258</v>
      </c>
      <c r="E15" s="2571"/>
      <c r="F15" s="2571"/>
    </row>
    <row r="16" spans="1:7" ht="13.5" customHeight="1" x14ac:dyDescent="0.2">
      <c r="A16" s="1058"/>
      <c r="B16" s="1052" t="s">
        <v>1257</v>
      </c>
      <c r="C16" s="1476" t="s">
        <v>1256</v>
      </c>
      <c r="D16" s="2572" t="s">
        <v>1571</v>
      </c>
      <c r="E16" s="2572"/>
      <c r="F16" s="2572"/>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4" t="s">
        <v>1709</v>
      </c>
      <c r="B32" s="2574"/>
      <c r="C32" s="2574"/>
      <c r="D32" s="2574"/>
      <c r="E32" s="2574"/>
      <c r="F32" s="257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5">
        <f>+C33+C34</f>
        <v>0</v>
      </c>
      <c r="F34" s="257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7" t="s">
        <v>1573</v>
      </c>
      <c r="C49" s="2577"/>
      <c r="D49" s="2577"/>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2" t="str">
        <f>'Single Audit Cover'!A7</f>
        <v xml:space="preserve"> Hartsburg Emden CUSD 21</v>
      </c>
      <c r="C1" s="2583"/>
      <c r="D1" s="2583"/>
      <c r="E1" s="2583"/>
      <c r="F1" s="2583"/>
      <c r="G1" s="2583"/>
      <c r="H1" s="2583"/>
      <c r="I1" s="2583"/>
      <c r="J1" s="1178"/>
    </row>
    <row r="2" spans="2:10" s="295" customFormat="1" ht="12.75" customHeight="1" x14ac:dyDescent="0.2">
      <c r="B2" s="2584">
        <f>'Single Audit Cover'!E7</f>
        <v>17054021026</v>
      </c>
      <c r="C2" s="2585"/>
      <c r="D2" s="2585"/>
      <c r="E2" s="2585"/>
      <c r="F2" s="2585"/>
      <c r="G2" s="2585"/>
      <c r="H2" s="2585"/>
      <c r="I2" s="2585"/>
      <c r="J2" s="1178"/>
    </row>
    <row r="3" spans="2:10" s="295" customFormat="1" ht="12.75" customHeight="1" x14ac:dyDescent="0.2">
      <c r="B3" s="2586" t="s">
        <v>1274</v>
      </c>
      <c r="C3" s="2587"/>
      <c r="D3" s="2587"/>
      <c r="E3" s="2587"/>
      <c r="F3" s="2587"/>
      <c r="G3" s="2587"/>
      <c r="H3" s="2587"/>
      <c r="I3" s="2587"/>
      <c r="J3" s="1179"/>
    </row>
    <row r="4" spans="2:10" s="295" customFormat="1" ht="12.75" customHeight="1" x14ac:dyDescent="0.2">
      <c r="B4" s="2586" t="str">
        <f>'Single Audit Cover'!A4</f>
        <v>Year Ending June 30, 2020</v>
      </c>
      <c r="C4" s="2587"/>
      <c r="D4" s="2587"/>
      <c r="E4" s="2587"/>
      <c r="F4" s="2587"/>
      <c r="G4" s="2587"/>
      <c r="H4" s="2587"/>
      <c r="I4" s="258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6" t="s">
        <v>1273</v>
      </c>
      <c r="C7" s="2587"/>
      <c r="D7" s="2587"/>
      <c r="E7" s="2587"/>
      <c r="F7" s="2587"/>
      <c r="G7" s="2587"/>
      <c r="H7" s="2587"/>
      <c r="I7" s="258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88"/>
      <c r="D11" s="258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89"/>
      <c r="E29" s="2589"/>
      <c r="F29" s="2589"/>
      <c r="G29" s="2589"/>
      <c r="H29" s="2589"/>
      <c r="I29" s="258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0" t="s">
        <v>1728</v>
      </c>
      <c r="D37" s="2591"/>
      <c r="E37" s="2591"/>
      <c r="F37" s="2592"/>
      <c r="G37" s="2590" t="s">
        <v>1575</v>
      </c>
      <c r="H37" s="2591"/>
      <c r="I37" s="2592"/>
    </row>
    <row r="38" spans="2:9" ht="16.5" customHeight="1" x14ac:dyDescent="0.2">
      <c r="B38" s="1200"/>
      <c r="C38" s="2578"/>
      <c r="D38" s="2579"/>
      <c r="E38" s="2579"/>
      <c r="F38" s="2580"/>
      <c r="G38" s="2593"/>
      <c r="H38" s="2594"/>
      <c r="I38" s="2595"/>
    </row>
    <row r="39" spans="2:9" ht="16.5" customHeight="1" x14ac:dyDescent="0.2">
      <c r="B39" s="1200"/>
      <c r="C39" s="2578"/>
      <c r="D39" s="2579"/>
      <c r="E39" s="2579"/>
      <c r="F39" s="2580"/>
      <c r="G39" s="2581"/>
      <c r="H39" s="2581"/>
      <c r="I39" s="2581"/>
    </row>
    <row r="40" spans="2:9" ht="16.5" customHeight="1" x14ac:dyDescent="0.2">
      <c r="B40" s="1200"/>
      <c r="C40" s="2578"/>
      <c r="D40" s="2579"/>
      <c r="E40" s="2579"/>
      <c r="F40" s="2580"/>
      <c r="G40" s="2581"/>
      <c r="H40" s="2581"/>
      <c r="I40" s="2581"/>
    </row>
    <row r="41" spans="2:9" ht="16.5" customHeight="1" x14ac:dyDescent="0.2">
      <c r="B41" s="1200"/>
      <c r="C41" s="2578"/>
      <c r="D41" s="2579"/>
      <c r="E41" s="2579"/>
      <c r="F41" s="2580"/>
      <c r="G41" s="2581"/>
      <c r="H41" s="2581"/>
      <c r="I41" s="2581"/>
    </row>
    <row r="42" spans="2:9" ht="16.5" customHeight="1" x14ac:dyDescent="0.2">
      <c r="B42" s="1200"/>
      <c r="C42" s="2578"/>
      <c r="D42" s="2579"/>
      <c r="E42" s="2579"/>
      <c r="F42" s="2580"/>
      <c r="G42" s="2581"/>
      <c r="H42" s="2581"/>
      <c r="I42" s="2581"/>
    </row>
    <row r="43" spans="2:9" ht="16.5" customHeight="1" x14ac:dyDescent="0.2">
      <c r="B43" s="1200"/>
      <c r="C43" s="2596" t="s">
        <v>1576</v>
      </c>
      <c r="D43" s="2597"/>
      <c r="E43" s="2597"/>
      <c r="F43" s="2598"/>
      <c r="G43" s="2599">
        <f>SUM(G38:I42)</f>
        <v>0</v>
      </c>
      <c r="H43" s="2599"/>
      <c r="I43" s="2599"/>
    </row>
    <row r="44" spans="2:9" ht="12.75" customHeight="1" x14ac:dyDescent="0.2"/>
    <row r="45" spans="2:9" ht="12.75" customHeight="1" x14ac:dyDescent="0.2">
      <c r="B45" s="1916" t="str">
        <f>"Total Federal Expenditures for 7/1/"&amp;MID('AFR20'!E2,3,2)-1&amp;"-6/30/"&amp;MID('AFR20'!E2,3,2)</f>
        <v>Total Federal Expenditures for 7/1/19-6/30/20</v>
      </c>
      <c r="C45" s="1917"/>
      <c r="D45" s="2600">
        <v>0</v>
      </c>
      <c r="E45" s="2601"/>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2"/>
      <c r="F49" s="2602"/>
      <c r="G49" s="260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 top="0.46" bottom="0.4" header="0.25"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2" t="str">
        <f>'Single Audit Cover'!A7</f>
        <v xml:space="preserve"> Hartsburg Emden CUSD 21</v>
      </c>
      <c r="C1" s="2582"/>
      <c r="D1" s="2582"/>
      <c r="E1" s="2582"/>
      <c r="F1" s="2582"/>
      <c r="G1" s="2582"/>
      <c r="H1" s="2582"/>
      <c r="I1" s="2582"/>
      <c r="J1" s="2582"/>
      <c r="K1" s="2582"/>
      <c r="L1" s="1144"/>
      <c r="M1" s="1144"/>
    </row>
    <row r="2" spans="1:13" ht="12" customHeight="1" x14ac:dyDescent="0.2">
      <c r="B2" s="2584">
        <f>'Single Audit Cover'!E7</f>
        <v>17054021026</v>
      </c>
      <c r="C2" s="2584"/>
      <c r="D2" s="2584"/>
      <c r="E2" s="2584"/>
      <c r="F2" s="2584"/>
      <c r="G2" s="2584"/>
      <c r="H2" s="2584"/>
      <c r="I2" s="2584"/>
      <c r="J2" s="2584"/>
      <c r="K2" s="2584"/>
      <c r="L2" s="1145"/>
      <c r="M2" s="1146"/>
    </row>
    <row r="3" spans="1:13" ht="10.35" customHeight="1" x14ac:dyDescent="0.2">
      <c r="B3" s="2605" t="s">
        <v>1274</v>
      </c>
      <c r="C3" s="2605"/>
      <c r="D3" s="2605"/>
      <c r="E3" s="2605"/>
      <c r="F3" s="2605"/>
      <c r="G3" s="2605"/>
      <c r="H3" s="2605"/>
      <c r="I3" s="2605"/>
      <c r="J3" s="2605"/>
      <c r="K3" s="2605"/>
      <c r="L3" s="1147"/>
      <c r="M3" s="1147"/>
    </row>
    <row r="4" spans="1:13" ht="14.25" customHeight="1" x14ac:dyDescent="0.2">
      <c r="B4" s="2606" t="str">
        <f>'Single Audit Cover'!A4</f>
        <v>Year Ending June 30, 2020</v>
      </c>
      <c r="C4" s="2606"/>
      <c r="D4" s="2606"/>
      <c r="E4" s="2606"/>
      <c r="F4" s="2606"/>
      <c r="G4" s="2606"/>
      <c r="H4" s="2606"/>
      <c r="I4" s="2606"/>
      <c r="J4" s="2606"/>
      <c r="K4" s="260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6" t="s">
        <v>1285</v>
      </c>
      <c r="C7" s="2606"/>
      <c r="D7" s="2607"/>
      <c r="E7" s="2607"/>
      <c r="F7" s="2607"/>
      <c r="G7" s="2607"/>
      <c r="H7" s="2607"/>
      <c r="I7" s="2607"/>
      <c r="J7" s="2607"/>
      <c r="K7" s="260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4"/>
      <c r="C14" s="2604"/>
      <c r="D14" s="2604"/>
      <c r="E14" s="2604"/>
      <c r="F14" s="2604"/>
      <c r="G14" s="2604"/>
      <c r="H14" s="2604"/>
      <c r="I14" s="2604"/>
      <c r="J14" s="2604"/>
      <c r="K14" s="260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4"/>
      <c r="C17" s="2604"/>
      <c r="D17" s="2604"/>
      <c r="E17" s="2604"/>
      <c r="F17" s="2604"/>
      <c r="G17" s="2604"/>
      <c r="H17" s="2604"/>
      <c r="I17" s="2604"/>
      <c r="J17" s="2604"/>
      <c r="K17" s="260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08"/>
      <c r="C20" s="2608"/>
      <c r="D20" s="2604"/>
      <c r="E20" s="2604"/>
      <c r="F20" s="2604"/>
      <c r="G20" s="2604"/>
      <c r="H20" s="2604"/>
      <c r="I20" s="2604"/>
      <c r="J20" s="2604"/>
      <c r="K20" s="260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4"/>
      <c r="C23" s="2604"/>
      <c r="D23" s="2604"/>
      <c r="E23" s="2604"/>
      <c r="F23" s="2604"/>
      <c r="G23" s="2604"/>
      <c r="H23" s="2604"/>
      <c r="I23" s="2604"/>
      <c r="J23" s="2604"/>
      <c r="K23" s="260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4"/>
      <c r="C26" s="2604"/>
      <c r="D26" s="2604"/>
      <c r="E26" s="2604"/>
      <c r="F26" s="2604"/>
      <c r="G26" s="2604"/>
      <c r="H26" s="2604"/>
      <c r="I26" s="2604"/>
      <c r="J26" s="2604"/>
      <c r="K26" s="260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3"/>
      <c r="C29" s="2603"/>
      <c r="D29" s="2604"/>
      <c r="E29" s="2604"/>
      <c r="F29" s="2604"/>
      <c r="G29" s="2604"/>
      <c r="H29" s="2604"/>
      <c r="I29" s="2604"/>
      <c r="J29" s="2604"/>
      <c r="K29" s="260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3"/>
      <c r="C32" s="2603"/>
      <c r="D32" s="2604"/>
      <c r="E32" s="2604"/>
      <c r="F32" s="2604"/>
      <c r="G32" s="2604"/>
      <c r="H32" s="2604"/>
      <c r="I32" s="2604"/>
      <c r="J32" s="2604"/>
      <c r="K32" s="260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9" t="str">
        <f>'Single Audit Cover'!A7</f>
        <v xml:space="preserve"> Hartsburg Emden CUSD 21</v>
      </c>
      <c r="C1" s="2609"/>
      <c r="D1" s="2609"/>
      <c r="E1" s="2609"/>
      <c r="F1" s="2609"/>
      <c r="G1" s="2609"/>
      <c r="H1" s="2609"/>
      <c r="I1" s="2609"/>
      <c r="J1" s="2609"/>
      <c r="K1" s="2609"/>
      <c r="L1" s="1221"/>
    </row>
    <row r="2" spans="1:12" ht="12.75" customHeight="1" x14ac:dyDescent="0.2">
      <c r="B2" s="2610">
        <f>'Single Audit Cover'!E7</f>
        <v>17054021026</v>
      </c>
      <c r="C2" s="2610"/>
      <c r="D2" s="2610"/>
      <c r="E2" s="2610"/>
      <c r="F2" s="2610"/>
      <c r="G2" s="2610"/>
      <c r="H2" s="2610"/>
      <c r="I2" s="2610"/>
      <c r="J2" s="2610"/>
      <c r="K2" s="2610"/>
      <c r="L2" s="1222"/>
    </row>
    <row r="3" spans="1:12" ht="12.75" customHeight="1" x14ac:dyDescent="0.2">
      <c r="B3" s="2605" t="s">
        <v>1274</v>
      </c>
      <c r="C3" s="2605"/>
      <c r="D3" s="2605"/>
      <c r="E3" s="2605"/>
      <c r="F3" s="2605"/>
      <c r="G3" s="2605"/>
      <c r="H3" s="2605"/>
      <c r="I3" s="2605"/>
      <c r="J3" s="2605"/>
      <c r="K3" s="2605"/>
      <c r="L3" s="1147"/>
    </row>
    <row r="4" spans="1:12" ht="12.75" customHeight="1" x14ac:dyDescent="0.2">
      <c r="B4" s="2605" t="str">
        <f>'Single Audit Cover'!A4</f>
        <v>Year Ending June 30, 2020</v>
      </c>
      <c r="C4" s="2605"/>
      <c r="D4" s="2605"/>
      <c r="E4" s="2605"/>
      <c r="F4" s="2605"/>
      <c r="G4" s="2605"/>
      <c r="H4" s="2605"/>
      <c r="I4" s="2605"/>
      <c r="J4" s="2605"/>
      <c r="K4" s="2605"/>
      <c r="L4" s="1147"/>
    </row>
    <row r="5" spans="1:12" ht="5.25" customHeight="1" x14ac:dyDescent="0.2">
      <c r="B5" s="1036" t="s">
        <v>1159</v>
      </c>
      <c r="C5" s="1036"/>
      <c r="L5" s="300"/>
    </row>
    <row r="6" spans="1:12" ht="30.75" customHeight="1" x14ac:dyDescent="0.2">
      <c r="A6" s="300"/>
      <c r="B6" s="2611" t="s">
        <v>1297</v>
      </c>
      <c r="C6" s="2611"/>
      <c r="D6" s="2611"/>
      <c r="E6" s="2611"/>
      <c r="F6" s="2611"/>
      <c r="G6" s="2611"/>
      <c r="H6" s="2611"/>
      <c r="I6" s="2611"/>
      <c r="J6" s="2611"/>
      <c r="K6" s="261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89"/>
      <c r="G12" s="2589"/>
      <c r="H12" s="2589"/>
      <c r="I12" s="2589"/>
      <c r="J12" s="2589"/>
      <c r="K12" s="258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2"/>
      <c r="E14" s="2612"/>
      <c r="F14" s="2612"/>
      <c r="H14" s="1230" t="s">
        <v>1292</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3"/>
      <c r="E16" s="2613"/>
      <c r="F16" s="2613"/>
      <c r="G16" s="2613"/>
      <c r="H16" s="2613"/>
      <c r="I16" s="2613"/>
      <c r="J16" s="2613"/>
      <c r="K16" s="2613"/>
      <c r="L16" s="300"/>
    </row>
    <row r="17" spans="2:12" ht="13.5" customHeight="1" x14ac:dyDescent="0.2">
      <c r="B17" s="1156" t="s">
        <v>1290</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4"/>
      <c r="C20" s="2604"/>
      <c r="D20" s="2604"/>
      <c r="E20" s="2604"/>
      <c r="F20" s="2604"/>
      <c r="G20" s="2604"/>
      <c r="H20" s="2604"/>
      <c r="I20" s="2604"/>
      <c r="J20" s="2604"/>
      <c r="K20" s="260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4"/>
      <c r="C23" s="2604"/>
      <c r="D23" s="2604"/>
      <c r="E23" s="2604"/>
      <c r="F23" s="2604"/>
      <c r="G23" s="2604"/>
      <c r="H23" s="2604"/>
      <c r="I23" s="2604"/>
      <c r="J23" s="2604"/>
      <c r="K23" s="260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4"/>
      <c r="C26" s="2604"/>
      <c r="D26" s="2604"/>
      <c r="E26" s="2604"/>
      <c r="F26" s="2604"/>
      <c r="G26" s="2604"/>
      <c r="H26" s="2604"/>
      <c r="I26" s="2604"/>
      <c r="J26" s="2604"/>
      <c r="K26" s="260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4"/>
      <c r="C29" s="2604"/>
      <c r="D29" s="2604"/>
      <c r="E29" s="2604"/>
      <c r="F29" s="2604"/>
      <c r="G29" s="2604"/>
      <c r="H29" s="2604"/>
      <c r="I29" s="2604"/>
      <c r="J29" s="2604"/>
      <c r="K29" s="260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4"/>
      <c r="C32" s="2604"/>
      <c r="D32" s="2604"/>
      <c r="E32" s="2604"/>
      <c r="F32" s="2604"/>
      <c r="G32" s="2604"/>
      <c r="H32" s="2604"/>
      <c r="I32" s="2604"/>
      <c r="J32" s="2604"/>
      <c r="K32" s="260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4"/>
      <c r="C35" s="2604"/>
      <c r="D35" s="2604"/>
      <c r="E35" s="2604"/>
      <c r="F35" s="2604"/>
      <c r="G35" s="2604"/>
      <c r="H35" s="2604"/>
      <c r="I35" s="2604"/>
      <c r="J35" s="2604"/>
      <c r="K35" s="260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4"/>
      <c r="C38" s="2604"/>
      <c r="D38" s="2604"/>
      <c r="E38" s="2604"/>
      <c r="F38" s="2604"/>
      <c r="G38" s="2604"/>
      <c r="H38" s="2604"/>
      <c r="I38" s="2604"/>
      <c r="J38" s="2604"/>
      <c r="K38" s="260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4"/>
      <c r="C41" s="2604"/>
      <c r="D41" s="2604"/>
      <c r="E41" s="2604"/>
      <c r="F41" s="2604"/>
      <c r="G41" s="2604"/>
      <c r="H41" s="2604"/>
      <c r="I41" s="2604"/>
      <c r="J41" s="2604"/>
      <c r="K41" s="260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2" t="str">
        <f>'Single Audit Cover'!A7</f>
        <v xml:space="preserve"> Hartsburg Emden CUSD 21</v>
      </c>
      <c r="C1" s="2582"/>
      <c r="D1" s="2582"/>
      <c r="E1" s="1240"/>
    </row>
    <row r="2" spans="2:5" s="1058" customFormat="1" ht="12.75" customHeight="1" x14ac:dyDescent="0.2">
      <c r="B2" s="2584">
        <f>'Single Audit Cover'!E7</f>
        <v>17054021026</v>
      </c>
      <c r="C2" s="2584"/>
      <c r="D2" s="2584"/>
      <c r="E2" s="1241"/>
    </row>
    <row r="3" spans="2:5" ht="12.75" customHeight="1" x14ac:dyDescent="0.2">
      <c r="B3" s="2605" t="s">
        <v>1743</v>
      </c>
      <c r="C3" s="2605"/>
      <c r="D3" s="2605"/>
      <c r="E3" s="1050"/>
    </row>
    <row r="4" spans="2:5" s="1058" customFormat="1" ht="12.75" customHeight="1" x14ac:dyDescent="0.2">
      <c r="B4" s="2615" t="str">
        <f>'Single Audit Cover'!A4</f>
        <v>Year Ending June 30, 2020</v>
      </c>
      <c r="C4" s="2615"/>
      <c r="D4" s="2615"/>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C69" sqref="C6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5" t="s">
        <v>383</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46337525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3.6738E-2</v>
      </c>
      <c r="E10" s="333" t="s">
        <v>998</v>
      </c>
      <c r="F10" s="332">
        <v>5.7123E-3</v>
      </c>
      <c r="G10" s="333" t="s">
        <v>998</v>
      </c>
      <c r="H10" s="332">
        <v>3.0869000000000001E-3</v>
      </c>
      <c r="I10" s="333" t="s">
        <v>999</v>
      </c>
      <c r="J10" s="1424">
        <f>ROUND(D10+F10+H10,5)</f>
        <v>4.5539999999999997E-2</v>
      </c>
      <c r="K10" s="217"/>
      <c r="L10" s="332">
        <v>2.9809999999999998E-4</v>
      </c>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2915947</v>
      </c>
      <c r="E16" s="1547"/>
      <c r="F16" s="1546">
        <f>SUM('Acct Summary 7-8'!C17,'Acct Summary 7-8'!D17,'Acct Summary 7-8'!F17)</f>
        <v>2624158</v>
      </c>
      <c r="G16" s="1547"/>
      <c r="H16" s="1546">
        <f>SUM(D16-F16)</f>
        <v>291789</v>
      </c>
      <c r="I16" s="1548"/>
      <c r="J16" s="1546">
        <f>SUM('Acct Summary 7-8'!C81,'Acct Summary 7-8'!D81,'Acct Summary 7-8'!F81,'Acct Summary 7-8'!I81)</f>
        <v>2451731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6394578.4500000002</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208584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69" sqref="C6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552</v>
      </c>
      <c r="B2" s="2204"/>
      <c r="C2" s="2204"/>
      <c r="D2" s="2204"/>
      <c r="E2" s="2204"/>
      <c r="F2" s="2204"/>
      <c r="G2" s="2204"/>
      <c r="H2" s="2204"/>
      <c r="I2" s="2204"/>
      <c r="J2" s="2204"/>
      <c r="K2" s="2204"/>
      <c r="L2" s="2204"/>
      <c r="M2" s="2204"/>
      <c r="N2" s="2204"/>
      <c r="O2" s="2204"/>
      <c r="P2" s="2204"/>
      <c r="Q2" s="2204"/>
      <c r="R2" s="2204"/>
    </row>
    <row r="3" spans="1:18" ht="12.75" x14ac:dyDescent="0.2">
      <c r="A3" s="2205" t="s">
        <v>1396</v>
      </c>
      <c r="B3" s="2205"/>
      <c r="C3" s="2205"/>
      <c r="D3" s="2205"/>
      <c r="E3" s="2205"/>
      <c r="F3" s="2205"/>
      <c r="G3" s="2205"/>
      <c r="H3" s="2205"/>
      <c r="I3" s="2205"/>
      <c r="J3" s="2205"/>
      <c r="K3" s="2205"/>
      <c r="L3" s="2205"/>
      <c r="M3" s="2205"/>
      <c r="N3" s="2205"/>
      <c r="O3" s="2205"/>
      <c r="P3" s="2205"/>
      <c r="Q3" s="2205"/>
      <c r="R3" s="2205"/>
    </row>
    <row r="4" spans="1:18" x14ac:dyDescent="0.2">
      <c r="A4" s="2206" t="s">
        <v>1537</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Hartsburg Emden CUSD 21</v>
      </c>
      <c r="E7" s="368"/>
      <c r="G7" s="247"/>
      <c r="H7" s="364"/>
      <c r="I7" s="364"/>
      <c r="J7" s="364"/>
      <c r="K7" s="364"/>
      <c r="L7" s="307"/>
      <c r="M7" s="307"/>
      <c r="N7" s="307"/>
      <c r="O7" s="307"/>
      <c r="P7" s="307"/>
    </row>
    <row r="8" spans="1:18" ht="12.75" x14ac:dyDescent="0.2">
      <c r="A8" s="307"/>
      <c r="B8" s="307"/>
      <c r="C8" s="366" t="s">
        <v>1115</v>
      </c>
      <c r="D8" s="369">
        <f>COVER!A13</f>
        <v>17054021026</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2451731</v>
      </c>
      <c r="I12" s="380"/>
      <c r="J12" s="380"/>
      <c r="K12" s="1559">
        <f>TRUNC((H12/H13*100000),5)/100000</f>
        <v>0.84080094729999999</v>
      </c>
      <c r="L12" s="381"/>
      <c r="M12" s="337" t="s">
        <v>1134</v>
      </c>
      <c r="N12" s="337"/>
      <c r="O12" s="1562">
        <v>0.35</v>
      </c>
      <c r="P12" s="213"/>
      <c r="Q12" s="213"/>
    </row>
    <row r="13" spans="1:18" s="382" customFormat="1" ht="12.75" x14ac:dyDescent="0.2">
      <c r="A13" s="213"/>
      <c r="B13" s="377"/>
      <c r="C13" s="2202" t="s">
        <v>1313</v>
      </c>
      <c r="D13" s="2203"/>
      <c r="E13" s="213"/>
      <c r="F13" s="383" t="s">
        <v>788</v>
      </c>
      <c r="G13" s="378"/>
      <c r="H13" s="1551">
        <f>SUM('Acct Summary 7-8'!C8+'Acct Summary 7-8'!D8+'Acct Summary 7-8'!F8+'Acct Summary 7-8'!I8)+H14</f>
        <v>2915947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2624158</v>
      </c>
      <c r="I17" s="380"/>
      <c r="J17" s="389"/>
      <c r="K17" s="1559">
        <f>TRUNC((H17/H18*100000),5)/100000</f>
        <v>0.89993336639999999</v>
      </c>
      <c r="L17" s="381"/>
      <c r="M17" s="390" t="s">
        <v>1161</v>
      </c>
      <c r="O17" s="1565" t="str">
        <f>IF(AND(O16="2", J20 &gt; 2),"1",IF(AND(O16 = "1", J20 &gt; 2),"2",IF(AND(O16="1", J20 &gt;1),"1","0")))</f>
        <v>0</v>
      </c>
      <c r="P17" s="213"/>
    </row>
    <row r="18" spans="1:18" s="382" customFormat="1" ht="11.25" x14ac:dyDescent="0.2">
      <c r="A18" s="213"/>
      <c r="B18" s="377"/>
      <c r="C18" s="2202" t="s">
        <v>1306</v>
      </c>
      <c r="D18" s="2203"/>
      <c r="E18" s="213"/>
      <c r="F18" s="391" t="s">
        <v>789</v>
      </c>
      <c r="G18" s="378"/>
      <c r="H18" s="1551">
        <f>SUM('Acct Summary 7-8'!C8+'Acct Summary 7-8'!D8+'Acct Summary 7-8'!F8+'Acct Summary 7-8'!I8)+H19</f>
        <v>2915947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199" t="s">
        <v>1395</v>
      </c>
      <c r="D24" s="2199"/>
      <c r="E24" s="213"/>
      <c r="F24" s="213" t="s">
        <v>442</v>
      </c>
      <c r="G24" s="378"/>
      <c r="H24" s="1551">
        <f>SUM('Assets-Liab 5-6'!C4+'Assets-Liab 5-6'!D4+'Assets-Liab 5-6'!F4+'Assets-Liab 5-6'!I4+'Assets-Liab 5-6'!C5+'Assets-Liab 5-6'!D5+'Assets-Liab 5-6'!F5+'Assets-Liab 5-6'!I5)</f>
        <v>2451731</v>
      </c>
      <c r="I24" s="394"/>
      <c r="J24" s="394"/>
      <c r="K24" s="1555">
        <f>TRUNC(((H24/H25*100000)/100000),2)</f>
        <v>336.34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7289.3277799999996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1793679.25523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208584</v>
      </c>
      <c r="I32" s="392"/>
      <c r="J32" s="392"/>
      <c r="K32" s="1555">
        <f>TRUNC(100-((((H32/H33*100))*100)/100),2)</f>
        <v>96.73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6394578.4500000002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C69" sqref="C69"/>
      <selection pane="bottomLeft" activeCell="C69" sqref="C6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9" t="s">
        <v>967</v>
      </c>
      <c r="B3" s="2210"/>
      <c r="C3" s="1306"/>
      <c r="D3" s="1307"/>
      <c r="E3" s="1307"/>
      <c r="F3" s="1307"/>
      <c r="G3" s="1307"/>
      <c r="H3" s="1307"/>
      <c r="I3" s="1307"/>
      <c r="J3" s="1307"/>
      <c r="K3" s="1307"/>
      <c r="L3" s="1307"/>
      <c r="M3" s="1308"/>
      <c r="N3" s="1309"/>
    </row>
    <row r="4" spans="1:14" ht="13.5" customHeight="1" x14ac:dyDescent="0.2">
      <c r="A4" s="427" t="s">
        <v>1632</v>
      </c>
      <c r="B4" s="428"/>
      <c r="C4" s="1572">
        <v>738316</v>
      </c>
      <c r="D4" s="1573">
        <v>203809</v>
      </c>
      <c r="E4" s="1573"/>
      <c r="F4" s="1573">
        <v>203675</v>
      </c>
      <c r="G4" s="1573">
        <v>163851</v>
      </c>
      <c r="H4" s="1573">
        <v>409283</v>
      </c>
      <c r="I4" s="1573">
        <f>114938+5731</f>
        <v>120669</v>
      </c>
      <c r="J4" s="1574"/>
      <c r="K4" s="1573">
        <v>25703</v>
      </c>
      <c r="L4" s="1573">
        <v>96975</v>
      </c>
      <c r="M4" s="1575"/>
      <c r="N4" s="1576"/>
    </row>
    <row r="5" spans="1:14" x14ac:dyDescent="0.2">
      <c r="A5" s="427" t="s">
        <v>985</v>
      </c>
      <c r="B5" s="429">
        <v>120</v>
      </c>
      <c r="C5" s="1572">
        <v>401652</v>
      </c>
      <c r="D5" s="1573"/>
      <c r="E5" s="1573"/>
      <c r="F5" s="1573">
        <v>251506</v>
      </c>
      <c r="G5" s="1573"/>
      <c r="H5" s="1573"/>
      <c r="I5" s="1573">
        <v>532104</v>
      </c>
      <c r="J5" s="1574"/>
      <c r="K5" s="1577">
        <v>71195</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1139968</v>
      </c>
      <c r="D13" s="1587">
        <f t="shared" ref="D13:L13" si="0">SUM(D4:D12)</f>
        <v>203809</v>
      </c>
      <c r="E13" s="1587">
        <f t="shared" si="0"/>
        <v>0</v>
      </c>
      <c r="F13" s="1587">
        <f t="shared" si="0"/>
        <v>455181</v>
      </c>
      <c r="G13" s="1587">
        <f t="shared" si="0"/>
        <v>163851</v>
      </c>
      <c r="H13" s="1587">
        <f t="shared" si="0"/>
        <v>409283</v>
      </c>
      <c r="I13" s="1587">
        <f t="shared" si="0"/>
        <v>652773</v>
      </c>
      <c r="J13" s="1587">
        <f t="shared" si="0"/>
        <v>0</v>
      </c>
      <c r="K13" s="1587">
        <f t="shared" si="0"/>
        <v>96898</v>
      </c>
      <c r="L13" s="1587">
        <f t="shared" si="0"/>
        <v>96975</v>
      </c>
      <c r="M13" s="1575"/>
      <c r="N13" s="1576"/>
    </row>
    <row r="14" spans="1:14" ht="18" customHeight="1" thickTop="1" x14ac:dyDescent="0.2">
      <c r="A14" s="2211" t="s">
        <v>146</v>
      </c>
      <c r="B14" s="221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10588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2230429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160104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1880966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208584</v>
      </c>
    </row>
    <row r="23" spans="1:14" ht="13.5" customHeight="1" thickBot="1" x14ac:dyDescent="0.25">
      <c r="A23" s="1426" t="s">
        <v>638</v>
      </c>
      <c r="B23" s="1429"/>
      <c r="C23" s="1575"/>
      <c r="D23" s="1575"/>
      <c r="E23" s="1575"/>
      <c r="F23" s="1575"/>
      <c r="G23" s="1575"/>
      <c r="H23" s="1575"/>
      <c r="I23" s="1575"/>
      <c r="J23" s="1575"/>
      <c r="K23" s="1575"/>
      <c r="L23" s="1575"/>
      <c r="M23" s="1594">
        <f>SUM(M15:M22)</f>
        <v>4282087</v>
      </c>
      <c r="N23" s="1594">
        <f>SUM(N21:N22)</f>
        <v>208584</v>
      </c>
    </row>
    <row r="24" spans="1:14" ht="18" customHeight="1" thickTop="1" x14ac:dyDescent="0.2">
      <c r="A24" s="2213" t="s">
        <v>594</v>
      </c>
      <c r="B24" s="2214"/>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96975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96975</v>
      </c>
      <c r="M34" s="1575"/>
      <c r="N34" s="1585"/>
    </row>
    <row r="35" spans="1:14" ht="18" customHeight="1" thickTop="1" x14ac:dyDescent="0.2">
      <c r="A35" s="2215" t="s">
        <v>526</v>
      </c>
      <c r="B35" s="221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208584</v>
      </c>
    </row>
    <row r="37" spans="1:14" ht="13.5" thickBot="1" x14ac:dyDescent="0.25">
      <c r="A37" s="1426" t="s">
        <v>648</v>
      </c>
      <c r="B37" s="1429"/>
      <c r="C37" s="1582"/>
      <c r="D37" s="1582"/>
      <c r="E37" s="1582"/>
      <c r="F37" s="1582"/>
      <c r="G37" s="1582"/>
      <c r="H37" s="1582"/>
      <c r="I37" s="1582"/>
      <c r="J37" s="1582"/>
      <c r="K37" s="1582"/>
      <c r="L37" s="1585"/>
      <c r="M37" s="1575"/>
      <c r="N37" s="1594">
        <f>SUM(N36:N36)</f>
        <v>208584</v>
      </c>
    </row>
    <row r="38" spans="1:14" s="307" customFormat="1" ht="13.5" customHeight="1" thickTop="1" x14ac:dyDescent="0.2">
      <c r="A38" s="438" t="s">
        <v>417</v>
      </c>
      <c r="B38" s="432">
        <v>714</v>
      </c>
      <c r="C38" s="1573">
        <v>6570</v>
      </c>
      <c r="D38" s="1573">
        <v>105500</v>
      </c>
      <c r="E38" s="1573"/>
      <c r="F38" s="1573"/>
      <c r="G38" s="1573">
        <v>41026</v>
      </c>
      <c r="H38" s="1573">
        <v>409283</v>
      </c>
      <c r="I38" s="1573"/>
      <c r="J38" s="1574"/>
      <c r="K38" s="1573"/>
      <c r="L38" s="1586"/>
      <c r="M38" s="1604"/>
      <c r="N38" s="1604"/>
    </row>
    <row r="39" spans="1:14" s="307" customFormat="1" ht="13.5" customHeight="1" x14ac:dyDescent="0.2">
      <c r="A39" s="438" t="s">
        <v>339</v>
      </c>
      <c r="B39" s="432">
        <v>730</v>
      </c>
      <c r="C39" s="1573">
        <f>1139968-C38</f>
        <v>1133398</v>
      </c>
      <c r="D39" s="1573">
        <f>203809-D38</f>
        <v>98309</v>
      </c>
      <c r="E39" s="1573"/>
      <c r="F39" s="1573">
        <v>455181</v>
      </c>
      <c r="G39" s="1573">
        <f>163851-G38</f>
        <v>122825</v>
      </c>
      <c r="H39" s="1573">
        <v>0</v>
      </c>
      <c r="I39" s="1573">
        <v>652773</v>
      </c>
      <c r="J39" s="1574"/>
      <c r="K39" s="1573">
        <v>96898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4282087</v>
      </c>
      <c r="N40" s="1604"/>
    </row>
    <row r="41" spans="1:14" ht="13.5" customHeight="1" thickBot="1" x14ac:dyDescent="0.25">
      <c r="A41" s="1426" t="s">
        <v>650</v>
      </c>
      <c r="B41" s="1405"/>
      <c r="C41" s="1594">
        <f>(SUM(C34,C37,C38,C39))</f>
        <v>1139968</v>
      </c>
      <c r="D41" s="1594">
        <f t="shared" ref="D41:L41" si="2">SUM(D34,D37,D38:D39)</f>
        <v>203809</v>
      </c>
      <c r="E41" s="1594">
        <f t="shared" si="2"/>
        <v>0</v>
      </c>
      <c r="F41" s="1594">
        <f t="shared" si="2"/>
        <v>455181</v>
      </c>
      <c r="G41" s="1594">
        <f t="shared" si="2"/>
        <v>163851</v>
      </c>
      <c r="H41" s="1594">
        <f t="shared" si="2"/>
        <v>409283</v>
      </c>
      <c r="I41" s="1594">
        <f t="shared" si="2"/>
        <v>652773</v>
      </c>
      <c r="J41" s="1594">
        <f t="shared" si="2"/>
        <v>0</v>
      </c>
      <c r="K41" s="1594">
        <f t="shared" si="2"/>
        <v>96898</v>
      </c>
      <c r="L41" s="1594">
        <f t="shared" si="2"/>
        <v>96975</v>
      </c>
      <c r="M41" s="1594">
        <f>SUM(M40)</f>
        <v>4282087</v>
      </c>
      <c r="N41" s="1594">
        <f>SUM(N37)</f>
        <v>208584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1.1100000000000001" bottom="0" header="0.6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0" activePane="bottomLeft" state="frozen"/>
      <selection activeCell="C69" sqref="C69"/>
      <selection pane="bottomLeft" activeCell="C69" sqref="C6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7" t="s">
        <v>1165</v>
      </c>
      <c r="B3" s="2238"/>
      <c r="C3" s="1311"/>
      <c r="D3" s="1312"/>
      <c r="E3" s="1312"/>
      <c r="F3" s="1312"/>
      <c r="G3" s="1312"/>
      <c r="H3" s="1312"/>
      <c r="I3" s="1312"/>
      <c r="J3" s="1312"/>
      <c r="K3" s="1313"/>
      <c r="L3" s="446"/>
    </row>
    <row r="4" spans="1:13" ht="15.75" customHeight="1" x14ac:dyDescent="0.2">
      <c r="A4" s="1537" t="s">
        <v>1482</v>
      </c>
      <c r="B4" s="1538">
        <v>1000</v>
      </c>
      <c r="C4" s="1606">
        <f>'Revenues 9-14'!C109</f>
        <v>1841067</v>
      </c>
      <c r="D4" s="1606">
        <f>'Revenues 9-14'!D109</f>
        <v>262336</v>
      </c>
      <c r="E4" s="1606">
        <f>'Revenues 9-14'!E109</f>
        <v>0</v>
      </c>
      <c r="F4" s="1606">
        <f>'Revenues 9-14'!F109</f>
        <v>144743</v>
      </c>
      <c r="G4" s="1606">
        <f>'Revenues 9-14'!G109</f>
        <v>88743</v>
      </c>
      <c r="H4" s="1606">
        <f>'Revenues 9-14'!H109</f>
        <v>102979</v>
      </c>
      <c r="I4" s="1606">
        <f>'Revenues 9-14'!I109</f>
        <v>18636</v>
      </c>
      <c r="J4" s="1606">
        <f>'Revenues 9-14'!J109</f>
        <v>0</v>
      </c>
      <c r="K4" s="1606">
        <f>'Revenues 9-14'!K109</f>
        <v>6190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337881</v>
      </c>
      <c r="D6" s="1607">
        <f>'Revenues 9-14'!D170</f>
        <v>50000</v>
      </c>
      <c r="E6" s="1607">
        <f>'Revenues 9-14'!E170</f>
        <v>0</v>
      </c>
      <c r="F6" s="1607">
        <f>'Revenues 9-14'!F170</f>
        <v>59448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201836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2380784</v>
      </c>
      <c r="D8" s="1594">
        <f t="shared" ref="D8:K8" si="0">SUM(D4:D7)</f>
        <v>312336</v>
      </c>
      <c r="E8" s="1594">
        <f t="shared" si="0"/>
        <v>0</v>
      </c>
      <c r="F8" s="1594">
        <f t="shared" si="0"/>
        <v>204191</v>
      </c>
      <c r="G8" s="1594">
        <f t="shared" si="0"/>
        <v>88743</v>
      </c>
      <c r="H8" s="1594">
        <f t="shared" si="0"/>
        <v>102979</v>
      </c>
      <c r="I8" s="1594">
        <f t="shared" si="0"/>
        <v>18636</v>
      </c>
      <c r="J8" s="1594">
        <f t="shared" si="0"/>
        <v>0</v>
      </c>
      <c r="K8" s="1594">
        <f t="shared" si="0"/>
        <v>6190</v>
      </c>
      <c r="L8" s="325"/>
    </row>
    <row r="9" spans="1:13" ht="15.75" thickTop="1" x14ac:dyDescent="0.2">
      <c r="A9" s="449" t="s">
        <v>1634</v>
      </c>
      <c r="B9" s="450">
        <v>3998</v>
      </c>
      <c r="C9" s="1586">
        <v>1093280</v>
      </c>
      <c r="D9" s="1613"/>
      <c r="E9" s="1586"/>
      <c r="F9" s="1586"/>
      <c r="G9" s="1614"/>
      <c r="H9" s="1586"/>
      <c r="I9" s="1609" t="s">
        <v>1159</v>
      </c>
      <c r="J9" s="1583"/>
      <c r="K9" s="1586"/>
      <c r="L9" s="325"/>
    </row>
    <row r="10" spans="1:13" s="452" customFormat="1" ht="13.5" thickBot="1" x14ac:dyDescent="0.25">
      <c r="A10" s="1426" t="s">
        <v>1163</v>
      </c>
      <c r="B10" s="1407"/>
      <c r="C10" s="1594">
        <f>SUM(C8:C9)</f>
        <v>3474064</v>
      </c>
      <c r="D10" s="1594">
        <f t="shared" ref="D10:K10" si="1">SUM(D8:D9)</f>
        <v>312336</v>
      </c>
      <c r="E10" s="1594">
        <f t="shared" si="1"/>
        <v>0</v>
      </c>
      <c r="F10" s="1594">
        <f t="shared" si="1"/>
        <v>204191</v>
      </c>
      <c r="G10" s="1594">
        <f t="shared" si="1"/>
        <v>88743</v>
      </c>
      <c r="H10" s="1594">
        <f t="shared" si="1"/>
        <v>102979</v>
      </c>
      <c r="I10" s="1594">
        <f t="shared" si="1"/>
        <v>18636</v>
      </c>
      <c r="J10" s="1594">
        <f t="shared" si="1"/>
        <v>0</v>
      </c>
      <c r="K10" s="1594">
        <f t="shared" si="1"/>
        <v>6190</v>
      </c>
      <c r="L10" s="451"/>
    </row>
    <row r="11" spans="1:13" s="452" customFormat="1" ht="16.7" customHeight="1" thickTop="1" x14ac:dyDescent="0.2">
      <c r="A11" s="2211" t="s">
        <v>1166</v>
      </c>
      <c r="B11" s="2212"/>
      <c r="C11" s="1602"/>
      <c r="D11" s="1603"/>
      <c r="E11" s="1603"/>
      <c r="F11" s="1603"/>
      <c r="G11" s="1603"/>
      <c r="H11" s="1603"/>
      <c r="I11" s="1603"/>
      <c r="J11" s="1603"/>
      <c r="K11" s="1615"/>
      <c r="L11" s="451"/>
    </row>
    <row r="12" spans="1:13" ht="15.75" customHeight="1" x14ac:dyDescent="0.2">
      <c r="A12" s="1314" t="s">
        <v>453</v>
      </c>
      <c r="B12" s="1316">
        <v>1000</v>
      </c>
      <c r="C12" s="1606">
        <f>'Expenditures 15-22'!K33</f>
        <v>1406235</v>
      </c>
      <c r="D12" s="1616" t="s">
        <v>1159</v>
      </c>
      <c r="E12" s="1575" t="s">
        <v>1159</v>
      </c>
      <c r="F12" s="1575" t="s">
        <v>1159</v>
      </c>
      <c r="G12" s="1606">
        <f>'Expenditures 15-22'!K229</f>
        <v>17511</v>
      </c>
      <c r="H12" s="1617"/>
      <c r="I12" s="1575" t="s">
        <v>1159</v>
      </c>
      <c r="J12" s="1575" t="s">
        <v>1159</v>
      </c>
      <c r="K12" s="1617" t="s">
        <v>1159</v>
      </c>
      <c r="L12" s="325"/>
    </row>
    <row r="13" spans="1:13" ht="15.75" customHeight="1" x14ac:dyDescent="0.2">
      <c r="A13" s="1314" t="s">
        <v>454</v>
      </c>
      <c r="B13" s="1316">
        <v>2000</v>
      </c>
      <c r="C13" s="1607">
        <f>'Expenditures 15-22'!K74</f>
        <v>619018</v>
      </c>
      <c r="D13" s="1607">
        <f>'Expenditures 15-22'!K129</f>
        <v>350247</v>
      </c>
      <c r="E13" s="1576" t="s">
        <v>1159</v>
      </c>
      <c r="F13" s="1607">
        <f>'Expenditures 15-22'!K184</f>
        <v>155825</v>
      </c>
      <c r="G13" s="1607">
        <f>'Expenditures 15-22'!K279</f>
        <v>38614</v>
      </c>
      <c r="H13" s="1607">
        <f>'Expenditures 15-22'!K303</f>
        <v>135065</v>
      </c>
      <c r="I13" s="1575" t="s">
        <v>1159</v>
      </c>
      <c r="J13" s="1607">
        <f>'Expenditures 15-22'!K330</f>
        <v>0</v>
      </c>
      <c r="K13" s="1618">
        <f>'Expenditures 15-22'!K352</f>
        <v>7640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92833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2118086</v>
      </c>
      <c r="D17" s="1594">
        <f t="shared" si="2"/>
        <v>350247</v>
      </c>
      <c r="E17" s="1594">
        <f t="shared" si="2"/>
        <v>0</v>
      </c>
      <c r="F17" s="1594">
        <f t="shared" si="2"/>
        <v>155825</v>
      </c>
      <c r="G17" s="1594">
        <f t="shared" si="2"/>
        <v>56125</v>
      </c>
      <c r="H17" s="1594">
        <f t="shared" si="2"/>
        <v>135065</v>
      </c>
      <c r="I17" s="1575"/>
      <c r="J17" s="1594">
        <f>SUM(J12:J16)</f>
        <v>0</v>
      </c>
      <c r="K17" s="1594">
        <f>SUM(K12:K16)</f>
        <v>7640</v>
      </c>
      <c r="L17" s="325"/>
    </row>
    <row r="18" spans="1:12" ht="15" customHeight="1" thickTop="1" x14ac:dyDescent="0.2">
      <c r="A18" s="1430" t="s">
        <v>1635</v>
      </c>
      <c r="B18" s="1431">
        <v>4180</v>
      </c>
      <c r="C18" s="1606">
        <f t="shared" ref="C18:H18" si="3">C9</f>
        <v>1093280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3211366</v>
      </c>
      <c r="D19" s="1594">
        <f t="shared" si="4"/>
        <v>350247</v>
      </c>
      <c r="E19" s="1594">
        <f t="shared" si="4"/>
        <v>0</v>
      </c>
      <c r="F19" s="1594">
        <f t="shared" si="4"/>
        <v>155825</v>
      </c>
      <c r="G19" s="1594">
        <f t="shared" si="4"/>
        <v>56125</v>
      </c>
      <c r="H19" s="1594">
        <f t="shared" si="4"/>
        <v>135065</v>
      </c>
      <c r="I19" s="1575"/>
      <c r="J19" s="1594">
        <f>SUM(J17:J18)</f>
        <v>0</v>
      </c>
      <c r="K19" s="1594">
        <f>SUM(K17:K18)</f>
        <v>7640</v>
      </c>
      <c r="L19" s="325"/>
    </row>
    <row r="20" spans="1:12" ht="16.5" thickTop="1" thickBot="1" x14ac:dyDescent="0.25">
      <c r="A20" s="2227" t="s">
        <v>1636</v>
      </c>
      <c r="B20" s="2228"/>
      <c r="C20" s="1622">
        <f>C8-C17</f>
        <v>262698</v>
      </c>
      <c r="D20" s="1622">
        <f t="shared" ref="D20:K20" si="5">D8-D17</f>
        <v>-37911</v>
      </c>
      <c r="E20" s="1622">
        <f t="shared" si="5"/>
        <v>0</v>
      </c>
      <c r="F20" s="1622">
        <f t="shared" si="5"/>
        <v>48366</v>
      </c>
      <c r="G20" s="1622">
        <f t="shared" si="5"/>
        <v>32618</v>
      </c>
      <c r="H20" s="1622">
        <f t="shared" si="5"/>
        <v>-32086</v>
      </c>
      <c r="I20" s="1622">
        <f t="shared" si="5"/>
        <v>18636</v>
      </c>
      <c r="J20" s="1622">
        <f t="shared" si="5"/>
        <v>0</v>
      </c>
      <c r="K20" s="1622">
        <f t="shared" si="5"/>
        <v>-1450</v>
      </c>
      <c r="L20" s="325"/>
    </row>
    <row r="21" spans="1:12" ht="16.7" customHeight="1" thickTop="1" x14ac:dyDescent="0.2">
      <c r="A21" s="2239" t="s">
        <v>591</v>
      </c>
      <c r="B21" s="2240"/>
      <c r="C21" s="1602"/>
      <c r="D21" s="1603"/>
      <c r="E21" s="1603"/>
      <c r="F21" s="1603"/>
      <c r="G21" s="1603"/>
      <c r="H21" s="1603"/>
      <c r="I21" s="1603"/>
      <c r="J21" s="1603"/>
      <c r="K21" s="1615"/>
      <c r="L21" s="453"/>
    </row>
    <row r="22" spans="1:12" ht="15.75" customHeight="1" collapsed="1" x14ac:dyDescent="0.2">
      <c r="A22" s="2235" t="s">
        <v>592</v>
      </c>
      <c r="B22" s="2236"/>
      <c r="C22" s="1582"/>
      <c r="D22" s="1582"/>
      <c r="E22" s="1582"/>
      <c r="F22" s="1582"/>
      <c r="G22" s="1582"/>
      <c r="H22" s="1582"/>
      <c r="I22" s="1582"/>
      <c r="J22" s="1582"/>
      <c r="K22" s="1582"/>
      <c r="L22" s="325"/>
    </row>
    <row r="23" spans="1:12" s="433" customFormat="1" ht="15.75" customHeight="1" x14ac:dyDescent="0.2">
      <c r="A23" s="2231" t="s">
        <v>290</v>
      </c>
      <c r="B23" s="2232"/>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v>4810</v>
      </c>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3" t="s">
        <v>974</v>
      </c>
      <c r="B32" s="2234"/>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1" t="s">
        <v>371</v>
      </c>
      <c r="B44" s="2242"/>
      <c r="C44" s="1624">
        <f>SUM(C24:C43)</f>
        <v>0</v>
      </c>
      <c r="D44" s="1624">
        <f t="shared" ref="D44:K44" si="6">SUM(D24:D43)</f>
        <v>4810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5" t="s">
        <v>108</v>
      </c>
      <c r="B45" s="2236"/>
      <c r="C45" s="1625"/>
      <c r="D45" s="1625"/>
      <c r="E45" s="1625"/>
      <c r="F45" s="1625"/>
      <c r="G45" s="1625"/>
      <c r="H45" s="1625"/>
      <c r="I45" s="1625"/>
      <c r="J45" s="1625"/>
      <c r="K45" s="1625"/>
      <c r="L45" s="325"/>
    </row>
    <row r="46" spans="1:12" s="433" customFormat="1" ht="15.75" customHeight="1" x14ac:dyDescent="0.2">
      <c r="A46" s="2243" t="s">
        <v>109</v>
      </c>
      <c r="B46" s="224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4810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7" t="s">
        <v>437</v>
      </c>
      <c r="B76" s="2218"/>
      <c r="C76" s="1624">
        <f t="shared" ref="C76:K76" si="7">SUM(C47:C75)</f>
        <v>0</v>
      </c>
      <c r="D76" s="1624">
        <f t="shared" si="7"/>
        <v>0</v>
      </c>
      <c r="E76" s="1624">
        <f t="shared" si="7"/>
        <v>0</v>
      </c>
      <c r="F76" s="1624">
        <f t="shared" si="7"/>
        <v>0</v>
      </c>
      <c r="G76" s="1624">
        <f t="shared" si="7"/>
        <v>0</v>
      </c>
      <c r="H76" s="1624">
        <f t="shared" si="7"/>
        <v>0</v>
      </c>
      <c r="I76" s="1624">
        <f t="shared" si="7"/>
        <v>4810</v>
      </c>
      <c r="J76" s="1624">
        <f t="shared" si="7"/>
        <v>0</v>
      </c>
      <c r="K76" s="1624">
        <f t="shared" si="7"/>
        <v>0</v>
      </c>
      <c r="L76" s="453"/>
    </row>
    <row r="77" spans="1:12" ht="14.25" thickTop="1" thickBot="1" x14ac:dyDescent="0.25">
      <c r="A77" s="2219" t="s">
        <v>1167</v>
      </c>
      <c r="B77" s="2220"/>
      <c r="C77" s="1624">
        <f t="shared" ref="C77:K77" si="8">C44-C76</f>
        <v>0</v>
      </c>
      <c r="D77" s="1624">
        <f t="shared" si="8"/>
        <v>4810</v>
      </c>
      <c r="E77" s="1624">
        <f t="shared" si="8"/>
        <v>0</v>
      </c>
      <c r="F77" s="1624">
        <f t="shared" si="8"/>
        <v>0</v>
      </c>
      <c r="G77" s="1624">
        <f t="shared" si="8"/>
        <v>0</v>
      </c>
      <c r="H77" s="1624">
        <f t="shared" si="8"/>
        <v>0</v>
      </c>
      <c r="I77" s="1624">
        <f t="shared" si="8"/>
        <v>-4810</v>
      </c>
      <c r="J77" s="1624">
        <f t="shared" si="8"/>
        <v>0</v>
      </c>
      <c r="K77" s="1624">
        <f t="shared" si="8"/>
        <v>0</v>
      </c>
      <c r="L77" s="325"/>
    </row>
    <row r="78" spans="1:12" ht="21.75" customHeight="1" thickTop="1" thickBot="1" x14ac:dyDescent="0.25">
      <c r="A78" s="2223" t="s">
        <v>593</v>
      </c>
      <c r="B78" s="2224"/>
      <c r="C78" s="1629">
        <f t="shared" ref="C78:K78" si="9">C20+C77</f>
        <v>262698</v>
      </c>
      <c r="D78" s="1629">
        <f t="shared" si="9"/>
        <v>-33101</v>
      </c>
      <c r="E78" s="1629">
        <f t="shared" si="9"/>
        <v>0</v>
      </c>
      <c r="F78" s="1629">
        <f t="shared" si="9"/>
        <v>48366</v>
      </c>
      <c r="G78" s="1629">
        <f t="shared" si="9"/>
        <v>32618</v>
      </c>
      <c r="H78" s="1629">
        <f t="shared" si="9"/>
        <v>-32086</v>
      </c>
      <c r="I78" s="1629">
        <f t="shared" si="9"/>
        <v>13826</v>
      </c>
      <c r="J78" s="1629">
        <f t="shared" si="9"/>
        <v>0</v>
      </c>
      <c r="K78" s="1629">
        <f t="shared" si="9"/>
        <v>-1450</v>
      </c>
      <c r="L78" s="457"/>
    </row>
    <row r="79" spans="1:12" ht="13.5" thickTop="1" x14ac:dyDescent="0.2">
      <c r="A79" s="1844" t="str">
        <f>"Fund Balances - July 1, "&amp;'AFR20'!E2-1</f>
        <v>Fund Balances - July 1, 2019</v>
      </c>
      <c r="B79" s="458"/>
      <c r="C79" s="1583">
        <v>877270</v>
      </c>
      <c r="D79" s="1630">
        <v>236910</v>
      </c>
      <c r="E79" s="1630"/>
      <c r="F79" s="1630">
        <v>406815</v>
      </c>
      <c r="G79" s="1630">
        <v>131233</v>
      </c>
      <c r="H79" s="1630">
        <v>441369</v>
      </c>
      <c r="I79" s="1630">
        <v>638947</v>
      </c>
      <c r="J79" s="1630"/>
      <c r="K79" s="1630">
        <v>98348</v>
      </c>
      <c r="L79" s="325"/>
    </row>
    <row r="80" spans="1:12" x14ac:dyDescent="0.2">
      <c r="A80" s="2229" t="s">
        <v>1772</v>
      </c>
      <c r="B80" s="2230"/>
      <c r="C80" s="1574"/>
      <c r="D80" s="1574"/>
      <c r="E80" s="1574"/>
      <c r="F80" s="1574"/>
      <c r="G80" s="1574"/>
      <c r="H80" s="1574"/>
      <c r="I80" s="1574"/>
      <c r="J80" s="1574"/>
      <c r="K80" s="1574"/>
      <c r="L80" s="325"/>
    </row>
    <row r="81" spans="1:12" ht="13.5" thickBot="1" x14ac:dyDescent="0.25">
      <c r="A81" s="2221" t="str">
        <f>"Fund Balances - June 30, "&amp;'AFR20'!E2</f>
        <v>Fund Balances - June 30, 2020</v>
      </c>
      <c r="B81" s="2222"/>
      <c r="C81" s="1594">
        <f>(SUM(C78:C80))</f>
        <v>1139968</v>
      </c>
      <c r="D81" s="1594">
        <f>SUM(D78:D80)</f>
        <v>203809</v>
      </c>
      <c r="E81" s="1594">
        <f t="shared" ref="E81:K81" si="10">SUM(E78:E80)</f>
        <v>0</v>
      </c>
      <c r="F81" s="1594">
        <f t="shared" si="10"/>
        <v>455181</v>
      </c>
      <c r="G81" s="1594">
        <f t="shared" si="10"/>
        <v>163851</v>
      </c>
      <c r="H81" s="1594">
        <f t="shared" si="10"/>
        <v>409283</v>
      </c>
      <c r="I81" s="1594">
        <f t="shared" si="10"/>
        <v>652773</v>
      </c>
      <c r="J81" s="1594">
        <f t="shared" si="10"/>
        <v>0</v>
      </c>
      <c r="K81" s="1594">
        <f t="shared" si="10"/>
        <v>96898</v>
      </c>
      <c r="L81" s="325"/>
    </row>
    <row r="82" spans="1:12" ht="0.75" customHeight="1" thickTop="1" thickBot="1" x14ac:dyDescent="0.25">
      <c r="A82" s="459" t="s">
        <v>340</v>
      </c>
      <c r="B82" s="460"/>
      <c r="C82" s="461">
        <f>(C81-C79)</f>
        <v>262698</v>
      </c>
      <c r="D82" s="461">
        <f t="shared" ref="D82:K82" si="11">(D81-D79)</f>
        <v>-33101</v>
      </c>
      <c r="E82" s="461">
        <f t="shared" si="11"/>
        <v>0</v>
      </c>
      <c r="F82" s="461">
        <f t="shared" si="11"/>
        <v>48366</v>
      </c>
      <c r="G82" s="461">
        <f t="shared" si="11"/>
        <v>32618</v>
      </c>
      <c r="H82" s="461">
        <f t="shared" si="11"/>
        <v>-32086</v>
      </c>
      <c r="I82" s="461">
        <f t="shared" si="11"/>
        <v>13826</v>
      </c>
      <c r="J82" s="461">
        <f t="shared" si="11"/>
        <v>0</v>
      </c>
      <c r="K82" s="461">
        <f t="shared" si="11"/>
        <v>-1450</v>
      </c>
    </row>
    <row r="83" spans="1:12" ht="14.25" hidden="1" thickTop="1" thickBot="1" x14ac:dyDescent="0.25">
      <c r="A83" s="462" t="s">
        <v>341</v>
      </c>
      <c r="B83" s="428"/>
      <c r="C83" s="463">
        <f>C82/C81</f>
        <v>0.23044331068942286</v>
      </c>
      <c r="D83" s="463">
        <f t="shared" ref="D83:K83" si="12">D82/D81</f>
        <v>-0.16241186601180518</v>
      </c>
      <c r="E83" s="463" t="e">
        <f t="shared" si="12"/>
        <v>#DIV/0!</v>
      </c>
      <c r="F83" s="463">
        <f t="shared" si="12"/>
        <v>0.10625663197716952</v>
      </c>
      <c r="G83" s="463">
        <f t="shared" si="12"/>
        <v>0.1990711072864981</v>
      </c>
      <c r="H83" s="463">
        <f t="shared" si="12"/>
        <v>-7.8395633339278695E-2</v>
      </c>
      <c r="I83" s="463">
        <f t="shared" si="12"/>
        <v>2.1180410341726755E-2</v>
      </c>
      <c r="J83" s="463" t="e">
        <f t="shared" si="12"/>
        <v>#DIV/0!</v>
      </c>
      <c r="K83" s="463">
        <f t="shared" si="12"/>
        <v>-1.4964189147350822E-2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15" right="0.15" top="1" bottom="0.3" header="0.5" footer="0.1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69" sqref="C69"/>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5" t="s">
        <v>1779</v>
      </c>
      <c r="B1" s="416"/>
      <c r="C1" s="417" t="s">
        <v>422</v>
      </c>
      <c r="D1" s="417" t="s">
        <v>423</v>
      </c>
      <c r="E1" s="417" t="s">
        <v>424</v>
      </c>
      <c r="F1" s="417" t="s">
        <v>425</v>
      </c>
      <c r="G1" s="417" t="s">
        <v>426</v>
      </c>
      <c r="H1" s="417" t="s">
        <v>427</v>
      </c>
      <c r="I1" s="417" t="s">
        <v>428</v>
      </c>
      <c r="J1" s="417" t="s">
        <v>429</v>
      </c>
      <c r="K1" s="417" t="s">
        <v>751</v>
      </c>
    </row>
    <row r="2" spans="1:12" ht="36" x14ac:dyDescent="0.2">
      <c r="A2" s="222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1653006</v>
      </c>
      <c r="D5" s="1586">
        <v>261961</v>
      </c>
      <c r="E5" s="1573"/>
      <c r="F5" s="1631">
        <v>143522</v>
      </c>
      <c r="G5" s="1573">
        <v>37962</v>
      </c>
      <c r="H5" s="1573"/>
      <c r="I5" s="1573">
        <v>13810</v>
      </c>
      <c r="J5" s="1574"/>
      <c r="K5" s="1573">
        <v>5907</v>
      </c>
    </row>
    <row r="6" spans="1:12" ht="15" x14ac:dyDescent="0.2">
      <c r="A6" s="427" t="s">
        <v>1643</v>
      </c>
      <c r="B6" s="429">
        <v>1130</v>
      </c>
      <c r="C6" s="1573">
        <v>10165</v>
      </c>
      <c r="D6" s="1573"/>
      <c r="E6" s="1580"/>
      <c r="F6" s="1580"/>
      <c r="G6" s="1575"/>
      <c r="H6" s="1575"/>
      <c r="I6" s="1575"/>
      <c r="J6" s="1575"/>
      <c r="K6" s="1575"/>
    </row>
    <row r="7" spans="1:12" x14ac:dyDescent="0.2">
      <c r="A7" s="427" t="s">
        <v>110</v>
      </c>
      <c r="B7" s="471">
        <v>1140</v>
      </c>
      <c r="C7" s="1573">
        <v>30437</v>
      </c>
      <c r="D7" s="1573"/>
      <c r="E7" s="1575"/>
      <c r="F7" s="1574"/>
      <c r="G7" s="1574"/>
      <c r="H7" s="1574"/>
      <c r="I7" s="1575"/>
      <c r="J7" s="1575"/>
      <c r="K7" s="1575"/>
    </row>
    <row r="8" spans="1:12" x14ac:dyDescent="0.2">
      <c r="A8" s="427" t="s">
        <v>410</v>
      </c>
      <c r="B8" s="429">
        <v>1150</v>
      </c>
      <c r="C8" s="1580"/>
      <c r="D8" s="1580"/>
      <c r="E8" s="1582"/>
      <c r="F8" s="1582"/>
      <c r="G8" s="1586">
        <v>49541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1693608</v>
      </c>
      <c r="D12" s="1633">
        <f t="shared" si="0"/>
        <v>261961</v>
      </c>
      <c r="E12" s="1633">
        <f t="shared" si="0"/>
        <v>0</v>
      </c>
      <c r="F12" s="1633">
        <f t="shared" si="0"/>
        <v>143522</v>
      </c>
      <c r="G12" s="1633">
        <f t="shared" si="0"/>
        <v>87503</v>
      </c>
      <c r="H12" s="1633">
        <f t="shared" si="0"/>
        <v>0</v>
      </c>
      <c r="I12" s="1633">
        <f t="shared" si="0"/>
        <v>13810</v>
      </c>
      <c r="J12" s="1633">
        <f t="shared" si="0"/>
        <v>0</v>
      </c>
      <c r="K12" s="1594">
        <f t="shared" si="0"/>
        <v>5907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76100</v>
      </c>
      <c r="D16" s="1573"/>
      <c r="E16" s="1573"/>
      <c r="F16" s="1573"/>
      <c r="G16" s="1573">
        <v>1131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76100</v>
      </c>
      <c r="D18" s="1635">
        <f t="shared" ref="D18:K18" si="1">SUM(D14:D17)</f>
        <v>0</v>
      </c>
      <c r="E18" s="1635">
        <f t="shared" si="1"/>
        <v>0</v>
      </c>
      <c r="F18" s="1635">
        <f t="shared" si="1"/>
        <v>0</v>
      </c>
      <c r="G18" s="1635">
        <f t="shared" si="1"/>
        <v>1131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2176+5</f>
        <v>2181</v>
      </c>
      <c r="D65" s="1573">
        <f>374+1</f>
        <v>375</v>
      </c>
      <c r="E65" s="1573"/>
      <c r="F65" s="1574">
        <f>1222-1</f>
        <v>1221</v>
      </c>
      <c r="G65" s="1573">
        <v>109</v>
      </c>
      <c r="H65" s="1573">
        <f>229+1</f>
        <v>230</v>
      </c>
      <c r="I65" s="1573">
        <v>4826</v>
      </c>
      <c r="J65" s="1574"/>
      <c r="K65" s="1573">
        <v>283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2181</v>
      </c>
      <c r="D67" s="1594">
        <f t="shared" ref="D67:K67" si="2">SUM(D65:D66)</f>
        <v>375</v>
      </c>
      <c r="E67" s="1594">
        <f t="shared" si="2"/>
        <v>0</v>
      </c>
      <c r="F67" s="1594">
        <f t="shared" si="2"/>
        <v>1221</v>
      </c>
      <c r="G67" s="1594">
        <f t="shared" si="2"/>
        <v>109</v>
      </c>
      <c r="H67" s="1594">
        <f t="shared" si="2"/>
        <v>230</v>
      </c>
      <c r="I67" s="1594">
        <f t="shared" si="2"/>
        <v>4826</v>
      </c>
      <c r="J67" s="1594">
        <f t="shared" si="2"/>
        <v>0</v>
      </c>
      <c r="K67" s="1594">
        <f t="shared" si="2"/>
        <v>283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29355</v>
      </c>
      <c r="D69" s="1575"/>
      <c r="E69" s="1575"/>
      <c r="F69" s="1575"/>
      <c r="G69" s="1575"/>
      <c r="H69" s="1575"/>
      <c r="I69" s="1575"/>
      <c r="J69" s="1575"/>
      <c r="K69" s="1575"/>
    </row>
    <row r="70" spans="1:11" ht="12.75" customHeight="1" x14ac:dyDescent="0.2">
      <c r="A70" s="427" t="s">
        <v>990</v>
      </c>
      <c r="B70" s="429">
        <v>1612</v>
      </c>
      <c r="C70" s="1632">
        <v>8669</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3619</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41643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9027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2159</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11186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13891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13891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2008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102749</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2458</v>
      </c>
      <c r="D108" s="1633">
        <f t="shared" ref="D108:K108" si="3">SUM(D95:D107)</f>
        <v>0</v>
      </c>
      <c r="E108" s="1633">
        <f t="shared" si="3"/>
        <v>0</v>
      </c>
      <c r="F108" s="1633">
        <f t="shared" si="3"/>
        <v>0</v>
      </c>
      <c r="G108" s="1633">
        <f t="shared" si="3"/>
        <v>0</v>
      </c>
      <c r="H108" s="1633">
        <f t="shared" si="3"/>
        <v>102749</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1841067</v>
      </c>
      <c r="D109" s="1641">
        <f t="shared" si="4"/>
        <v>262336</v>
      </c>
      <c r="E109" s="1641">
        <f t="shared" si="4"/>
        <v>0</v>
      </c>
      <c r="F109" s="1641">
        <f t="shared" si="4"/>
        <v>144743</v>
      </c>
      <c r="G109" s="1641">
        <f t="shared" si="4"/>
        <v>88743</v>
      </c>
      <c r="H109" s="1641">
        <f t="shared" si="4"/>
        <v>102979</v>
      </c>
      <c r="I109" s="1641">
        <f t="shared" si="4"/>
        <v>18636</v>
      </c>
      <c r="J109" s="1641">
        <f t="shared" si="4"/>
        <v>0</v>
      </c>
      <c r="K109" s="1629">
        <f t="shared" si="4"/>
        <v>6190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323385</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v>1500</v>
      </c>
      <c r="D121" s="1573"/>
      <c r="E121" s="1573"/>
      <c r="F121" s="1573"/>
      <c r="G121" s="1573"/>
      <c r="H121" s="1573"/>
      <c r="I121" s="1575"/>
      <c r="J121" s="1574"/>
      <c r="K121" s="1573"/>
    </row>
    <row r="122" spans="1:11" ht="12.6" customHeight="1" thickBot="1" x14ac:dyDescent="0.25">
      <c r="A122" s="1406" t="s">
        <v>485</v>
      </c>
      <c r="B122" s="1413"/>
      <c r="C122" s="1633">
        <f t="shared" ref="C122:H122" si="5">SUM(C117:C121)</f>
        <v>324885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9706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9706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832</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2458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52003</v>
      </c>
      <c r="G152" s="1574"/>
      <c r="H152" s="1575"/>
      <c r="I152" s="1575"/>
      <c r="J152" s="1575"/>
      <c r="K152" s="1575"/>
    </row>
    <row r="153" spans="1:11" ht="12.75" customHeight="1" x14ac:dyDescent="0.2">
      <c r="A153" s="427" t="s">
        <v>1048</v>
      </c>
      <c r="B153" s="478">
        <v>3510</v>
      </c>
      <c r="C153" s="1632"/>
      <c r="D153" s="1573"/>
      <c r="E153" s="1640"/>
      <c r="F153" s="1573">
        <v>7445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59448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5" t="s">
        <v>395</v>
      </c>
      <c r="B169" s="2246"/>
      <c r="C169" s="1658">
        <f t="shared" ref="C169:K169" si="6">SUM(C132,C141,C145,C146:C150,C155,C156:C167,C168)</f>
        <v>12996</v>
      </c>
      <c r="D169" s="1658">
        <f t="shared" si="6"/>
        <v>50000</v>
      </c>
      <c r="E169" s="1658">
        <f t="shared" si="6"/>
        <v>0</v>
      </c>
      <c r="F169" s="1658">
        <f t="shared" si="6"/>
        <v>59448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337881</v>
      </c>
      <c r="D170" s="1641">
        <f t="shared" si="7"/>
        <v>50000</v>
      </c>
      <c r="E170" s="1641">
        <f t="shared" si="7"/>
        <v>0</v>
      </c>
      <c r="F170" s="1641">
        <f t="shared" si="7"/>
        <v>59448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7" t="s">
        <v>1475</v>
      </c>
      <c r="B172" s="2248"/>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v>23738</v>
      </c>
      <c r="D174" s="1573"/>
      <c r="E174" s="1574"/>
      <c r="F174" s="1573"/>
      <c r="G174" s="1573"/>
      <c r="H174" s="1574"/>
      <c r="I174" s="1574"/>
      <c r="J174" s="1574"/>
      <c r="K174" s="1574"/>
    </row>
    <row r="175" spans="1:11" ht="13.5" thickBot="1" x14ac:dyDescent="0.25">
      <c r="A175" s="2251" t="s">
        <v>1646</v>
      </c>
      <c r="B175" s="2252"/>
      <c r="C175" s="1633">
        <f>SUM(C173:C174)</f>
        <v>23738</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5" t="s">
        <v>1645</v>
      </c>
      <c r="B176" s="2256"/>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3" t="s">
        <v>780</v>
      </c>
      <c r="B181" s="225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49" t="s">
        <v>1780</v>
      </c>
      <c r="B182" s="225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44133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13885</v>
      </c>
      <c r="D193" s="1575"/>
      <c r="E193" s="1640"/>
      <c r="F193" s="1575"/>
      <c r="G193" s="1664"/>
      <c r="H193" s="1575"/>
      <c r="I193" s="1575"/>
      <c r="J193" s="1575"/>
      <c r="K193" s="1575"/>
    </row>
    <row r="194" spans="1:11" ht="12.75" customHeight="1" x14ac:dyDescent="0.2">
      <c r="A194" s="427" t="s">
        <v>1434</v>
      </c>
      <c r="B194" s="429">
        <v>4225</v>
      </c>
      <c r="C194" s="1632">
        <v>41241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99259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34226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34226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1431</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42432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43863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750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178098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201836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2380784</v>
      </c>
      <c r="D268" s="1641">
        <f t="shared" si="12"/>
        <v>312336</v>
      </c>
      <c r="E268" s="1641">
        <f t="shared" si="12"/>
        <v>0</v>
      </c>
      <c r="F268" s="1641">
        <f t="shared" si="12"/>
        <v>204191</v>
      </c>
      <c r="G268" s="1641">
        <f t="shared" si="12"/>
        <v>88743</v>
      </c>
      <c r="H268" s="1641">
        <f t="shared" si="12"/>
        <v>102979</v>
      </c>
      <c r="I268" s="1641">
        <f t="shared" si="12"/>
        <v>18636</v>
      </c>
      <c r="J268" s="1641">
        <f t="shared" si="12"/>
        <v>0</v>
      </c>
      <c r="K268" s="1629">
        <f t="shared" si="12"/>
        <v>6190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 top="0.8" bottom="0.62" header="0.5" footer="0.4"/>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69" sqref="C69"/>
      <selection pane="bottomLeft" activeCell="C69" sqref="C6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5" t="s">
        <v>294</v>
      </c>
      <c r="B3" s="226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884337</v>
      </c>
      <c r="D5" s="1573">
        <f>213497+1384</f>
        <v>214881</v>
      </c>
      <c r="E5" s="1573">
        <v>59529</v>
      </c>
      <c r="F5" s="1573">
        <v>23902</v>
      </c>
      <c r="G5" s="1573">
        <v>1970</v>
      </c>
      <c r="H5" s="1573"/>
      <c r="I5" s="1574"/>
      <c r="J5" s="1574"/>
      <c r="K5" s="1672">
        <f>SUM(C5:J5)</f>
        <v>1184619</v>
      </c>
      <c r="L5" s="1573">
        <v>1237188</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12232+67136</f>
        <v>79368</v>
      </c>
      <c r="D8" s="1573">
        <v>14455</v>
      </c>
      <c r="E8" s="1573">
        <v>595</v>
      </c>
      <c r="F8" s="1573">
        <v>415</v>
      </c>
      <c r="G8" s="1573"/>
      <c r="H8" s="1573"/>
      <c r="I8" s="1574"/>
      <c r="J8" s="1574"/>
      <c r="K8" s="1672">
        <f t="shared" si="0"/>
        <v>94833</v>
      </c>
      <c r="L8" s="1573">
        <v>100421</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24900</v>
      </c>
      <c r="D10" s="1573">
        <v>6698</v>
      </c>
      <c r="E10" s="1573"/>
      <c r="F10" s="1573">
        <v>10120</v>
      </c>
      <c r="G10" s="1573"/>
      <c r="H10" s="1573"/>
      <c r="I10" s="1574"/>
      <c r="J10" s="1574"/>
      <c r="K10" s="1672">
        <f t="shared" si="0"/>
        <v>41718</v>
      </c>
      <c r="L10" s="1573">
        <v>43352</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44839</v>
      </c>
      <c r="D14" s="1573">
        <v>2998</v>
      </c>
      <c r="E14" s="1573">
        <v>10499</v>
      </c>
      <c r="F14" s="1573">
        <v>10120</v>
      </c>
      <c r="G14" s="1573"/>
      <c r="H14" s="1573">
        <v>3677</v>
      </c>
      <c r="I14" s="1574"/>
      <c r="J14" s="1574"/>
      <c r="K14" s="1672">
        <f t="shared" si="0"/>
        <v>72133</v>
      </c>
      <c r="L14" s="1573">
        <v>89400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8689</v>
      </c>
      <c r="D17" s="1574">
        <v>2407</v>
      </c>
      <c r="E17" s="1574">
        <v>1836</v>
      </c>
      <c r="F17" s="1574"/>
      <c r="G17" s="1574"/>
      <c r="H17" s="1574"/>
      <c r="I17" s="1574"/>
      <c r="J17" s="1574"/>
      <c r="K17" s="1672">
        <f t="shared" si="0"/>
        <v>12932</v>
      </c>
      <c r="L17" s="1573">
        <v>15282</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1042133</v>
      </c>
      <c r="D33" s="1674">
        <f t="shared" ref="D33:L33" si="1">SUM(D5:D32)</f>
        <v>241439</v>
      </c>
      <c r="E33" s="1674">
        <f t="shared" si="1"/>
        <v>72459</v>
      </c>
      <c r="F33" s="1674">
        <f t="shared" si="1"/>
        <v>44557</v>
      </c>
      <c r="G33" s="1674">
        <f t="shared" si="1"/>
        <v>1970</v>
      </c>
      <c r="H33" s="1674">
        <f t="shared" si="1"/>
        <v>3677</v>
      </c>
      <c r="I33" s="1674">
        <f t="shared" si="1"/>
        <v>0</v>
      </c>
      <c r="J33" s="1674">
        <f t="shared" si="1"/>
        <v>0</v>
      </c>
      <c r="K33" s="1674">
        <f t="shared" si="1"/>
        <v>1406235</v>
      </c>
      <c r="L33" s="1674">
        <f t="shared" si="1"/>
        <v>1485643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38911</v>
      </c>
      <c r="D37" s="1573">
        <v>11109</v>
      </c>
      <c r="E37" s="1573">
        <v>90</v>
      </c>
      <c r="F37" s="1573">
        <v>96</v>
      </c>
      <c r="G37" s="1573"/>
      <c r="H37" s="1573"/>
      <c r="I37" s="1574"/>
      <c r="J37" s="1574"/>
      <c r="K37" s="1672">
        <f t="shared" si="2"/>
        <v>50206</v>
      </c>
      <c r="L37" s="1573">
        <v>51169</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38911</v>
      </c>
      <c r="D42" s="1674">
        <f t="shared" ref="D42:L42" si="3">SUM(D36:D41)</f>
        <v>11109</v>
      </c>
      <c r="E42" s="1674">
        <f t="shared" si="3"/>
        <v>90</v>
      </c>
      <c r="F42" s="1674">
        <f t="shared" si="3"/>
        <v>96</v>
      </c>
      <c r="G42" s="1674">
        <f t="shared" si="3"/>
        <v>0</v>
      </c>
      <c r="H42" s="1674">
        <f t="shared" si="3"/>
        <v>0</v>
      </c>
      <c r="I42" s="1674">
        <f t="shared" si="3"/>
        <v>0</v>
      </c>
      <c r="J42" s="1674">
        <f t="shared" si="3"/>
        <v>0</v>
      </c>
      <c r="K42" s="1674">
        <f t="shared" si="3"/>
        <v>50206</v>
      </c>
      <c r="L42" s="1674">
        <f t="shared" si="3"/>
        <v>51169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1175</v>
      </c>
      <c r="F44" s="1586"/>
      <c r="G44" s="1586"/>
      <c r="H44" s="1586"/>
      <c r="I44" s="1574"/>
      <c r="J44" s="1574"/>
      <c r="K44" s="1678">
        <f>SUM(C44:J44)</f>
        <v>1175</v>
      </c>
      <c r="L44" s="1586">
        <v>2500</v>
      </c>
    </row>
    <row r="45" spans="1:14" x14ac:dyDescent="0.2">
      <c r="A45" s="1274" t="s">
        <v>810</v>
      </c>
      <c r="B45" s="503">
        <v>2220</v>
      </c>
      <c r="C45" s="1573">
        <v>31594</v>
      </c>
      <c r="D45" s="1573">
        <v>8350</v>
      </c>
      <c r="E45" s="1573">
        <v>900</v>
      </c>
      <c r="F45" s="1573">
        <v>2057</v>
      </c>
      <c r="G45" s="1573"/>
      <c r="H45" s="1573"/>
      <c r="I45" s="1574"/>
      <c r="J45" s="1574"/>
      <c r="K45" s="1678">
        <f>SUM(C45:J45)</f>
        <v>42901</v>
      </c>
      <c r="L45" s="1573">
        <v>41634</v>
      </c>
    </row>
    <row r="46" spans="1:14" x14ac:dyDescent="0.2">
      <c r="A46" s="1274" t="s">
        <v>811</v>
      </c>
      <c r="B46" s="503">
        <v>2230</v>
      </c>
      <c r="C46" s="1573"/>
      <c r="D46" s="1573"/>
      <c r="E46" s="1573">
        <v>5369</v>
      </c>
      <c r="F46" s="1573"/>
      <c r="G46" s="1573"/>
      <c r="H46" s="1573"/>
      <c r="I46" s="1574"/>
      <c r="J46" s="1574"/>
      <c r="K46" s="1678">
        <f>SUM(C46:J46)</f>
        <v>5369</v>
      </c>
      <c r="L46" s="1573">
        <v>5500</v>
      </c>
    </row>
    <row r="47" spans="1:14" ht="12.75" customHeight="1" thickBot="1" x14ac:dyDescent="0.25">
      <c r="A47" s="1380" t="s">
        <v>557</v>
      </c>
      <c r="B47" s="1381" t="s">
        <v>32</v>
      </c>
      <c r="C47" s="1674">
        <f>SUM(C44:C46)</f>
        <v>31594</v>
      </c>
      <c r="D47" s="1674">
        <f t="shared" ref="D47:K47" si="4">SUM(D44:D46)</f>
        <v>8350</v>
      </c>
      <c r="E47" s="1674">
        <f t="shared" si="4"/>
        <v>7444</v>
      </c>
      <c r="F47" s="1674">
        <f t="shared" si="4"/>
        <v>2057</v>
      </c>
      <c r="G47" s="1674">
        <f t="shared" si="4"/>
        <v>0</v>
      </c>
      <c r="H47" s="1674">
        <f t="shared" si="4"/>
        <v>0</v>
      </c>
      <c r="I47" s="1674">
        <f t="shared" si="4"/>
        <v>0</v>
      </c>
      <c r="J47" s="1674">
        <f t="shared" si="4"/>
        <v>0</v>
      </c>
      <c r="K47" s="1674">
        <f t="shared" si="4"/>
        <v>49445</v>
      </c>
      <c r="L47" s="1674">
        <f>SUM(L44:L46)</f>
        <v>49634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22053</v>
      </c>
      <c r="F49" s="1586">
        <v>1814</v>
      </c>
      <c r="G49" s="1586"/>
      <c r="H49" s="1586"/>
      <c r="I49" s="1574"/>
      <c r="J49" s="1574"/>
      <c r="K49" s="1678">
        <f>SUM(C49:J49)</f>
        <v>23867</v>
      </c>
      <c r="L49" s="1586">
        <v>31500</v>
      </c>
    </row>
    <row r="50" spans="1:14" x14ac:dyDescent="0.2">
      <c r="A50" s="1274" t="s">
        <v>813</v>
      </c>
      <c r="B50" s="503">
        <v>2320</v>
      </c>
      <c r="C50" s="1573">
        <v>109426</v>
      </c>
      <c r="D50" s="1573">
        <v>19126</v>
      </c>
      <c r="E50" s="1573">
        <v>910</v>
      </c>
      <c r="F50" s="1573"/>
      <c r="G50" s="1573"/>
      <c r="H50" s="1573"/>
      <c r="I50" s="1574"/>
      <c r="J50" s="1574"/>
      <c r="K50" s="1678">
        <f>SUM(C50:J50)</f>
        <v>129462</v>
      </c>
      <c r="L50" s="1573">
        <v>129200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v>23306</v>
      </c>
      <c r="F52" s="1579"/>
      <c r="G52" s="1579"/>
      <c r="H52" s="1579"/>
      <c r="I52" s="1579"/>
      <c r="J52" s="1579"/>
      <c r="K52" s="1678">
        <f>SUM(C52:J52)</f>
        <v>23306</v>
      </c>
      <c r="L52" s="1579">
        <v>28000</v>
      </c>
    </row>
    <row r="53" spans="1:14" ht="12.75" customHeight="1" thickBot="1" x14ac:dyDescent="0.25">
      <c r="A53" s="1380" t="s">
        <v>712</v>
      </c>
      <c r="B53" s="1381" t="s">
        <v>33</v>
      </c>
      <c r="C53" s="1674">
        <f>SUM(C49:C52)</f>
        <v>109426</v>
      </c>
      <c r="D53" s="1674">
        <f t="shared" ref="D53:L53" si="5">SUM(D49:D52)</f>
        <v>19126</v>
      </c>
      <c r="E53" s="1674">
        <f t="shared" si="5"/>
        <v>46269</v>
      </c>
      <c r="F53" s="1674">
        <f t="shared" si="5"/>
        <v>1814</v>
      </c>
      <c r="G53" s="1674">
        <f t="shared" si="5"/>
        <v>0</v>
      </c>
      <c r="H53" s="1674">
        <f t="shared" si="5"/>
        <v>0</v>
      </c>
      <c r="I53" s="1674">
        <f t="shared" si="5"/>
        <v>0</v>
      </c>
      <c r="J53" s="1674">
        <f t="shared" si="5"/>
        <v>0</v>
      </c>
      <c r="K53" s="1674">
        <f t="shared" si="5"/>
        <v>176635</v>
      </c>
      <c r="L53" s="1674">
        <f t="shared" si="5"/>
        <v>188700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120705</v>
      </c>
      <c r="D55" s="1586">
        <v>17395</v>
      </c>
      <c r="E55" s="1586">
        <v>1466</v>
      </c>
      <c r="F55" s="1586"/>
      <c r="G55" s="1586"/>
      <c r="H55" s="1586"/>
      <c r="I55" s="1574"/>
      <c r="J55" s="1574"/>
      <c r="K55" s="1678">
        <f>SUM(C55:J55)</f>
        <v>139566</v>
      </c>
      <c r="L55" s="1586">
        <v>134900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120705</v>
      </c>
      <c r="D57" s="1679">
        <f t="shared" ref="D57:K57" si="6">SUM(D55:D56)</f>
        <v>17395</v>
      </c>
      <c r="E57" s="1679">
        <f t="shared" si="6"/>
        <v>1466</v>
      </c>
      <c r="F57" s="1679">
        <f t="shared" si="6"/>
        <v>0</v>
      </c>
      <c r="G57" s="1679">
        <f t="shared" si="6"/>
        <v>0</v>
      </c>
      <c r="H57" s="1679">
        <f t="shared" si="6"/>
        <v>0</v>
      </c>
      <c r="I57" s="1679">
        <f t="shared" si="6"/>
        <v>0</v>
      </c>
      <c r="J57" s="1679">
        <f t="shared" si="6"/>
        <v>0</v>
      </c>
      <c r="K57" s="1679">
        <f t="shared" si="6"/>
        <v>139566</v>
      </c>
      <c r="L57" s="1674">
        <f>SUM(L55:L56)</f>
        <v>134900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43184</v>
      </c>
      <c r="D60" s="1573">
        <v>3240</v>
      </c>
      <c r="E60" s="1573">
        <v>9168</v>
      </c>
      <c r="F60" s="1573">
        <v>776</v>
      </c>
      <c r="G60" s="1573"/>
      <c r="H60" s="1573"/>
      <c r="I60" s="1574"/>
      <c r="J60" s="1574"/>
      <c r="K60" s="1678">
        <f t="shared" si="7"/>
        <v>56368</v>
      </c>
      <c r="L60" s="1573">
        <v>49250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80903</v>
      </c>
      <c r="D63" s="1573">
        <v>3602</v>
      </c>
      <c r="E63" s="1573">
        <v>378</v>
      </c>
      <c r="F63" s="1573">
        <v>60941</v>
      </c>
      <c r="G63" s="1573">
        <v>599</v>
      </c>
      <c r="H63" s="1573">
        <v>125</v>
      </c>
      <c r="I63" s="1574"/>
      <c r="J63" s="1574"/>
      <c r="K63" s="1678">
        <f t="shared" si="7"/>
        <v>146548</v>
      </c>
      <c r="L63" s="1573">
        <v>138861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124087</v>
      </c>
      <c r="D65" s="1674">
        <f t="shared" ref="D65:L65" si="8">SUM(D59:D64)</f>
        <v>6842</v>
      </c>
      <c r="E65" s="1674">
        <f t="shared" si="8"/>
        <v>9546</v>
      </c>
      <c r="F65" s="1674">
        <f t="shared" si="8"/>
        <v>61717</v>
      </c>
      <c r="G65" s="1674">
        <f t="shared" si="8"/>
        <v>599</v>
      </c>
      <c r="H65" s="1674">
        <f t="shared" si="8"/>
        <v>125</v>
      </c>
      <c r="I65" s="1674">
        <f t="shared" si="8"/>
        <v>0</v>
      </c>
      <c r="J65" s="1674">
        <f t="shared" si="8"/>
        <v>0</v>
      </c>
      <c r="K65" s="1674">
        <f t="shared" si="8"/>
        <v>202916</v>
      </c>
      <c r="L65" s="1674">
        <f t="shared" si="8"/>
        <v>188111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250</v>
      </c>
      <c r="G73" s="1649"/>
      <c r="H73" s="1649"/>
      <c r="I73" s="1627"/>
      <c r="J73" s="1627"/>
      <c r="K73" s="1674">
        <f>SUM(C73:J73)</f>
        <v>250</v>
      </c>
      <c r="L73" s="1651">
        <v>1000</v>
      </c>
      <c r="M73" s="501"/>
      <c r="N73" s="501"/>
    </row>
    <row r="74" spans="1:14" ht="12.75" customHeight="1" thickTop="1" thickBot="1" x14ac:dyDescent="0.25">
      <c r="A74" s="1380" t="s">
        <v>806</v>
      </c>
      <c r="B74" s="1384">
        <v>2000</v>
      </c>
      <c r="C74" s="1681">
        <f>SUM(C42,C47,C53,C57,C65,C72,C73)</f>
        <v>424723</v>
      </c>
      <c r="D74" s="1681">
        <f t="shared" ref="D74:K74" si="10">SUM(D42,D47,D53,D57,D65,D72,D73)</f>
        <v>62822</v>
      </c>
      <c r="E74" s="1681">
        <f t="shared" si="10"/>
        <v>64815</v>
      </c>
      <c r="F74" s="1681">
        <f t="shared" si="10"/>
        <v>65934</v>
      </c>
      <c r="G74" s="1681">
        <f t="shared" si="10"/>
        <v>599</v>
      </c>
      <c r="H74" s="1681">
        <f t="shared" si="10"/>
        <v>125</v>
      </c>
      <c r="I74" s="1681">
        <f t="shared" si="10"/>
        <v>0</v>
      </c>
      <c r="J74" s="1681">
        <f t="shared" si="10"/>
        <v>0</v>
      </c>
      <c r="K74" s="1681">
        <f t="shared" si="10"/>
        <v>619018</v>
      </c>
      <c r="L74" s="1681">
        <f>SUM(L42,L47,L53,L57,L65,L72,L73)</f>
        <v>613514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78144</v>
      </c>
      <c r="F79" s="1673"/>
      <c r="G79" s="1673"/>
      <c r="H79" s="1573">
        <v>6906</v>
      </c>
      <c r="I79" s="1582"/>
      <c r="J79" s="1582"/>
      <c r="K79" s="1672">
        <f t="shared" si="11"/>
        <v>85050</v>
      </c>
      <c r="L79" s="1573">
        <v>80000</v>
      </c>
    </row>
    <row r="80" spans="1:14" x14ac:dyDescent="0.2">
      <c r="A80" s="1274" t="s">
        <v>302</v>
      </c>
      <c r="B80" s="503">
        <v>4130</v>
      </c>
      <c r="C80" s="1673"/>
      <c r="D80" s="1673"/>
      <c r="E80" s="1573"/>
      <c r="F80" s="1673"/>
      <c r="G80" s="1673"/>
      <c r="H80" s="1573"/>
      <c r="I80" s="1582"/>
      <c r="J80" s="1582"/>
      <c r="K80" s="1672">
        <f t="shared" si="11"/>
        <v>0</v>
      </c>
      <c r="L80" s="1573">
        <v>2000</v>
      </c>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1500</v>
      </c>
      <c r="I83" s="1582"/>
      <c r="J83" s="1582"/>
      <c r="K83" s="1672">
        <f t="shared" si="11"/>
        <v>1500</v>
      </c>
      <c r="L83" s="1573"/>
    </row>
    <row r="84" spans="1:12" ht="13.5" thickBot="1" x14ac:dyDescent="0.25">
      <c r="A84" s="1380" t="s">
        <v>1468</v>
      </c>
      <c r="B84" s="1385">
        <v>4100</v>
      </c>
      <c r="C84" s="1673"/>
      <c r="D84" s="1673"/>
      <c r="E84" s="1674">
        <f>SUM(E78:E83)</f>
        <v>78144</v>
      </c>
      <c r="F84" s="1673"/>
      <c r="G84" s="1673"/>
      <c r="H84" s="1674">
        <f>SUM(H78:H83)</f>
        <v>8406</v>
      </c>
      <c r="I84" s="1582"/>
      <c r="J84" s="1582"/>
      <c r="K84" s="1674">
        <f>SUM(K78:K83)</f>
        <v>86550</v>
      </c>
      <c r="L84" s="1674">
        <f>SUM(L78:L83)</f>
        <v>82000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3638</v>
      </c>
      <c r="I86" s="1582"/>
      <c r="J86" s="1582"/>
      <c r="K86" s="1681">
        <f t="shared" ref="K86:K98" si="12">H86</f>
        <v>3638</v>
      </c>
      <c r="L86" s="1626">
        <v>17000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2645</v>
      </c>
      <c r="I88" s="1582"/>
      <c r="J88" s="1582"/>
      <c r="K88" s="1681">
        <f t="shared" si="12"/>
        <v>2645</v>
      </c>
      <c r="L88" s="1626">
        <v>8000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6283</v>
      </c>
      <c r="I92" s="1582"/>
      <c r="J92" s="1582"/>
      <c r="K92" s="1681">
        <f t="shared" si="12"/>
        <v>6283</v>
      </c>
      <c r="L92" s="1674">
        <f>SUM(L85:L91)</f>
        <v>25000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78144</v>
      </c>
      <c r="F102" s="1673"/>
      <c r="G102" s="1673"/>
      <c r="H102" s="1681">
        <f>SUM(H84,H92,H100,H101)</f>
        <v>14689</v>
      </c>
      <c r="I102" s="1582"/>
      <c r="J102" s="1582"/>
      <c r="K102" s="1681">
        <f>SUM(K84,K92,K100,K101)</f>
        <v>92833</v>
      </c>
      <c r="L102" s="1681">
        <f>SUM(L84,L92,L100,L101)</f>
        <v>107000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1466856</v>
      </c>
      <c r="D114" s="1674">
        <f t="shared" ref="D114:K114" si="13">SUM(D33,D74,D75,D102,D112,D113)</f>
        <v>304261</v>
      </c>
      <c r="E114" s="1674">
        <f t="shared" si="13"/>
        <v>215418</v>
      </c>
      <c r="F114" s="1674">
        <f t="shared" si="13"/>
        <v>110491</v>
      </c>
      <c r="G114" s="1674">
        <f t="shared" si="13"/>
        <v>2569</v>
      </c>
      <c r="H114" s="1674">
        <f>SUM(H33,H74,H75,H102,H112,H113)</f>
        <v>18491</v>
      </c>
      <c r="I114" s="1674">
        <f t="shared" si="13"/>
        <v>0</v>
      </c>
      <c r="J114" s="1674">
        <f t="shared" si="13"/>
        <v>0</v>
      </c>
      <c r="K114" s="1674">
        <f t="shared" si="13"/>
        <v>2118086</v>
      </c>
      <c r="L114" s="1674">
        <f>SUM(L33,L74,L75,L102,L112,L113)</f>
        <v>2206157</v>
      </c>
    </row>
    <row r="115" spans="1:14" ht="13.5" thickTop="1" x14ac:dyDescent="0.2">
      <c r="A115" s="2257" t="s">
        <v>989</v>
      </c>
      <c r="B115" s="2258"/>
      <c r="C115" s="1675"/>
      <c r="D115" s="1675"/>
      <c r="E115" s="1675"/>
      <c r="F115" s="1675"/>
      <c r="G115" s="1675"/>
      <c r="H115" s="1675"/>
      <c r="I115" s="1675"/>
      <c r="J115" s="1675"/>
      <c r="K115" s="1689">
        <f>'Revenues 9-14'!C268-'Expenditures 15-22'!K114</f>
        <v>262698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2" t="s">
        <v>293</v>
      </c>
      <c r="B117" s="226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123489</v>
      </c>
      <c r="D124" s="1573">
        <v>6962</v>
      </c>
      <c r="E124" s="1573">
        <v>154063</v>
      </c>
      <c r="F124" s="1573">
        <v>27121</v>
      </c>
      <c r="G124" s="1573">
        <v>6000</v>
      </c>
      <c r="H124" s="1573"/>
      <c r="I124" s="1574"/>
      <c r="J124" s="1574"/>
      <c r="K124" s="1674">
        <f>SUM(C124:J124)</f>
        <v>317635</v>
      </c>
      <c r="L124" s="1573">
        <v>308950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123489</v>
      </c>
      <c r="D127" s="1674">
        <f t="shared" ref="D127:L127" si="14">SUM(D122:D126)</f>
        <v>6962</v>
      </c>
      <c r="E127" s="1674">
        <f t="shared" si="14"/>
        <v>154063</v>
      </c>
      <c r="F127" s="1674">
        <f t="shared" si="14"/>
        <v>27121</v>
      </c>
      <c r="G127" s="1674">
        <f t="shared" si="14"/>
        <v>6000</v>
      </c>
      <c r="H127" s="1674">
        <f t="shared" si="14"/>
        <v>0</v>
      </c>
      <c r="I127" s="1674">
        <f t="shared" si="14"/>
        <v>0</v>
      </c>
      <c r="J127" s="1674">
        <f t="shared" si="14"/>
        <v>0</v>
      </c>
      <c r="K127" s="1674">
        <f t="shared" si="14"/>
        <v>317635</v>
      </c>
      <c r="L127" s="1674">
        <f t="shared" si="14"/>
        <v>308950</v>
      </c>
    </row>
    <row r="128" spans="1:14" ht="12.75" customHeight="1" thickTop="1" x14ac:dyDescent="0.2">
      <c r="A128" s="1281" t="s">
        <v>973</v>
      </c>
      <c r="B128" s="531" t="s">
        <v>570</v>
      </c>
      <c r="C128" s="1695"/>
      <c r="D128" s="1695"/>
      <c r="E128" s="1695">
        <v>32612</v>
      </c>
      <c r="F128" s="1695"/>
      <c r="G128" s="1695"/>
      <c r="H128" s="1695"/>
      <c r="I128" s="1630"/>
      <c r="J128" s="1630"/>
      <c r="K128" s="1696">
        <f>SUM(C128:J128)</f>
        <v>32612</v>
      </c>
      <c r="L128" s="1695">
        <v>33000</v>
      </c>
    </row>
    <row r="129" spans="1:14" ht="12.75" customHeight="1" thickBot="1" x14ac:dyDescent="0.25">
      <c r="A129" s="1389" t="s">
        <v>806</v>
      </c>
      <c r="B129" s="1390" t="s">
        <v>565</v>
      </c>
      <c r="C129" s="1681">
        <f>SUM(C120,C127,C128)</f>
        <v>123489</v>
      </c>
      <c r="D129" s="1681">
        <f t="shared" ref="D129:L129" si="15">SUM(D120,D127,D128)</f>
        <v>6962</v>
      </c>
      <c r="E129" s="1681">
        <f t="shared" si="15"/>
        <v>186675</v>
      </c>
      <c r="F129" s="1681">
        <f t="shared" si="15"/>
        <v>27121</v>
      </c>
      <c r="G129" s="1681">
        <f t="shared" si="15"/>
        <v>6000</v>
      </c>
      <c r="H129" s="1681">
        <f t="shared" si="15"/>
        <v>0</v>
      </c>
      <c r="I129" s="1681">
        <f t="shared" si="15"/>
        <v>0</v>
      </c>
      <c r="J129" s="1681">
        <f t="shared" si="15"/>
        <v>0</v>
      </c>
      <c r="K129" s="1681">
        <f t="shared" si="15"/>
        <v>350247</v>
      </c>
      <c r="L129" s="1681">
        <f t="shared" si="15"/>
        <v>341950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4" t="s">
        <v>616</v>
      </c>
      <c r="B151" s="2254"/>
      <c r="C151" s="1674">
        <f>SUM(C129,C130,C139,C149,C150)</f>
        <v>123489</v>
      </c>
      <c r="D151" s="1674">
        <f t="shared" ref="D151:K151" si="16">SUM(D129,D130,D139,D149,D150)</f>
        <v>6962</v>
      </c>
      <c r="E151" s="1674">
        <f t="shared" si="16"/>
        <v>186675</v>
      </c>
      <c r="F151" s="1674">
        <f t="shared" si="16"/>
        <v>27121</v>
      </c>
      <c r="G151" s="1674">
        <f t="shared" si="16"/>
        <v>6000</v>
      </c>
      <c r="H151" s="1674">
        <f t="shared" si="16"/>
        <v>0</v>
      </c>
      <c r="I151" s="1674">
        <f t="shared" si="16"/>
        <v>0</v>
      </c>
      <c r="J151" s="1674">
        <f t="shared" si="16"/>
        <v>0</v>
      </c>
      <c r="K151" s="1674">
        <f t="shared" si="16"/>
        <v>350247</v>
      </c>
      <c r="L151" s="1674">
        <f>SUM(L129,L130,L139,L149,L150)</f>
        <v>341950</v>
      </c>
    </row>
    <row r="152" spans="1:14" ht="12.75" customHeight="1" thickTop="1" x14ac:dyDescent="0.2">
      <c r="A152" s="2277" t="s">
        <v>1168</v>
      </c>
      <c r="B152" s="2278"/>
      <c r="C152" s="1675"/>
      <c r="D152" s="1675"/>
      <c r="E152" s="1675"/>
      <c r="F152" s="1675"/>
      <c r="G152" s="1675"/>
      <c r="H152" s="1675"/>
      <c r="I152" s="1675"/>
      <c r="J152" s="1673"/>
      <c r="K152" s="1689">
        <f>'Revenues 9-14'!D268-'Expenditures 15-22'!K151</f>
        <v>-37911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2" t="s">
        <v>617</v>
      </c>
      <c r="B154" s="226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57" t="s">
        <v>989</v>
      </c>
      <c r="B175" s="2258"/>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57469</v>
      </c>
      <c r="D182" s="1573">
        <v>810</v>
      </c>
      <c r="E182" s="1573">
        <v>5314</v>
      </c>
      <c r="F182" s="1573">
        <v>20179</v>
      </c>
      <c r="G182" s="1573">
        <v>55134</v>
      </c>
      <c r="H182" s="1573"/>
      <c r="I182" s="1574"/>
      <c r="J182" s="1574"/>
      <c r="K182" s="1672">
        <f>SUM(C182:J182)</f>
        <v>138906</v>
      </c>
      <c r="L182" s="1573">
        <v>156690</v>
      </c>
    </row>
    <row r="183" spans="1:14" ht="12.75" customHeight="1" thickBot="1" x14ac:dyDescent="0.25">
      <c r="A183" s="1279" t="s">
        <v>973</v>
      </c>
      <c r="B183" s="551">
        <v>2900</v>
      </c>
      <c r="C183" s="1649"/>
      <c r="D183" s="1649"/>
      <c r="E183" s="1649">
        <v>16919</v>
      </c>
      <c r="F183" s="1649"/>
      <c r="G183" s="1649"/>
      <c r="H183" s="1649"/>
      <c r="I183" s="1628"/>
      <c r="J183" s="1628"/>
      <c r="K183" s="1681">
        <f>SUM(C183:J183)</f>
        <v>16919</v>
      </c>
      <c r="L183" s="1649">
        <v>17000</v>
      </c>
    </row>
    <row r="184" spans="1:14" ht="12.75" customHeight="1" thickTop="1" thickBot="1" x14ac:dyDescent="0.25">
      <c r="A184" s="1393" t="s">
        <v>806</v>
      </c>
      <c r="B184" s="1381" t="s">
        <v>565</v>
      </c>
      <c r="C184" s="1681">
        <f>SUM(C180,C182,C183)</f>
        <v>57469</v>
      </c>
      <c r="D184" s="1681">
        <f t="shared" ref="D184:J184" si="17">SUM(D180,D182,D183)</f>
        <v>810</v>
      </c>
      <c r="E184" s="1681">
        <f t="shared" si="17"/>
        <v>22233</v>
      </c>
      <c r="F184" s="1681">
        <f t="shared" si="17"/>
        <v>20179</v>
      </c>
      <c r="G184" s="1681">
        <f t="shared" si="17"/>
        <v>55134</v>
      </c>
      <c r="H184" s="1681">
        <f t="shared" si="17"/>
        <v>0</v>
      </c>
      <c r="I184" s="1681">
        <f t="shared" si="17"/>
        <v>0</v>
      </c>
      <c r="J184" s="1681">
        <f t="shared" si="17"/>
        <v>0</v>
      </c>
      <c r="K184" s="1681">
        <f>SUM(K180,K182,K183)</f>
        <v>155825</v>
      </c>
      <c r="L184" s="1681">
        <f>SUM(L180, L182:L183)</f>
        <v>173690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57469</v>
      </c>
      <c r="D210" s="1674">
        <f>SUM(D184,D185)</f>
        <v>810</v>
      </c>
      <c r="E210" s="1674">
        <f>SUM(E184,E185,E196)</f>
        <v>22233</v>
      </c>
      <c r="F210" s="1674">
        <f>SUM(F184,F185)</f>
        <v>20179</v>
      </c>
      <c r="G210" s="1674">
        <f>SUM(G184,G185)</f>
        <v>55134</v>
      </c>
      <c r="H210" s="1674">
        <f>SUM(H184,H185,H196,H208,H209)</f>
        <v>0</v>
      </c>
      <c r="I210" s="1674">
        <f>SUM(I184,I185)</f>
        <v>0</v>
      </c>
      <c r="J210" s="1674">
        <f>SUM(J184,J185)</f>
        <v>0</v>
      </c>
      <c r="K210" s="1672">
        <f>SUM(K184,K185,K196,K208,K209)</f>
        <v>155825</v>
      </c>
      <c r="L210" s="1674">
        <f>SUM(L184,L185,L196,L208,L209)</f>
        <v>173690</v>
      </c>
    </row>
    <row r="211" spans="1:14" ht="13.5" thickTop="1" x14ac:dyDescent="0.2">
      <c r="A211" s="2257" t="s">
        <v>989</v>
      </c>
      <c r="B211" s="2258"/>
      <c r="C211" s="1675"/>
      <c r="D211" s="1675"/>
      <c r="E211" s="1675"/>
      <c r="F211" s="1675"/>
      <c r="G211" s="1675"/>
      <c r="H211" s="1675"/>
      <c r="I211" s="1673"/>
      <c r="J211" s="1673"/>
      <c r="K211" s="1689">
        <f>'Revenues 9-14'!F268-'Expenditures 15-22'!K210</f>
        <v>48366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79" t="s">
        <v>959</v>
      </c>
      <c r="B213" s="228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8081+4986</f>
        <v>13067</v>
      </c>
      <c r="E215" s="1673"/>
      <c r="F215" s="1673"/>
      <c r="G215" s="1673"/>
      <c r="H215" s="1673"/>
      <c r="I215" s="1673"/>
      <c r="J215" s="1673"/>
      <c r="K215" s="1672">
        <f>D215</f>
        <v>13067</v>
      </c>
      <c r="L215" s="1573">
        <v>12300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2289</v>
      </c>
      <c r="E217" s="1673"/>
      <c r="F217" s="1673"/>
      <c r="G217" s="1673"/>
      <c r="H217" s="1673"/>
      <c r="I217" s="1673"/>
      <c r="J217" s="1673"/>
      <c r="K217" s="1672">
        <f t="shared" si="19"/>
        <v>2289</v>
      </c>
      <c r="L217" s="1573">
        <v>3400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40</v>
      </c>
      <c r="E219" s="1673"/>
      <c r="F219" s="1673"/>
      <c r="G219" s="1673"/>
      <c r="H219" s="1673"/>
      <c r="I219" s="1673"/>
      <c r="J219" s="1673"/>
      <c r="K219" s="1672">
        <f t="shared" si="19"/>
        <v>40</v>
      </c>
      <c r="L219" s="1573">
        <v>425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1994</v>
      </c>
      <c r="E223" s="1673"/>
      <c r="F223" s="1673"/>
      <c r="G223" s="1673"/>
      <c r="H223" s="1673"/>
      <c r="I223" s="1673"/>
      <c r="J223" s="1673"/>
      <c r="K223" s="1672">
        <f t="shared" si="19"/>
        <v>1994</v>
      </c>
      <c r="L223" s="1573">
        <v>2800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121</v>
      </c>
      <c r="E226" s="1673"/>
      <c r="F226" s="1673"/>
      <c r="G226" s="1673"/>
      <c r="H226" s="1673"/>
      <c r="I226" s="1673"/>
      <c r="J226" s="1673"/>
      <c r="K226" s="1672">
        <f t="shared" si="19"/>
        <v>121</v>
      </c>
      <c r="L226" s="1573">
        <v>200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17511</v>
      </c>
      <c r="E229" s="1673"/>
      <c r="F229" s="1673"/>
      <c r="G229" s="1673"/>
      <c r="H229" s="1673"/>
      <c r="I229" s="1673"/>
      <c r="J229" s="1673"/>
      <c r="K229" s="1674">
        <f>SUM(K215:K228)</f>
        <v>17511</v>
      </c>
      <c r="L229" s="1674">
        <f>SUM(L215:L228)</f>
        <v>19125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540</v>
      </c>
      <c r="E233" s="1673"/>
      <c r="F233" s="1673"/>
      <c r="G233" s="1673"/>
      <c r="H233" s="1673"/>
      <c r="I233" s="1673"/>
      <c r="J233" s="1673"/>
      <c r="K233" s="1672">
        <f t="shared" si="20"/>
        <v>540</v>
      </c>
      <c r="L233" s="1573">
        <v>650</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540</v>
      </c>
      <c r="E238" s="1673"/>
      <c r="F238" s="1673"/>
      <c r="G238" s="1673"/>
      <c r="H238" s="1673"/>
      <c r="I238" s="1673"/>
      <c r="J238" s="1673"/>
      <c r="K238" s="1674">
        <f>SUM(K232:K237)</f>
        <v>540</v>
      </c>
      <c r="L238" s="1674">
        <f>SUM(L232:L237)</f>
        <v>650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458</v>
      </c>
      <c r="E241" s="1673"/>
      <c r="F241" s="1673"/>
      <c r="G241" s="1673"/>
      <c r="H241" s="1673"/>
      <c r="I241" s="1673"/>
      <c r="J241" s="1673"/>
      <c r="K241" s="1678">
        <f>D241</f>
        <v>458</v>
      </c>
      <c r="L241" s="1573">
        <v>600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458</v>
      </c>
      <c r="E243" s="1673"/>
      <c r="F243" s="1673"/>
      <c r="G243" s="1673"/>
      <c r="H243" s="1673"/>
      <c r="I243" s="1673"/>
      <c r="J243" s="1673"/>
      <c r="K243" s="1674">
        <f>SUM(K240:K242)</f>
        <v>458</v>
      </c>
      <c r="L243" s="1674">
        <f>SUM(L240:L242)</f>
        <v>600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3004</v>
      </c>
      <c r="E246" s="1673"/>
      <c r="F246" s="1673"/>
      <c r="G246" s="1673"/>
      <c r="H246" s="1673"/>
      <c r="I246" s="1673"/>
      <c r="J246" s="1673"/>
      <c r="K246" s="1678">
        <f t="shared" ref="K246:K256" si="21">D246</f>
        <v>3004</v>
      </c>
      <c r="L246" s="1573">
        <v>3300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3004</v>
      </c>
      <c r="E257" s="1673"/>
      <c r="F257" s="1673"/>
      <c r="G257" s="1673"/>
      <c r="H257" s="1673"/>
      <c r="I257" s="1673"/>
      <c r="J257" s="1673"/>
      <c r="K257" s="1674">
        <f>SUM(K245:K256)</f>
        <v>3004</v>
      </c>
      <c r="L257" s="1674">
        <f>SUM(L245:L256)</f>
        <v>3300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5545</v>
      </c>
      <c r="E259" s="1673"/>
      <c r="F259" s="1673"/>
      <c r="G259" s="1673"/>
      <c r="H259" s="1673"/>
      <c r="I259" s="1673"/>
      <c r="J259" s="1673"/>
      <c r="K259" s="1678">
        <f>D259</f>
        <v>5545</v>
      </c>
      <c r="L259" s="1586">
        <v>5900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5545</v>
      </c>
      <c r="E261" s="1673"/>
      <c r="F261" s="1673"/>
      <c r="G261" s="1673"/>
      <c r="H261" s="1673"/>
      <c r="I261" s="1673"/>
      <c r="J261" s="1673"/>
      <c r="K261" s="1674">
        <f>SUM(K259:K260)</f>
        <v>5545</v>
      </c>
      <c r="L261" s="1674">
        <f>SUM(L259:L260)</f>
        <v>5900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3608</v>
      </c>
      <c r="E264" s="1673"/>
      <c r="F264" s="1673"/>
      <c r="G264" s="1673"/>
      <c r="H264" s="1673"/>
      <c r="I264" s="1673"/>
      <c r="J264" s="1673"/>
      <c r="K264" s="1678">
        <f t="shared" ref="K264:K269" si="22">D264</f>
        <v>3608</v>
      </c>
      <c r="L264" s="1573">
        <v>3500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12183</v>
      </c>
      <c r="E266" s="1673"/>
      <c r="F266" s="1673"/>
      <c r="G266" s="1673"/>
      <c r="H266" s="1673"/>
      <c r="I266" s="1673"/>
      <c r="J266" s="1673"/>
      <c r="K266" s="1678">
        <f t="shared" si="22"/>
        <v>12183</v>
      </c>
      <c r="L266" s="1573">
        <v>12000</v>
      </c>
    </row>
    <row r="267" spans="1:14" x14ac:dyDescent="0.2">
      <c r="A267" s="1274" t="s">
        <v>947</v>
      </c>
      <c r="B267" s="503">
        <v>2550</v>
      </c>
      <c r="C267" s="1673"/>
      <c r="D267" s="1573">
        <v>4904</v>
      </c>
      <c r="E267" s="1673"/>
      <c r="F267" s="1673"/>
      <c r="G267" s="1673"/>
      <c r="H267" s="1673"/>
      <c r="I267" s="1673"/>
      <c r="J267" s="1673"/>
      <c r="K267" s="1678">
        <f t="shared" si="22"/>
        <v>4904</v>
      </c>
      <c r="L267" s="1573">
        <v>14300</v>
      </c>
    </row>
    <row r="268" spans="1:14" x14ac:dyDescent="0.2">
      <c r="A268" s="1274" t="s">
        <v>100</v>
      </c>
      <c r="B268" s="503">
        <v>2560</v>
      </c>
      <c r="C268" s="1673"/>
      <c r="D268" s="1573">
        <v>8372</v>
      </c>
      <c r="E268" s="1673"/>
      <c r="F268" s="1673"/>
      <c r="G268" s="1673"/>
      <c r="H268" s="1673"/>
      <c r="I268" s="1673"/>
      <c r="J268" s="1673"/>
      <c r="K268" s="1678">
        <f t="shared" si="22"/>
        <v>8372</v>
      </c>
      <c r="L268" s="1573">
        <v>19500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29067</v>
      </c>
      <c r="E270" s="1673"/>
      <c r="F270" s="1673"/>
      <c r="G270" s="1673"/>
      <c r="H270" s="1673"/>
      <c r="I270" s="1673"/>
      <c r="J270" s="1673"/>
      <c r="K270" s="1674">
        <f>SUM(K263:K269)</f>
        <v>29067</v>
      </c>
      <c r="L270" s="1674">
        <f>SUM(L263:L269)</f>
        <v>49300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38614</v>
      </c>
      <c r="E279" s="1673"/>
      <c r="F279" s="1673"/>
      <c r="G279" s="1673"/>
      <c r="H279" s="1673"/>
      <c r="I279" s="1673"/>
      <c r="J279" s="1673"/>
      <c r="K279" s="1681">
        <f>SUM(K238,K243,K257,K261,K270,K277,K278)</f>
        <v>38614</v>
      </c>
      <c r="L279" s="1681">
        <f>SUM(L238,L243,L257,L261,L270,L277,L278)</f>
        <v>59750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5" t="s">
        <v>502</v>
      </c>
      <c r="B295" s="2276"/>
      <c r="C295" s="1673"/>
      <c r="D295" s="1674">
        <f>SUM(D229,D279,D280,D285)</f>
        <v>56125</v>
      </c>
      <c r="E295" s="1673"/>
      <c r="F295" s="1673"/>
      <c r="G295" s="1673"/>
      <c r="H295" s="1674">
        <f>H293</f>
        <v>0</v>
      </c>
      <c r="I295" s="1673"/>
      <c r="J295" s="1673"/>
      <c r="K295" s="1674">
        <f>SUM(K229,K279,K280,K285,K293,K294)</f>
        <v>56125</v>
      </c>
      <c r="L295" s="1674">
        <f>SUM(L229,L279,L280,L285,L293,L294)</f>
        <v>78875</v>
      </c>
    </row>
    <row r="296" spans="1:14" ht="13.5" thickTop="1" x14ac:dyDescent="0.2">
      <c r="A296" s="2257" t="s">
        <v>989</v>
      </c>
      <c r="B296" s="2258"/>
      <c r="C296" s="1673"/>
      <c r="D296" s="1675"/>
      <c r="E296" s="1673"/>
      <c r="F296" s="1673"/>
      <c r="G296" s="1673"/>
      <c r="H296" s="1707"/>
      <c r="I296" s="1673"/>
      <c r="J296" s="1673"/>
      <c r="K296" s="1689">
        <f>'Revenues 9-14'!G268-'Expenditures 15-22'!K295</f>
        <v>32618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7" t="s">
        <v>142</v>
      </c>
      <c r="B298" s="226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78914</v>
      </c>
      <c r="F301" s="1573">
        <v>1792</v>
      </c>
      <c r="G301" s="1573">
        <v>54359</v>
      </c>
      <c r="H301" s="1573"/>
      <c r="I301" s="1574"/>
      <c r="J301" s="1574"/>
      <c r="K301" s="1672">
        <f>SUM(C301:J301)</f>
        <v>135065</v>
      </c>
      <c r="L301" s="1574">
        <v>205000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78914</v>
      </c>
      <c r="F303" s="1681">
        <f t="shared" si="23"/>
        <v>1792</v>
      </c>
      <c r="G303" s="1681">
        <f t="shared" si="23"/>
        <v>54359</v>
      </c>
      <c r="H303" s="1681">
        <f t="shared" si="23"/>
        <v>0</v>
      </c>
      <c r="I303" s="1681">
        <f t="shared" si="23"/>
        <v>0</v>
      </c>
      <c r="J303" s="1681">
        <f t="shared" si="23"/>
        <v>0</v>
      </c>
      <c r="K303" s="1681">
        <f t="shared" si="23"/>
        <v>135065</v>
      </c>
      <c r="L303" s="1681">
        <f t="shared" si="23"/>
        <v>205000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2" t="s">
        <v>275</v>
      </c>
      <c r="B312" s="2273"/>
      <c r="C312" s="1674">
        <f>SUM(C303)</f>
        <v>0</v>
      </c>
      <c r="D312" s="1674">
        <f>SUM(D303)</f>
        <v>0</v>
      </c>
      <c r="E312" s="1674">
        <f>SUM(E303,E310)</f>
        <v>78914</v>
      </c>
      <c r="F312" s="1674">
        <f>SUM(F303)</f>
        <v>1792</v>
      </c>
      <c r="G312" s="1674">
        <f>SUM(G303)</f>
        <v>54359</v>
      </c>
      <c r="H312" s="1674">
        <f>SUM(H303,H310)</f>
        <v>0</v>
      </c>
      <c r="I312" s="1674">
        <f>SUM(I303)</f>
        <v>0</v>
      </c>
      <c r="J312" s="1674">
        <f>SUM(J303)</f>
        <v>0</v>
      </c>
      <c r="K312" s="1674">
        <f>SUM(K303,K310,K311)</f>
        <v>135065</v>
      </c>
      <c r="L312" s="1674">
        <f>SUM(L303,L310,L311)</f>
        <v>205000</v>
      </c>
      <c r="M312" s="539"/>
      <c r="N312" s="539"/>
    </row>
    <row r="313" spans="1:14" ht="13.5" thickTop="1" x14ac:dyDescent="0.2">
      <c r="A313" s="2268" t="s">
        <v>989</v>
      </c>
      <c r="B313" s="2269"/>
      <c r="C313" s="1677"/>
      <c r="D313" s="1677"/>
      <c r="E313" s="1677"/>
      <c r="F313" s="1677"/>
      <c r="G313" s="1677"/>
      <c r="H313" s="1677"/>
      <c r="I313" s="1677"/>
      <c r="J313" s="1677"/>
      <c r="K313" s="1696">
        <f>'Revenues 9-14'!H268-'Expenditures 15-22'!K312</f>
        <v>-32086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1" t="s">
        <v>148</v>
      </c>
      <c r="B315" s="228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3" t="s">
        <v>892</v>
      </c>
      <c r="B317" s="228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0" t="s">
        <v>989</v>
      </c>
      <c r="B343" s="2271"/>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0" t="s">
        <v>960</v>
      </c>
      <c r="B345" s="226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7640</v>
      </c>
      <c r="F349" s="1573"/>
      <c r="G349" s="1573"/>
      <c r="H349" s="1573"/>
      <c r="I349" s="1574"/>
      <c r="J349" s="1574"/>
      <c r="K349" s="1672">
        <f>SUM(C349:J349)</f>
        <v>7640</v>
      </c>
      <c r="L349" s="1573">
        <v>7500</v>
      </c>
    </row>
    <row r="350" spans="1:14" ht="12.75" customHeight="1" thickBot="1" x14ac:dyDescent="0.25">
      <c r="A350" s="1380" t="s">
        <v>714</v>
      </c>
      <c r="B350" s="1381" t="s">
        <v>35</v>
      </c>
      <c r="C350" s="1674">
        <f>SUM(C348:C349)</f>
        <v>0</v>
      </c>
      <c r="D350" s="1674">
        <f t="shared" ref="D350:L350" si="26">SUM(D348:D349)</f>
        <v>0</v>
      </c>
      <c r="E350" s="1674">
        <f t="shared" si="26"/>
        <v>7640</v>
      </c>
      <c r="F350" s="1674">
        <f t="shared" si="26"/>
        <v>0</v>
      </c>
      <c r="G350" s="1674">
        <f t="shared" si="26"/>
        <v>0</v>
      </c>
      <c r="H350" s="1674">
        <f t="shared" si="26"/>
        <v>0</v>
      </c>
      <c r="I350" s="1674">
        <f t="shared" si="26"/>
        <v>0</v>
      </c>
      <c r="J350" s="1674">
        <f t="shared" si="26"/>
        <v>0</v>
      </c>
      <c r="K350" s="1674">
        <f t="shared" si="26"/>
        <v>7640</v>
      </c>
      <c r="L350" s="1674">
        <f t="shared" si="26"/>
        <v>7500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7640</v>
      </c>
      <c r="F352" s="1674">
        <f t="shared" si="27"/>
        <v>0</v>
      </c>
      <c r="G352" s="1674">
        <f t="shared" si="27"/>
        <v>0</v>
      </c>
      <c r="H352" s="1674">
        <f t="shared" si="27"/>
        <v>0</v>
      </c>
      <c r="I352" s="1674">
        <f t="shared" si="27"/>
        <v>0</v>
      </c>
      <c r="J352" s="1674">
        <f t="shared" si="27"/>
        <v>0</v>
      </c>
      <c r="K352" s="1674">
        <f t="shared" si="27"/>
        <v>7640</v>
      </c>
      <c r="L352" s="1674">
        <f t="shared" si="27"/>
        <v>7500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7640</v>
      </c>
      <c r="F367" s="1674">
        <f t="shared" si="28"/>
        <v>0</v>
      </c>
      <c r="G367" s="1674">
        <f t="shared" si="28"/>
        <v>0</v>
      </c>
      <c r="H367" s="1674">
        <f t="shared" si="28"/>
        <v>0</v>
      </c>
      <c r="I367" s="1674">
        <f t="shared" si="28"/>
        <v>0</v>
      </c>
      <c r="J367" s="1674">
        <f t="shared" si="28"/>
        <v>0</v>
      </c>
      <c r="K367" s="1674">
        <f t="shared" si="28"/>
        <v>7640</v>
      </c>
      <c r="L367" s="1674">
        <f t="shared" si="28"/>
        <v>7500</v>
      </c>
    </row>
    <row r="368" spans="1:14" ht="13.5" thickTop="1" x14ac:dyDescent="0.2">
      <c r="A368" s="2257" t="s">
        <v>989</v>
      </c>
      <c r="B368" s="2258"/>
      <c r="C368" s="1694"/>
      <c r="D368" s="1694"/>
      <c r="E368" s="1677"/>
      <c r="F368" s="1677"/>
      <c r="G368" s="1677"/>
      <c r="H368" s="1677"/>
      <c r="I368" s="1677"/>
      <c r="J368" s="1676"/>
      <c r="K368" s="1672">
        <f>'Revenues 9-14'!K268-'Expenditures 15-22'!K367</f>
        <v>-1450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1" top="0.75" bottom="0.39" header="0.5" footer="0.15"/>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infopath/2007/PartnerControls"/>
    <ds:schemaRef ds:uri="http://schemas.microsoft.com/sharepoint/v3"/>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4d435f69-8686-490b-bd6d-b153bf22ab50"/>
    <ds:schemaRef ds:uri="d21dc803-237d-4c68-8692-8d731fd29118"/>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2020-10-08T14:46:38Z</cp:lastPrinted>
  <dcterms:created xsi:type="dcterms:W3CDTF">2003-10-29T19:06:34Z</dcterms:created>
  <dcterms:modified xsi:type="dcterms:W3CDTF">2020-10-27T16:13:10Z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