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BC4126F-A951-4E6D-98F6-FCB0F47CF18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5" i="183" l="1"/>
  <c r="D28" i="183" l="1"/>
  <c r="D25" i="183" l="1"/>
  <c r="D23" i="183"/>
  <c r="D22" i="183"/>
  <c r="D20" i="183"/>
  <c r="J10" i="12" l="1"/>
  <c r="H5" i="12"/>
  <c r="L323" i="29"/>
  <c r="M19" i="3"/>
  <c r="N57" i="184" l="1"/>
  <c r="N67" i="184"/>
  <c r="N66" i="184"/>
  <c r="N65" i="184"/>
  <c r="N64" i="184"/>
  <c r="N62" i="184"/>
  <c r="E67" i="184" l="1"/>
  <c r="E66" i="184"/>
  <c r="E65" i="184"/>
  <c r="E64" i="184"/>
  <c r="E62" i="184"/>
  <c r="E57" i="184"/>
  <c r="E17" i="184" l="1"/>
  <c r="E16" i="184"/>
  <c r="E15" i="184"/>
  <c r="E14" i="184"/>
  <c r="E13"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4" i="184"/>
  <c r="H13"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4" i="183"/>
  <c r="E23" i="183"/>
  <c r="E22" i="183"/>
  <c r="E21" i="183"/>
  <c r="E20" i="183"/>
  <c r="E19" i="183"/>
  <c r="E18" i="183"/>
  <c r="F18" i="183" s="1"/>
  <c r="F17" i="183"/>
  <c r="E17" i="183"/>
  <c r="D7887" i="106" l="1"/>
  <c r="D7886" i="106"/>
  <c r="B7887" i="106"/>
  <c r="B7886" i="106"/>
  <c r="F76" i="34"/>
  <c r="F75" i="34"/>
  <c r="B3674" i="106" l="1"/>
  <c r="B3635" i="106"/>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19" i="184" l="1"/>
  <c r="H15" i="184"/>
  <c r="B7180" i="106"/>
  <c r="D7180" i="106" s="1"/>
  <c r="E63" i="184"/>
  <c r="N63" i="184" s="1"/>
  <c r="B7162" i="106"/>
  <c r="D7162" i="106" s="1"/>
  <c r="E61" i="184"/>
  <c r="N61" i="184" s="1"/>
  <c r="B7153" i="106"/>
  <c r="D7153" i="106" s="1"/>
  <c r="E60" i="184"/>
  <c r="N60" i="184" s="1"/>
  <c r="B7135" i="106"/>
  <c r="D7135" i="106" s="1"/>
  <c r="E58" i="184"/>
  <c r="G30" i="108"/>
  <c r="H12" i="184"/>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41" i="108" l="1"/>
  <c r="G43" i="108" s="1"/>
  <c r="H19" i="184"/>
  <c r="L20" i="184" s="1"/>
  <c r="L16" i="11"/>
  <c r="B2061" i="106" s="1"/>
  <c r="D2061" i="106" s="1"/>
  <c r="B2031" i="106"/>
  <c r="D2031" i="106" s="1"/>
  <c r="K342" i="29"/>
  <c r="F13" i="34" s="1"/>
  <c r="N58" i="184"/>
  <c r="N68" i="184" s="1"/>
  <c r="E68" i="184"/>
  <c r="B1381" i="106"/>
  <c r="D1381"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20"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<sst xmlns="http://schemas.openxmlformats.org/spreadsheetml/2006/main" count="5188" uniqueCount="2096">
  <si>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</si>
  <si>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</si>
  <si>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</si>
  <si>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</si>
  <si>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</si>
  <si>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</si>
  <si>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</si>
  <si>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</si>
  <si>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</si>
  <si>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</si>
  <si>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</si>
  <si>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</si>
  <si>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</si>
  <si>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</si>
  <si>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</si>
  <si>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</si>
  <si>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</si>
  <si>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</si>
  <si>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</si>
  <si>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</si>
  <si>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</si>
  <si>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</si>
  <si>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</si>
  <si>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</si>
  <si>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</si>
  <si>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</si>
  <si>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</si>
  <si>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</si>
  <si>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</si>
  <si>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</si>
  <si>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</si>
  <si>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</si>
  <si>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</si>
  <si>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</si>
  <si>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</si>
  <si>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</si>
  <si>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</si>
  <si>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</si>
  <si>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</si>
  <si>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</si>
  <si>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</si>
  <si>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</si>
  <si>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</si>
  <si>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</si>
  <si>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</si>
  <si>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</si>
  <si>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</si>
  <si>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</si>
  <si>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</si>
  <si>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</si>
  <si>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</si>
  <si>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</si>
  <si>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</si>
  <si>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</si>
  <si>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</si>
  <si>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</si>
  <si>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</si>
  <si>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</si>
  <si>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</si>
  <si>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</si>
  <si>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</si>
  <si>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</si>
  <si>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</si>
  <si>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</si>
  <si>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</si>
  <si>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</si>
  <si>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</si>
  <si>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</si>
  <si>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</si>
  <si>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</si>
  <si>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</si>
  <si>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</si>
  <si>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</si>
  <si>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</si>
  <si>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</si>
  <si>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</si>
  <si>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</si>
  <si>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</si>
  <si>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</si>
  <si>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</si>
  <si>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</si>
  <si>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</si>
  <si>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</si>
  <si>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</si>
  <si>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</si>
  <si>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</si>
  <si>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</si>
  <si>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</si>
  <si>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</si>
  <si>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</si>
  <si>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</si>
  <si>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</si>
  <si>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</si>
  <si>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</si>
  <si>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</si>
  <si>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</si>
  <si>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</si>
  <si>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</si>
  <si>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</si>
  <si>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</si>
  <si>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</si>
  <si>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</si>
  <si>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</si>
  <si>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</si>
  <si>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</si>
  <si>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</si>
  <si>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</si>
  <si>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</si>
  <si>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</si>
  <si>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</si>
  <si>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</si>
  <si>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</si>
  <si>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</si>
  <si>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</si>
  <si>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</si>
  <si>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</si>
  <si>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</si>
  <si>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</si>
  <si>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</si>
  <si>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</si>
  <si>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</si>
  <si>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</si>
  <si>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</si>
  <si>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</si>
  <si>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</si>
  <si>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</si>
  <si>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</si>
  <si>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</si>
  <si>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</si>
  <si>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</si>
  <si>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</si>
  <si>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</si>
  <si>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</si>
  <si>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</si>
  <si>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</si>
  <si>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</si>
  <si>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</si>
  <si>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</si>
  <si>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</si>
  <si>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</si>
  <si>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</si>
  <si>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</si>
  <si>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</si>
  <si>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</si>
  <si>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</si>
  <si>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</si>
  <si>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</si>
  <si>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</si>
  <si>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</si>
  <si>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</si>
  <si>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</si>
  <si>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</si>
  <si>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</si>
  <si>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</si>
  <si>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</si>
  <si>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</si>
  <si>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</si>
  <si>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</si>
  <si>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</si>
  <si>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</si>
  <si>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</si>
  <si>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</si>
  <si>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</si>
  <si>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</si>
  <si>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</si>
  <si>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</si>
  <si>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</si>
  <si>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</si>
  <si>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</si>
  <si>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</si>
  <si>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</si>
  <si>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</si>
  <si>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</si>
  <si>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</si>
  <si>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</si>
  <si>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</si>
  <si>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</si>
  <si>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</si>
  <si>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</si>
  <si>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</si>
  <si>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</si>
  <si>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</si>
  <si>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</si>
  <si>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</si>
  <si>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</si>
  <si>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</si>
  <si>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</si>
  <si>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</si>
  <si>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</si>
  <si>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</si>
  <si>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</si>
  <si>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</si>
  <si>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</si>
  <si>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</si>
  <si>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</si>
  <si>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</si>
  <si>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</si>
  <si>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</si>
  <si>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</si>
  <si>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</si>
  <si>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</si>
  <si>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</si>
  <si>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</si>
  <si>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</si>
  <si>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</si>
  <si>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</si>
  <si>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</si>
  <si>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</si>
  <si>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</si>
  <si>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</si>
  <si>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</si>
  <si>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</si>
  <si>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</si>
  <si>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</si>
  <si>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</si>
  <si>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</si>
  <si>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</si>
  <si>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</si>
  <si>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</si>
  <si>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</si>
  <si>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</si>
  <si>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</si>
  <si>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</si>
  <si>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</si>
  <si>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</si>
  <si>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</si>
  <si>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</si>
  <si>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</si>
  <si>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</si>
  <si>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</si>
  <si>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</si>
  <si>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</si>
  <si>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</si>
  <si>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</si>
  <si>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</si>
  <si>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</si>
  <si>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</si>
  <si>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</si>
  <si>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</si>
  <si>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</si>
  <si>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</si>
  <si>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</si>
  <si>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</si>
  <si>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</si>
  <si>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</si>
  <si>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</si>
  <si>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</si>
  <si>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</si>
  <si>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</si>
  <si>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</si>
  <si>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</si>
  <si>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</si>
  <si>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</si>
  <si>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</si>
  <si>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</si>
  <si>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</si>
  <si>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</si>
  <si>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</si>
  <si>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</si>
  <si>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</si>
  <si>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</si>
  <si>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</si>
  <si>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</si>
  <si>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</si>
  <si>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</si>
  <si>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</si>
  <si>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</si>
  <si>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</si>
  <si>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</si>
  <si>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</si>
  <si>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</si>
  <si>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</si>
  <si>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</si>
  <si>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</si>
  <si>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</si>
  <si>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</si>
  <si>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</si>
  <si>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</si>
  <si>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</si>
  <si>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</si>
  <si>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</si>
  <si>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</si>
  <si>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</si>
  <si>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</si>
  <si>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</si>
  <si>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</si>
  <si>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</si>
  <si>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</si>
  <si>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</si>
  <si>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</si>
  <si>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</si>
  <si>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</si>
  <si>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</si>
  <si>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</si>
  <si>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</si>
  <si>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</si>
  <si>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</si>
  <si>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</si>
  <si>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</si>
  <si>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</si>
  <si>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</si>
  <si>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</si>
  <si>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</si>
  <si>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</si>
  <si>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</si>
  <si>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</si>
  <si>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</si>
  <si>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</si>
  <si>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</si>
  <si>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</si>
  <si>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</si>
  <si>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</si>
  <si>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</si>
  <si>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</si>
  <si>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</si>
  <si>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</si>
  <si>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</si>
  <si>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</si>
  <si>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</si>
  <si>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</si>
  <si>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</si>
  <si>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</si>
  <si>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</si>
  <si>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</si>
  <si>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</si>
  <si>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</si>
  <si>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</si>
  <si>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</si>
  <si>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</si>
  <si>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</si>
  <si>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</si>
  <si>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</si>
  <si>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</si>
  <si>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</si>
  <si>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</si>
  <si>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</si>
  <si>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</si>
  <si>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</si>
  <si>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</si>
  <si>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</si>
  <si>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</si>
  <si>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</si>
  <si>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</si>
  <si>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</si>
  <si>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</si>
  <si>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</si>
  <si>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</si>
  <si>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</si>
  <si>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</si>
  <si>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</si>
  <si>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</si>
  <si>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</si>
  <si>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</si>
  <si>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</si>
  <si>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</si>
  <si>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</si>
  <si>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</si>
  <si>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</si>
  <si>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</si>
  <si>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</si>
  <si>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</si>
  <si>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</si>
  <si>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</si>
  <si>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</si>
  <si>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</si>
  <si>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</si>
  <si>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</si>
  <si>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</si>
  <si>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</si>
  <si>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</si>
  <si>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</si>
  <si>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</si>
  <si>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</si>
  <si>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</si>
  <si>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</si>
  <si>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</si>
  <si>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</si>
  <si>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</si>
  <si>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</si>
  <si>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</si>
  <si>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</si>
  <si>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</si>
  <si>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</si>
  <si>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</si>
  <si>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</si>
  <si>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</si>
  <si>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</si>
  <si>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</si>
  <si>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</si>
  <si>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</si>
  <si>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</si>
  <si>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</si>
  <si>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</si>
  <si>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</si>
  <si>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</si>
  <si>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</si>
  <si>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</si>
  <si>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</si>
  <si>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</si>
  <si>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</si>
  <si>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</si>
  <si>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</si>
  <si>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</si>
  <si>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</si>
  <si>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</si>
  <si>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</si>
  <si>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</si>
  <si>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</si>
  <si>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</si>
  <si>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</si>
  <si>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</si>
  <si>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</si>
  <si>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</si>
  <si>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</si>
  <si>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</si>
  <si>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</si>
  <si>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</si>
  <si>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</si>
  <si>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</si>
  <si>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</si>
  <si>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</si>
  <si>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</si>
  <si>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</si>
  <si>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</si>
  <si>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</si>
  <si>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</si>
  <si>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</si>
  <si>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</si>
  <si>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</si>
  <si>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</si>
  <si>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</si>
  <si>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</si>
  <si>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</si>
  <si>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</si>
  <si>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</si>
  <si>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</si>
  <si>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</si>
  <si>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</si>
  <si>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</si>
  <si>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</si>
  <si>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</si>
  <si>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</si>
  <si>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</si>
  <si>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</si>
  <si>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</si>
  <si>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</si>
  <si>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</si>
  <si>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</si>
  <si>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</si>
  <si>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</si>
  <si>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</si>
  <si>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</si>
  <si>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</si>
  <si>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</si>
  <si>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</si>
  <si>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</si>
  <si>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</si>
  <si>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</si>
  <si>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</si>
  <si>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</si>
  <si>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</si>
  <si>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</si>
  <si>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</si>
  <si>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</si>
  <si>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</si>
  <si>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</si>
  <si>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</si>
  <si>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</si>
  <si>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</si>
  <si>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</si>
  <si>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</si>
  <si>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</si>
  <si>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</si>
  <si>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</si>
  <si>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</si>
  <si>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</si>
  <si>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</si>
  <si>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</si>
  <si>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</si>
  <si>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</si>
  <si>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</si>
  <si>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</si>
  <si>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</si>
  <si>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</si>
  <si>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</si>
  <si>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</si>
  <si>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</si>
  <si>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</si>
  <si>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</si>
  <si>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</si>
  <si>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</si>
  <si>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</si>
  <si>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</si>
  <si>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</si>
  <si>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</si>
  <si>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</si>
  <si>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</si>
  <si>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</si>
  <si>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</si>
  <si>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</si>
  <si>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</si>
  <si>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</si>
  <si>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</si>
  <si>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</si>
  <si>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</si>
  <si>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</si>
  <si>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</si>
  <si>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</si>
  <si>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</si>
  <si>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</si>
  <si>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</si>
  <si>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</si>
  <si>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</si>
  <si>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</si>
  <si>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</si>
  <si>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</si>
  <si>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</si>
  <si>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</si>
  <si>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</si>
  <si>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</si>
  <si>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</si>
  <si>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</si>
  <si>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</si>
  <si>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</si>
  <si>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</si>
  <si>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</si>
  <si>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</si>
  <si>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</si>
  <si>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</si>
  <si>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</si>
  <si>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</si>
  <si>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</si>
  <si>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</si>
  <si>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</si>
  <si>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</si>
  <si>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</si>
  <si>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</si>
  <si>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</si>
  <si>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</si>
  <si>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</si>
  <si>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</si>
  <si>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</si>
  <si>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</si>
  <si>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</si>
  <si>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</si>
  <si>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</si>
  <si>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</si>
  <si>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</si>
  <si>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</si>
  <si>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</si>
  <si>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</si>
  <si>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</si>
  <si>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</si>
  <si>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</si>
  <si>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</si>
  <si>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</si>
  <si>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</si>
  <si>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</si>
  <si>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</si>
  <si>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</si>
  <si>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</si>
  <si>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</si>
  <si>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</si>
  <si>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</si>
  <si>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</si>
  <si>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</si>
  <si>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</si>
  <si>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</si>
  <si>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</si>
  <si>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</si>
  <si>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</si>
  <si>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</si>
  <si>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</si>
  <si>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</si>
  <si>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</si>
  <si>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</si>
  <si>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</si>
  <si>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</si>
  <si>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</si>
  <si>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</si>
  <si>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</si>
  <si>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</si>
  <si>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</si>
  <si>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</si>
  <si>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</si>
  <si>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</si>
  <si>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</si>
  <si>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</si>
  <si>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</si>
  <si>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</si>
  <si>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</si>
  <si>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</si>
  <si>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</si>
  <si>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</si>
  <si>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</si>
  <si>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</si>
  <si>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</si>
  <si>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</si>
  <si>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</si>
  <si>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</si>
  <si>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</si>
  <si>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</si>
  <si>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</si>
  <si>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</si>
  <si>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</si>
  <si>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</si>
  <si>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</si>
  <si>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</si>
  <si>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</si>
  <si>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</si>
  <si>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</si>
  <si>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</si>
  <si>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</si>
  <si>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</si>
  <si>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</si>
  <si>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</si>
  <si>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</si>
  <si>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</si>
  <si>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</si>
  <si>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</si>
  <si>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</si>
  <si>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</si>
  <si>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</si>
  <si>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</si>
  <si>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</si>
  <si>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</si>
  <si>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</si>
  <si>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</si>
  <si>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</si>
  <si>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</si>
  <si>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</si>
  <si>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</si>
  <si>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</si>
  <si>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</si>
  <si>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</si>
  <si>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</si>
  <si>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</si>
  <si>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</si>
  <si>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</si>
  <si>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</si>
  <si>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</si>
  <si>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</si>
  <si>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</si>
  <si>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</si>
  <si>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</si>
  <si>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</si>
  <si>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</si>
  <si>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</si>
  <si>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</si>
  <si>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</si>
  <si>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</si>
  <si>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</si>
  <si>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</si>
  <si>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</si>
  <si>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</si>
  <si>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</si>
  <si>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</si>
  <si>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</si>
  <si>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</si>
  <si>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</si>
  <si>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</si>
  <si>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</si>
  <si>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</si>
  <si>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</si>
  <si>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</si>
  <si>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</si>
  <si>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</si>
  <si>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</si>
  <si>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</si>
  <si>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</si>
  <si>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</si>
  <si>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</si>
  <si>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</si>
  <si>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</si>
  <si>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</si>
  <si>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</si>
  <si>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</si>
  <si>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</si>
  <si>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</si>
  <si>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</si>
  <si>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</si>
  <si>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</si>
  <si>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</si>
  <si>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</si>
  <si>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</si>
  <si>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</si>
  <si>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</si>
  <si>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</si>
  <si>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</si>
  <si>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</si>
  <si>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</si>
  <si>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</si>
  <si>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</si>
  <si>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</si>
  <si>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</si>
  <si>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</si>
  <si>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</si>
  <si>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</si>
  <si>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</si>
  <si>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</si>
  <si>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</si>
  <si>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</si>
  <si>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</si>
  <si>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</si>
  <si>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</si>
  <si>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</si>
  <si>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</si>
  <si>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</si>
  <si>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</si>
  <si>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</si>
  <si>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</si>
  <si>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</si>
  <si>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</si>
  <si>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</si>
  <si>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</si>
  <si>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</si>
  <si>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</si>
  <si>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</si>
  <si>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</si>
  <si>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</si>
  <si>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</si>
  <si>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</si>
  <si>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</si>
  <si>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</si>
  <si>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</si>
  <si>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</si>
  <si>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</si>
  <si>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</si>
  <si>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</si>
  <si>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</si>
  <si>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</si>
  <si>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</si>
  <si>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</si>
  <si>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</si>
  <si>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</si>
  <si>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</si>
  <si>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</si>
  <si>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</si>
  <si>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</si>
  <si>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</si>
  <si>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</si>
  <si>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</si>
  <si>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</si>
  <si>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</si>
  <si>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</si>
  <si>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</si>
  <si>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</si>
  <si>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</si>
  <si>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</si>
  <si>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</si>
  <si>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</si>
  <si>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</si>
  <si>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</si>
  <si>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</si>
  <si>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</si>
  <si>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</si>
  <si>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</si>
  <si>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</si>
  <si>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</si>
  <si>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</si>
  <si>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</si>
  <si>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</si>
  <si>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</si>
  <si>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</si>
  <si>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</si>
  <si>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</si>
  <si>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</si>
  <si>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</si>
  <si>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</si>
  <si>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</si>
  <si>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</si>
  <si>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</si>
  <si>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</si>
  <si>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</si>
  <si>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</si>
  <si>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</si>
  <si>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</si>
  <si>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</si>
  <si>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</si>
  <si>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</si>
  <si>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</si>
  <si>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</si>
  <si>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</si>
  <si>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</si>
  <si>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</si>
  <si>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</si>
  <si>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</si>
  <si>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</si>
  <si>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</si>
  <si>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</si>
  <si>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</si>
  <si>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</si>
  <si>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</si>
  <si>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</si>
  <si>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</si>
  <si>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</si>
  <si>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</si>
  <si>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</si>
  <si>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</si>
  <si>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</si>
  <si>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</si>
  <si>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</si>
  <si>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</si>
  <si>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</si>
  <si>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</si>
  <si>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</si>
  <si>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</si>
  <si>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</si>
  <si>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</si>
  <si>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</si>
  <si>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</si>
  <si>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</si>
  <si>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</si>
  <si>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</si>
  <si>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</si>
  <si>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</si>
  <si>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</si>
  <si>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</si>
  <si>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</si>
  <si>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</si>
  <si>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</si>
  <si>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</si>
  <si>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</si>
  <si>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</si>
  <si>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</si>
  <si>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</si>
  <si>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</si>
  <si>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</si>
  <si>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</si>
  <si>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</si>
  <si>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</si>
  <si>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</si>
  <si>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</si>
  <si>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</si>
  <si>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</si>
  <si>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</si>
  <si>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</si>
  <si>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</si>
  <si>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</si>
  <si>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</si>
  <si>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</si>
  <si>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</si>
  <si>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</si>
  <si>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</si>
  <si>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</si>
  <si>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</si>
  <si>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</si>
  <si>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</si>
  <si>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</si>
  <si>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</si>
  <si>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</si>
  <si>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</si>
  <si>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</si>
  <si>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</si>
  <si>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</si>
  <si>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</si>
  <si>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</si>
  <si>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</si>
  <si>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</si>
  <si>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</si>
  <si>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</si>
  <si>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</si>
  <si>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</si>
  <si>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</si>
  <si>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</si>
  <si>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</si>
  <si>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</si>
  <si>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</si>
  <si>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</si>
  <si>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</si>
  <si>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</si>
  <si>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</si>
  <si>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</si>
  <si>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</si>
  <si>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</si>
  <si>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</si>
  <si>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</si>
  <si>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</si>
  <si>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</si>
  <si>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</si>
  <si>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</si>
  <si>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</si>
  <si>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</si>
  <si>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</si>
  <si>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</si>
  <si>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</si>
  <si>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</si>
  <si>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</si>
  <si>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</si>
  <si>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</si>
  <si>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</si>
  <si>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</si>
  <si>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</si>
  <si>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</si>
  <si>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</si>
  <si>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</si>
  <si>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</si>
  <si>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</si>
  <si>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</si>
  <si>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</si>
  <si>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</si>
  <si>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</si>
  <si>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</si>
  <si>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</si>
  <si>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</si>
  <si>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</si>
  <si>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</si>
  <si>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</si>
  <si>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</si>
  <si>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</si>
  <si>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</si>
  <si>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</si>
  <si>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</si>
  <si>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</si>
  <si>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</si>
  <si>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</si>
  <si>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</si>
  <si>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</si>
  <si>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</si>
  <si>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</si>
  <si>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</si>
  <si>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</si>
  <si>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</si>
  <si>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</si>
  <si>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</si>
  <si>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</si>
  <si>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</si>
  <si>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</si>
  <si>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</si>
  <si>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</si>
  <si>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</si>
  <si>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</si>
  <si>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</si>
  <si>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</si>
  <si>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</si>
  <si>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</si>
  <si>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</si>
  <si>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</si>
  <si>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</si>
  <si>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</si>
  <si>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</si>
  <si>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</si>
  <si>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</si>
  <si>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</si>
  <si>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</si>
  <si>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</si>
  <si>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</si>
  <si>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</si>
  <si>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</si>
  <si>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</si>
  <si>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</si>
  <si>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</si>
  <si>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</si>
  <si>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</si>
  <si>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</si>
  <si>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</si>
  <si>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</si>
  <si>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</si>
  <si>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</si>
  <si>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</si>
  <si>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</si>
  <si>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</si>
  <si>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</si>
  <si>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</si>
  <si>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</si>
  <si>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</si>
  <si>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</si>
  <si>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</si>
  <si>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</si>
  <si>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</si>
  <si>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</si>
  <si>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</si>
  <si>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</si>
  <si>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</si>
  <si>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</si>
  <si>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</si>
  <si>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</si>
  <si>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</si>
  <si>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</si>
  <si>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</si>
  <si>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</si>
  <si>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</si>
  <si>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</si>
  <si>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</si>
  <si>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</si>
  <si>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</si>
  <si>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</si>
  <si>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</si>
  <si>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</si>
  <si>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</si>
  <si>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</si>
  <si>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</si>
  <si>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</si>
  <si>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</si>
  <si>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</si>
  <si>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</si>
  <si>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</si>
  <si>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</si>
  <si>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</si>
  <si>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</si>
  <si>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</si>
  <si>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</si>
  <si>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</si>
  <si>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</si>
  <si>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</si>
  <si>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</si>
  <si>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</si>
  <si>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</si>
  <si>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</si>
  <si>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</si>
  <si>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</si>
  <si>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</si>
  <si>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</si>
  <si>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</si>
  <si>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</si>
  <si>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</si>
  <si>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</si>
  <si>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</si>
  <si>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</si>
  <si>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</si>
  <si>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</si>
  <si>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</si>
  <si>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</si>
  <si>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</si>
  <si>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</si>
  <si>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</si>
  <si>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</si>
  <si>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</si>
  <si>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</si>
  <si>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</si>
  <si>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</si>
  <si>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</si>
  <si>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</si>
  <si>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</si>
  <si>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</si>
  <si>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</si>
  <si>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</si>
  <si>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</si>
  <si>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</si>
  <si>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</si>
  <si>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</si>
  <si>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</si>
  <si>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</si>
  <si>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</si>
  <si>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</si>
  <si>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</si>
  <si>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</si>
  <si>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</si>
  <si>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</si>
  <si>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</si>
  <si>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</si>
  <si>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</si>
  <si>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</si>
  <si>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</si>
  <si>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</si>
  <si>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</si>
  <si>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</si>
  <si>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</si>
  <si>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</si>
  <si>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</si>
  <si>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</si>
  <si>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</si>
  <si>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</si>
  <si>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</si>
  <si>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</si>
  <si>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</si>
  <si>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</si>
  <si>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</si>
  <si>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</si>
  <si>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</si>
  <si>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</si>
  <si>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</si>
  <si>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</si>
  <si>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</si>
  <si>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</si>
  <si>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</si>
  <si>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</si>
  <si>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</si>
  <si>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</si>
  <si>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</si>
  <si>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</si>
  <si>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</si>
  <si>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</si>
  <si>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</si>
  <si>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</si>
  <si>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</si>
  <si>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</si>
  <si>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</si>
  <si>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</si>
  <si>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</si>
  <si>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</si>
  <si>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</si>
  <si>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</si>
  <si>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</si>
  <si>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</si>
  <si>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</si>
  <si>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</si>
  <si>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</si>
  <si>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</si>
  <si>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</si>
  <si>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</si>
  <si>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</si>
  <si>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</si>
  <si>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</si>
  <si>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</si>
  <si>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</si>
  <si>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</si>
  <si>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</si>
  <si>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</si>
  <si>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</si>
  <si>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</si>
  <si>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</si>
  <si>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</si>
  <si>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</si>
  <si>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</si>
  <si>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</si>
  <si>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</si>
  <si>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</si>
  <si>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</si>
  <si>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</si>
  <si>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</si>
  <si>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</si>
  <si>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</si>
  <si>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</si>
  <si>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</si>
  <si>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</si>
  <si>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</si>
  <si>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</si>
  <si>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</si>
  <si>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</si>
  <si>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</si>
  <si>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</si>
  <si>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</si>
  <si>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</si>
  <si>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</si>
  <si>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</si>
  <si>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</si>
  <si>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</si>
  <si>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</si>
  <si>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</si>
  <si>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</si>
  <si>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</si>
  <si>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</si>
  <si>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</si>
  <si>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</si>
  <si>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</si>
  <si>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</si>
  <si>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</si>
  <si>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</si>
  <si>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</si>
  <si>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</si>
  <si>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</si>
  <si>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</si>
  <si>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</si>
  <si>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</si>
  <si>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</si>
  <si>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</si>
  <si>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</si>
  <si>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</si>
  <si>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</si>
  <si>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</si>
  <si>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</si>
  <si>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</si>
  <si>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</si>
  <si>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</si>
  <si>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</si>
  <si>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</si>
  <si>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</si>
  <si>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</si>
  <si>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</si>
  <si>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</si>
  <si>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</si>
  <si>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</si>
  <si>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</si>
  <si>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</si>
  <si>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</si>
  <si>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</si>
  <si>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</si>
  <si>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</si>
  <si>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</si>
  <si>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</si>
  <si>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</si>
  <si>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</si>
  <si>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</si>
  <si>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</si>
  <si>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</si>
  <si>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</si>
  <si>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</si>
  <si>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</si>
  <si>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</si>
  <si>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</si>
  <si>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</si>
  <si>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</si>
  <si>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</si>
  <si>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</si>
  <si>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</si>
  <si>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</si>
  <si>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</si>
  <si>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</si>
  <si>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</si>
  <si>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</si>
  <si>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</si>
  <si>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</si>
  <si>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</si>
  <si>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</si>
  <si>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</si>
  <si>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</si>
  <si>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</si>
  <si>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</si>
  <si>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</si>
  <si>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</si>
  <si>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</si>
  <si>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</si>
  <si>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</si>
  <si>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</si>
  <si>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</si>
  <si>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</si>
  <si>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</si>
  <si>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</si>
  <si>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</si>
  <si>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</si>
  <si>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</si>
  <si>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</si>
  <si>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</si>
  <si>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</si>
  <si>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</si>
  <si>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</si>
  <si>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</si>
  <si>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</si>
  <si>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</si>
  <si>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</si>
  <si>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</si>
  <si>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</si>
  <si>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</si>
  <si>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</si>
  <si>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</si>
  <si>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</si>
  <si>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</si>
  <si>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</si>
  <si>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</si>
  <si>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</si>
  <si>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</si>
  <si>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</si>
  <si>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</si>
  <si>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</si>
  <si>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</si>
  <si>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</si>
  <si>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</si>
  <si>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</si>
  <si>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</si>
  <si>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</si>
  <si>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</si>
  <si>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</si>
  <si>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</si>
  <si>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</si>
  <si>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</si>
  <si>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</si>
  <si>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</si>
  <si>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</si>
  <si>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</si>
  <si>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</si>
  <si>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</si>
  <si>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</si>
  <si>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</si>
  <si>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</si>
  <si>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</si>
  <si>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</si>
  <si>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</si>
  <si>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</si>
  <si>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</si>
  <si>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</si>
  <si>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</si>
  <si>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</si>
  <si>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</si>
  <si>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</si>
  <si>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</si>
  <si>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</si>
  <si>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</si>
  <si>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</si>
  <si>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</si>
  <si>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</si>
  <si>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</si>
  <si>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</si>
  <si>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</si>
  <si>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</si>
  <si>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</si>
  <si>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</si>
  <si>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</si>
  <si>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</si>
  <si>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</si>
  <si>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</si>
  <si>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</si>
  <si>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</si>
  <si>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</si>
  <si>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</si>
  <si>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</si>
  <si>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</si>
  <si>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</si>
  <si>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</si>
  <si>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</si>
  <si>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</si>
  <si>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</si>
  <si>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</si>
  <si>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</si>
  <si>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</si>
  <si>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</si>
  <si>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</si>
  <si>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</si>
  <si>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</si>
  <si>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</si>
  <si>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</si>
  <si>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</si>
  <si>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</si>
  <si>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</si>
  <si>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</si>
  <si>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</si>
  <si>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</si>
  <si>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</si>
  <si>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</si>
  <si>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</si>
  <si>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</si>
  <si>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</si>
  <si>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</si>
  <si>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</si>
  <si>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</si>
  <si>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</si>
  <si>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</si>
  <si>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</si>
  <si>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</si>
  <si>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</si>
  <si>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</si>
  <si>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</si>
  <si>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</si>
  <si>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</si>
  <si>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</si>
  <si>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</si>
  <si>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</si>
  <si>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</si>
  <si>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</si>
  <si>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</si>
  <si>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</si>
  <si>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</si>
  <si>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</si>
  <si>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</si>
  <si>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</si>
  <si>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</si>
  <si>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</si>
  <si>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</si>
  <si>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</si>
  <si>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</si>
  <si>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</si>
  <si>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</si>
  <si>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</si>
  <si>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</si>
  <si>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</si>
  <si>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</si>
  <si>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</si>
  <si>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</si>
  <si>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</si>
  <si>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</si>
  <si>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</si>
  <si>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</si>
  <si>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</si>
  <si>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</si>
  <si>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</si>
  <si>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</si>
  <si>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</si>
  <si>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</si>
  <si>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</si>
  <si>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</si>
  <si>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</si>
  <si>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</si>
  <si>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</si>
  <si>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</si>
  <si>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</si>
  <si>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</si>
  <si>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</si>
  <si>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</si>
  <si>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</si>
  <si>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</si>
  <si>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</si>
  <si>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</si>
  <si>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</si>
  <si>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</si>
  <si>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</si>
  <si>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</si>
  <si>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</si>
  <si>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</si>
  <si>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</si>
  <si>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</si>
  <si>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</si>
  <si>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</si>
  <si>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</si>
  <si>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</si>
  <si>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</si>
  <si>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</si>
  <si>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</si>
  <si>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</si>
  <si>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</si>
  <si>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</si>
  <si>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</si>
  <si>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</si>
  <si>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</si>
  <si>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</si>
  <si>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</si>
  <si>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</si>
  <si>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</si>
  <si>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</si>
  <si>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</si>
  <si>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</si>
  <si>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</si>
  <si>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</si>
  <si>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</si>
  <si>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</si>
  <si>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</si>
  <si>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</si>
  <si>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</si>
  <si>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</si>
  <si>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</si>
  <si>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</si>
  <si>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</si>
  <si>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</si>
  <si>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</si>
  <si>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</si>
  <si>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</si>
  <si>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</si>
  <si>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</si>
  <si>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</si>
  <si>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</si>
  <si>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</si>
  <si>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</si>
  <si>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</si>
  <si>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</si>
  <si>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</si>
  <si>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</si>
  <si>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</si>
  <si>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</si>
  <si>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</si>
  <si>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</si>
  <si>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</si>
  <si>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</si>
  <si>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</si>
  <si>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</si>
  <si>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</si>
  <si>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</si>
  <si>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</si>
  <si>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</si>
  <si>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</si>
  <si>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</si>
  <si>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</si>
  <si>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</si>
  <si>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</si>
  <si>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</si>
  <si>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</si>
  <si>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</si>
  <si>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</si>
  <si>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</si>
  <si>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</si>
  <si>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</si>
  <si>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</si>
  <si>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</si>
  <si>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</si>
  <si>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</si>
  <si>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</si>
  <si>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</si>
  <si>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</si>
  <si>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</si>
  <si>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</si>
  <si>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</si>
  <si>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</si>
  <si>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</si>
  <si>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</si>
  <si>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</si>
  <si>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</si>
  <si>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</si>
  <si>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</si>
  <si>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</si>
  <si>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</si>
  <si>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</si>
  <si>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</si>
  <si>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</si>
  <si>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</si>
  <si>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</si>
  <si>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</si>
  <si>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</si>
  <si>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</si>
  <si>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</si>
  <si>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</si>
  <si>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</si>
  <si>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</si>
  <si>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</si>
  <si>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</si>
  <si>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</si>
  <si>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</si>
  <si>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</si>
  <si>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</si>
  <si>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</si>
  <si>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</si>
  <si>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</si>
  <si>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</si>
  <si>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</si>
  <si>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</si>
  <si>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</si>
  <si>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</si>
  <si>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</si>
  <si>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</si>
  <si>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</si>
  <si>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</si>
  <si>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</si>
  <si>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</si>
  <si>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</si>
  <si>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</si>
  <si>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</si>
  <si>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</si>
  <si>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</si>
  <si>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</si>
  <si>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</si>
  <si>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</si>
  <si>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</si>
  <si>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</si>
  <si>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</si>
  <si>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</si>
  <si>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</si>
  <si>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</si>
  <si>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</si>
  <si>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</si>
  <si>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</si>
  <si>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</si>
  <si>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</si>
  <si>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</si>
  <si>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</si>
  <si>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</si>
  <si>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</si>
  <si>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</si>
  <si>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</si>
  <si>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</si>
  <si>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</si>
  <si>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</si>
  <si>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</si>
  <si>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</si>
  <si>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</si>
  <si>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</si>
  <si>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</si>
  <si>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</si>
  <si>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</si>
  <si>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</si>
  <si>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</si>
  <si>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</si>
  <si>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</si>
  <si>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</si>
  <si>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</si>
  <si>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</si>
  <si>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</si>
  <si>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</si>
  <si>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</si>
  <si>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</si>
  <si>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</si>
  <si>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</si>
  <si>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</si>
  <si>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</si>
  <si>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</si>
  <si>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</si>
  <si>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</si>
  <si>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</si>
  <si>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</si>
  <si>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</si>
  <si>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</si>
  <si>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</si>
  <si>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</si>
  <si>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</si>
  <si>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</si>
  <si>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</si>
  <si>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</si>
  <si>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</si>
  <si>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</si>
  <si>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</si>
  <si>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</si>
  <si>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</si>
  <si>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</si>
  <si>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</si>
  <si>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</si>
  <si>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</si>
  <si>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</si>
  <si>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</si>
  <si>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</si>
  <si>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</si>
  <si>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</si>
  <si>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</si>
  <si>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</si>
  <si>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</si>
  <si>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</si>
  <si>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</si>
  <si>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</si>
  <si>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</si>
  <si>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</si>
  <si>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</si>
  <si>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</si>
  <si>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</si>
  <si>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</si>
  <si>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</si>
  <si>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</si>
  <si>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</si>
  <si>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</si>
  <si>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</si>
  <si>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</si>
  <si>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</si>
  <si>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</si>
  <si>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</si>
  <si>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</si>
  <si>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</si>
  <si>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</si>
  <si>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</si>
  <si>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</si>
  <si>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</si>
  <si>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</si>
  <si>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</si>
  <si>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</si>
  <si>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</si>
  <si>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</si>
  <si>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</si>
  <si>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</si>
  <si>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</si>
  <si>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</si>
  <si>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</si>
  <si>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</si>
  <si>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</si>
  <si>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</si>
  <si>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</si>
  <si>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</si>
  <si>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</si>
  <si>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</si>
  <si>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</si>
  <si>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</si>
  <si>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</si>
  <si>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</si>
  <si>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</si>
  <si>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</si>
  <si>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</si>
  <si>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</si>
  <si>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</si>
  <si>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</si>
  <si>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</si>
  <si>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</si>
  <si>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</si>
  <si>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</si>
  <si>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</si>
  <si>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</si>
  <si>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</si>
  <si>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</si>
  <si>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</si>
  <si>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</si>
  <si>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</si>
  <si>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</si>
  <si>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</si>
  <si>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</si>
  <si>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</si>
  <si>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</si>
  <si>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</si>
  <si>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</si>
  <si>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</si>
  <si>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</si>
  <si>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</si>
  <si>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</si>
  <si>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</si>
  <si>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</si>
  <si>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</si>
  <si>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</si>
  <si>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</si>
  <si>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</si>
  <si>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</si>
  <si>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</si>
  <si>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</si>
  <si>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</si>
  <si>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</si>
  <si>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</si>
  <si>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</si>
  <si>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</si>
  <si>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</si>
  <si>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</si>
  <si>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</si>
  <si>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</si>
  <si>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</si>
  <si>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</si>
  <si>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</si>
  <si>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</si>
  <si>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</si>
  <si>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</si>
  <si>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</si>
  <si>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</si>
  <si>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</si>
  <si>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</si>
  <si>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</si>
  <si>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</si>
  <si>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</si>
  <si>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</si>
  <si>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</si>
  <si>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</si>
  <si>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</si>
  <si>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</si>
  <si>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</si>
  <si>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</si>
  <si>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</si>
  <si>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</si>
  <si>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</si>
  <si>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</si>
  <si>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</si>
  <si>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</si>
  <si>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</si>
  <si>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</si>
  <si>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</si>
  <si>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</si>
  <si>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</si>
  <si>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</si>
  <si>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</si>
  <si>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</si>
  <si>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</si>
  <si>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</si>
  <si>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</si>
  <si>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</si>
  <si>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</si>
  <si>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</si>
  <si>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</si>
  <si>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</si>
  <si>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</si>
  <si>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</si>
  <si>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</si>
  <si>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</si>
  <si>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</si>
  <si>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</si>
  <si>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</si>
  <si>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</si>
  <si>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</si>
  <si>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</si>
  <si>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</si>
  <si>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</si>
  <si>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</si>
  <si>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</si>
  <si>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</si>
  <si>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</si>
  <si>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</si>
  <si>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</si>
  <si>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</si>
  <si>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</si>
  <si>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</si>
  <si>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</si>
  <si>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</si>
  <si>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</si>
  <si>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</si>
  <si>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</si>
  <si>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</si>
  <si>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</si>
  <si>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</si>
  <si>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</si>
  <si>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</si>
  <si>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</si>
  <si>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</si>
  <si>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</si>
  <si>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</si>
  <si>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</si>
  <si>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</si>
  <si>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</si>
  <si>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</si>
  <si>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</si>
  <si>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</si>
  <si>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</si>
  <si>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</si>
  <si>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</si>
  <si>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</si>
  <si>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</si>
  <si>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</si>
  <si>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</si>
  <si>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</si>
  <si>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</si>
  <si>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</si>
  <si>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</si>
  <si>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</si>
  <si>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</si>
  <si>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</si>
  <si>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</si>
  <si>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</si>
  <si>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</si>
  <si>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</si>
  <si>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</si>
  <si>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</si>
  <si>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</si>
  <si>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</si>
  <si>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</si>
  <si>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</si>
  <si>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</si>
  <si>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</si>
  <si>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</si>
  <si>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</si>
  <si>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</si>
  <si>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</si>
  <si>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</si>
  <si>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</si>
  <si>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</si>
  <si>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</si>
  <si>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</si>
  <si>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</si>
  <si>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</si>
  <si>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</si>
  <si>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</si>
  <si>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</si>
  <si>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</si>
  <si>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</si>
  <si>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</si>
  <si>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</si>
  <si>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</si>
  <si>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</si>
  <si>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</si>
  <si>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</si>
  <si>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</si>
  <si>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</si>
  <si>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</si>
  <si>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</si>
  <si>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</si>
  <si>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</si>
  <si>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</si>
  <si>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</si>
  <si>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</si>
  <si>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</si>
  <si>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</si>
  <si>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</si>
  <si>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</si>
  <si>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</si>
  <si>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</si>
  <si>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</si>
  <si>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</si>
  <si>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</si>
  <si>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</si>
  <si>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</si>
  <si>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</si>
  <si>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</si>
  <si>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</si>
  <si>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</si>
  <si>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</si>
  <si>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</si>
  <si>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</si>
  <si>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</si>
  <si>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</si>
  <si>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</si>
  <si>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</si>
  <si>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</si>
  <si>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</si>
  <si>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</si>
  <si>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</si>
  <si>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</si>
  <si>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</si>
  <si>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</si>
  <si>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</si>
  <si>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</si>
  <si>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</si>
  <si>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</si>
  <si>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</si>
  <si>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</si>
  <si>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</si>
  <si>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</si>
  <si>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</si>
  <si>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</si>
  <si>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</si>
  <si>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</si>
  <si>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</si>
  <si>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</si>
  <si>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</si>
  <si>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</si>
  <si>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</si>
  <si>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</si>
  <si>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</si>
  <si>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</si>
  <si>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</si>
  <si>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</si>
  <si>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</si>
  <si>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</si>
  <si>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</si>
  <si>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</si>
  <si>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</si>
  <si>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</si>
  <si>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</si>
  <si>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</si>
  <si>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</si>
  <si>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</si>
  <si>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</si>
  <si>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</si>
  <si>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</si>
  <si>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</si>
  <si>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</si>
  <si>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</si>
  <si>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</si>
  <si>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</si>
  <si>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</si>
  <si>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</si>
  <si>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</si>
  <si>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</si>
  <si>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</si>
  <si>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</si>
  <si>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</si>
  <si>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</si>
  <si>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</si>
  <si>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</si>
  <si>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</si>
  <si>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</si>
  <si>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</si>
  <si>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</si>
  <si>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</si>
  <si>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</si>
  <si>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</si>
  <si>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</si>
  <si>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</si>
  <si>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</si>
  <si>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</si>
  <si>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</si>
  <si>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</si>
  <si>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</si>
  <si>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</si>
  <si>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</si>
  <si>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</si>
  <si>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</si>
  <si>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</si>
  <si>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</si>
  <si>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</si>
  <si>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</si>
  <si>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</si>
  <si>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</si>
  <si>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</si>
  <si>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</si>
  <si>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</si>
  <si>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</si>
  <si>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</si>
  <si>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</si>
  <si>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</si>
  <si>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</si>
  <si>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</si>
  <si>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</si>
  <si>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</si>
  <si>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</si>
  <si>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</si>
  <si>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</si>
  <si>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</si>
  <si>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</si>
  <si>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</si>
  <si>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</si>
  <si>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</si>
  <si>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</si>
  <si>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</si>
  <si>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</si>
  <si>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</si>
  <si>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</si>
  <si>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</si>
  <si>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</si>
  <si>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</si>
  <si>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</si>
  <si>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</si>
  <si>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</si>
  <si>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</si>
  <si>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</si>
  <si>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</si>
  <si>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</si>
  <si>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</si>
  <si>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</si>
  <si>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</si>
  <si>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</si>
  <si>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</si>
  <si>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</si>
  <si>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</si>
  <si>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</si>
  <si>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</si>
  <si>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</si>
  <si>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</si>
  <si>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</si>
  <si>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</si>
  <si>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</si>
  <si>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</si>
  <si>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</si>
  <si>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</si>
  <si>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</si>
  <si>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</si>
  <si>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</si>
  <si>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</si>
  <si>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</si>
  <si>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</si>
  <si>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</si>
  <si>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</si>
  <si>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</si>
  <si>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</si>
  <si>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</si>
  <si>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</si>
  <si>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</si>
  <si>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</si>
  <si>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</si>
  <si>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</si>
  <si>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</si>
  <si>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</si>
  <si>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</si>
  <si>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</si>
  <si>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</si>
  <si>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</si>
  <si>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</si>
  <si>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</si>
  <si>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</si>
  <si>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</si>
  <si>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</si>
  <si>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</si>
  <si>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</si>
  <si>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</si>
  <si>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</si>
  <si>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</si>
  <si>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</si>
  <si>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</si>
  <si>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</si>
  <si>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</si>
  <si>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</si>
  <si>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</si>
  <si>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</si>
  <si>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</si>
  <si>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</si>
  <si>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</si>
  <si>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</si>
  <si>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</si>
  <si>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</si>
  <si>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</si>
  <si>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</si>
  <si>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</si>
  <si>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</si>
  <si>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</si>
  <si>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</si>
  <si>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</si>
  <si>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</si>
  <si>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</si>
  <si>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</si>
  <si>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</si>
  <si>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</si>
  <si>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</si>
  <si>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</si>
  <si>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</si>
  <si>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</si>
  <si>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</si>
  <si>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</si>
  <si>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</si>
  <si>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</si>
  <si>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</si>
  <si>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</si>
  <si>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</si>
  <si>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</si>
  <si>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</si>
  <si>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</si>
  <si>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</si>
  <si>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</si>
  <si>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</si>
  <si>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</si>
  <si>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</si>
  <si>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</si>
  <si>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Livingston</t>
  </si>
  <si>
    <t>PO Box 290, 39 Main Street</t>
  </si>
  <si>
    <t>Saunemin, Illinois</t>
  </si>
  <si>
    <t>doughang@saunemin.org</t>
  </si>
  <si>
    <t>Gary Doughan</t>
  </si>
  <si>
    <t>815-832-4421</t>
  </si>
  <si>
    <t>Mack &amp; Associates, P.C.</t>
  </si>
  <si>
    <t>Tawnya Mack, CPA</t>
  </si>
  <si>
    <t>116 E Washington St., Suite One</t>
  </si>
  <si>
    <t>Morris</t>
  </si>
  <si>
    <t>IL</t>
  </si>
  <si>
    <t>815-942-3306</t>
  </si>
  <si>
    <t>815-942-9430</t>
  </si>
  <si>
    <t>066-005100</t>
  </si>
  <si>
    <t>tmack@mackcpas.com</t>
  </si>
  <si>
    <t>PDF in Opinion Page</t>
  </si>
  <si>
    <t>Copier Lease</t>
  </si>
  <si>
    <t>Education-Instructional - Purchased Services</t>
  </si>
  <si>
    <t>CDS Leasing</t>
  </si>
  <si>
    <t>ISCORP</t>
  </si>
  <si>
    <t>Education-Support Services - Supplies</t>
  </si>
  <si>
    <t>Skyward</t>
  </si>
  <si>
    <t>Maintenance - Support Services - Purchased Services</t>
  </si>
  <si>
    <t>Orkin</t>
  </si>
  <si>
    <t>Eggenberger Lawn Service</t>
  </si>
  <si>
    <t>AL Trost Tree Experts</t>
  </si>
  <si>
    <t>Kafer Tiling and Excavating</t>
  </si>
  <si>
    <t>Transportation-Support Services-Purchased Services</t>
  </si>
  <si>
    <t>Pontiac Grade School</t>
  </si>
  <si>
    <t>Tort-Support Services-Purchased Services</t>
  </si>
  <si>
    <t>EMC Insurance</t>
  </si>
  <si>
    <t>State National Insruance Company</t>
  </si>
  <si>
    <t>Roenfeldt and Lockas</t>
  </si>
  <si>
    <t>LaSalle County Food Cooperative</t>
  </si>
  <si>
    <t>Illinois School District Agency</t>
  </si>
  <si>
    <t>ROE #17</t>
  </si>
  <si>
    <t>Livingston County Special Services Unit</t>
  </si>
  <si>
    <t>Pontiac #429</t>
  </si>
  <si>
    <t>Page 9, Line 17, Education Fund, Payments in Lieu of Taxes</t>
  </si>
  <si>
    <t>Page 11, Line 107 Education, Misc Revenue</t>
  </si>
  <si>
    <t>Page 11, Line 107 Maintenance, Misc Revenue</t>
  </si>
  <si>
    <t>Mack &amp; Associates P.C.</t>
  </si>
  <si>
    <t>Equipment Lease/Purchase</t>
  </si>
  <si>
    <t xml:space="preserve">  Saunemin CCSD 438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</si>
</sst>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4" fontId="57" fillId="0" borderId="0" xfId="3" applyNumberFormat="1" applyFont="1" applyBorder="1" applyProtection="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17053438004</v>
      </c>
      <c r="B13" s="2102"/>
      <c r="C13" s="2102"/>
      <c r="D13" s="2102"/>
      <c r="E13" s="2102"/>
      <c r="F13" s="2102"/>
      <c r="G13" s="2102"/>
      <c r="H13" s="2103"/>
      <c r="I13" s="31"/>
      <c r="J13" s="30"/>
      <c r="K13" s="28"/>
      <c r="L13" s="30"/>
      <c r="M13" s="30"/>
      <c r="N13" s="30"/>
      <c r="O13" s="30"/>
      <c r="P13" s="30"/>
      <c r="Q13" s="30"/>
      <c r="R13" s="30"/>
      <c r="S13" s="30"/>
      <c r="T13" s="2107" t="s">
        <v>2058</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2052</v>
      </c>
      <c r="B15" s="2105"/>
      <c r="C15" s="2105"/>
      <c r="D15" s="2105"/>
      <c r="E15" s="2105"/>
      <c r="F15" s="2105"/>
      <c r="G15" s="2105"/>
      <c r="H15" s="2106"/>
      <c r="T15" s="2111" t="s">
        <v>2059</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2095</v>
      </c>
      <c r="B17" s="2075"/>
      <c r="C17" s="2075"/>
      <c r="D17" s="2075"/>
      <c r="E17" s="2075"/>
      <c r="F17" s="2075"/>
      <c r="G17" s="2075"/>
      <c r="H17" s="2100"/>
      <c r="T17" s="2118" t="s">
        <v>2060</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2053</v>
      </c>
      <c r="B19" s="2060"/>
      <c r="C19" s="2060"/>
      <c r="D19" s="2060"/>
      <c r="E19" s="2060"/>
      <c r="F19" s="2060"/>
      <c r="G19" s="2060"/>
      <c r="H19" s="2040"/>
      <c r="I19" s="30"/>
      <c r="J19" s="96"/>
      <c r="K19" s="40"/>
      <c r="L19" s="38"/>
      <c r="M19" s="109" t="s">
        <v>312</v>
      </c>
      <c r="P19" s="27"/>
      <c r="Q19" s="27"/>
      <c r="R19" s="27"/>
      <c r="S19" s="31"/>
      <c r="T19" s="2104" t="s">
        <v>2061</v>
      </c>
      <c r="U19" s="2039"/>
      <c r="V19" s="2039"/>
      <c r="W19" s="2040"/>
      <c r="X19" s="2116" t="s">
        <v>2062</v>
      </c>
      <c r="Y19" s="2117"/>
      <c r="Z19" s="2114">
        <v>60450</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2054</v>
      </c>
      <c r="B21" s="2039"/>
      <c r="C21" s="2039"/>
      <c r="D21" s="2039"/>
      <c r="E21" s="2039"/>
      <c r="F21" s="2039"/>
      <c r="G21" s="2039"/>
      <c r="H21" s="2040"/>
      <c r="I21" s="2094" t="s">
        <v>673</v>
      </c>
      <c r="J21" s="2089"/>
      <c r="K21" s="2089"/>
      <c r="L21" s="2089"/>
      <c r="M21" s="2089"/>
      <c r="N21" s="2089"/>
      <c r="O21" s="2089"/>
      <c r="P21" s="2089"/>
      <c r="Q21" s="2089"/>
      <c r="R21" s="2089"/>
      <c r="S21" s="2095"/>
      <c r="T21" s="2129" t="s">
        <v>2063</v>
      </c>
      <c r="U21" s="2130"/>
      <c r="V21" s="2130"/>
      <c r="W21" s="2130"/>
      <c r="X21" s="2135" t="s">
        <v>2064</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2055</v>
      </c>
      <c r="B23" s="2092"/>
      <c r="C23" s="2092"/>
      <c r="D23" s="2092"/>
      <c r="E23" s="2092"/>
      <c r="F23" s="2092"/>
      <c r="G23" s="2092"/>
      <c r="H23" s="2093"/>
      <c r="T23" s="2074" t="s">
        <v>2065</v>
      </c>
      <c r="U23" s="2128"/>
      <c r="V23" s="2128"/>
      <c r="W23" s="2128"/>
      <c r="X23" s="2132">
        <v>44530</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61769</v>
      </c>
      <c r="B25" s="2039"/>
      <c r="C25" s="2039"/>
      <c r="D25" s="2039"/>
      <c r="E25" s="2039"/>
      <c r="F25" s="2039"/>
      <c r="G25" s="2039"/>
      <c r="H25" s="2040"/>
      <c r="I25" s="110"/>
      <c r="J25" s="2063"/>
      <c r="K25" s="2063"/>
      <c r="L25" s="2063"/>
      <c r="M25" s="2063"/>
      <c r="N25" s="2063"/>
      <c r="O25" s="2063"/>
      <c r="P25" s="2063"/>
      <c r="Q25" s="2063"/>
      <c r="R25" s="2063"/>
      <c r="S25" s="2064"/>
      <c r="T25" s="2125" t="s">
        <v>2066</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2056</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2055</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2057</v>
      </c>
      <c r="B42" s="2058"/>
      <c r="C42" s="2059"/>
      <c r="D42" s="2057"/>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817416</v>
      </c>
      <c r="C4" s="1722"/>
      <c r="D4" s="1723">
        <f>B4-C4</f>
        <v>817416</v>
      </c>
      <c r="E4" s="1722">
        <v>819252</v>
      </c>
      <c r="F4" s="1723">
        <f>E4-C4</f>
        <v>819252</v>
      </c>
    </row>
    <row r="5" spans="1:8" ht="13.7" customHeight="1" x14ac:dyDescent="0.2">
      <c r="A5" s="579" t="s">
        <v>865</v>
      </c>
      <c r="B5" s="1724">
        <f>'Revenues 9-14'!D5</f>
        <v>104641</v>
      </c>
      <c r="C5" s="1664"/>
      <c r="D5" s="1725">
        <f t="shared" ref="D5:D18" si="0">B5-C5</f>
        <v>104641</v>
      </c>
      <c r="E5" s="1664">
        <v>91001</v>
      </c>
      <c r="F5" s="1725">
        <f>E5-C5</f>
        <v>91001</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19933</v>
      </c>
      <c r="C7" s="1664"/>
      <c r="D7" s="1725">
        <f t="shared" si="0"/>
        <v>19933</v>
      </c>
      <c r="E7" s="1664">
        <v>15002</v>
      </c>
      <c r="F7" s="1725">
        <f t="shared" si="1"/>
        <v>15002</v>
      </c>
    </row>
    <row r="8" spans="1:8" ht="13.7" customHeight="1" x14ac:dyDescent="0.2">
      <c r="A8" s="579" t="s">
        <v>1169</v>
      </c>
      <c r="B8" s="1724">
        <f>'Revenues 9-14'!G5</f>
        <v>6977</v>
      </c>
      <c r="C8" s="1664"/>
      <c r="D8" s="1725">
        <f t="shared" si="0"/>
        <v>6977</v>
      </c>
      <c r="E8" s="1664">
        <v>22002</v>
      </c>
      <c r="F8" s="1725">
        <f t="shared" si="1"/>
        <v>22002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13095</v>
      </c>
      <c r="C10" s="1664"/>
      <c r="D10" s="1725">
        <f t="shared" si="0"/>
        <v>13095</v>
      </c>
      <c r="E10" s="1664">
        <v>8003</v>
      </c>
      <c r="F10" s="1725">
        <f t="shared" si="1"/>
        <v>8003</v>
      </c>
    </row>
    <row r="11" spans="1:8" x14ac:dyDescent="0.2">
      <c r="A11" s="579" t="s">
        <v>406</v>
      </c>
      <c r="B11" s="1724">
        <f>'Revenues 9-14'!J5</f>
        <v>13955</v>
      </c>
      <c r="C11" s="1664"/>
      <c r="D11" s="1725">
        <f t="shared" si="0"/>
        <v>13955</v>
      </c>
      <c r="E11" s="1664">
        <v>22002</v>
      </c>
      <c r="F11" s="1725">
        <f t="shared" si="1"/>
        <v>22002</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31892</v>
      </c>
      <c r="C14" s="1664"/>
      <c r="D14" s="1725">
        <f t="shared" si="0"/>
        <v>31892</v>
      </c>
      <c r="E14" s="1664">
        <v>38002</v>
      </c>
      <c r="F14" s="1725">
        <f t="shared" si="1"/>
        <v>38002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6977</v>
      </c>
      <c r="C16" s="1664"/>
      <c r="D16" s="1725">
        <f t="shared" si="0"/>
        <v>6977</v>
      </c>
      <c r="E16" s="1664">
        <v>22002</v>
      </c>
      <c r="F16" s="1725">
        <f t="shared" si="1"/>
        <v>22002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1014886</v>
      </c>
      <c r="C19" s="1726">
        <f>SUM(C4:C18)</f>
        <v>0</v>
      </c>
      <c r="D19" s="1726">
        <f>SUM(D4:D18)</f>
        <v>1014886</v>
      </c>
      <c r="E19" s="1726">
        <f>SUM(E4:E18)</f>
        <v>1037266</v>
      </c>
      <c r="F19" s="1726">
        <f>SUM(F4:F18)</f>
        <v>1037266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F52" sqref="F52:G5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43312</v>
      </c>
      <c r="C31" s="1734">
        <v>51555</v>
      </c>
      <c r="D31" s="1735">
        <v>7</v>
      </c>
      <c r="E31" s="1734">
        <v>43865</v>
      </c>
      <c r="F31" s="1734"/>
      <c r="G31" s="1734"/>
      <c r="H31" s="1734">
        <v>7690</v>
      </c>
      <c r="I31" s="1736">
        <f>((E31+F31)-H31)+G31</f>
        <v>36175</v>
      </c>
      <c r="J31" s="1734">
        <v>36175</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51555</v>
      </c>
      <c r="D49" s="1742"/>
      <c r="E49" s="1736">
        <f t="shared" ref="E49:J49" si="2">SUM(E31:E48)</f>
        <v>43865</v>
      </c>
      <c r="F49" s="1736">
        <f t="shared" si="2"/>
        <v>0</v>
      </c>
      <c r="G49" s="1736">
        <f t="shared" si="2"/>
        <v>0</v>
      </c>
      <c r="H49" s="1736">
        <f t="shared" si="2"/>
        <v>7690</v>
      </c>
      <c r="I49" s="1736">
        <f t="shared" si="2"/>
        <v>36175</v>
      </c>
      <c r="J49" s="1736">
        <f t="shared" si="2"/>
        <v>36175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t="s">
        <v>2094</v>
      </c>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J15" sqref="J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f>'Revenues 9-14'!C7</f>
        <v>31892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f>'Revenues 9-14'!H103</f>
        <v>69424</v>
      </c>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31892</v>
      </c>
      <c r="I12" s="1755">
        <f>SUM(I5:I11)</f>
        <v>0</v>
      </c>
      <c r="J12" s="1755">
        <f>SUM(J5:J11)</f>
        <v>69424</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31892</v>
      </c>
      <c r="I14" s="1749"/>
      <c r="J14" s="1751"/>
      <c r="K14" s="1745"/>
    </row>
    <row r="15" spans="1:11" x14ac:dyDescent="0.2">
      <c r="A15" s="2324" t="s">
        <v>4</v>
      </c>
      <c r="B15" s="2324"/>
      <c r="C15" s="2324"/>
      <c r="D15" s="2324"/>
      <c r="E15" s="2325"/>
      <c r="F15" s="635" t="s">
        <v>850</v>
      </c>
      <c r="G15" s="1749"/>
      <c r="H15" s="1744"/>
      <c r="I15" s="1744"/>
      <c r="J15" s="1745">
        <v>35000</v>
      </c>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31892</v>
      </c>
      <c r="I23" s="1755">
        <f>SUM(I14:I16,I21,I22)</f>
        <v>0</v>
      </c>
      <c r="J23" s="1755">
        <f>SUM(J14:J16,J21,J22)</f>
        <v>35000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34424</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34424</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6" sqref="D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166496</v>
      </c>
      <c r="D5" s="1770">
        <v>0</v>
      </c>
      <c r="E5" s="1770"/>
      <c r="F5" s="1765">
        <f>(C5+D5)-E5</f>
        <v>166496</v>
      </c>
      <c r="G5" s="676"/>
      <c r="H5" s="680"/>
      <c r="I5" s="680"/>
      <c r="J5" s="680"/>
      <c r="K5" s="637"/>
      <c r="L5" s="1442">
        <f>F5-K5</f>
        <v>166496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3145470</v>
      </c>
      <c r="D8" s="1771">
        <v>41820</v>
      </c>
      <c r="E8" s="1771"/>
      <c r="F8" s="1765">
        <f>(C8+D8)-E8</f>
        <v>3187290</v>
      </c>
      <c r="G8" s="681">
        <v>50</v>
      </c>
      <c r="H8" s="619">
        <v>1131384</v>
      </c>
      <c r="I8" s="619">
        <v>56014</v>
      </c>
      <c r="J8" s="619"/>
      <c r="K8" s="1442">
        <f>(H8+I8)-J8</f>
        <v>1187398</v>
      </c>
      <c r="L8" s="1442">
        <f>F8-K8</f>
        <v>1999892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98740</v>
      </c>
      <c r="D10" s="1772"/>
      <c r="E10" s="1772"/>
      <c r="F10" s="1773">
        <f>(C10+D10)-E10</f>
        <v>98740</v>
      </c>
      <c r="G10" s="681">
        <v>20</v>
      </c>
      <c r="H10" s="683">
        <v>57803</v>
      </c>
      <c r="I10" s="683">
        <v>2857</v>
      </c>
      <c r="J10" s="683"/>
      <c r="K10" s="1442">
        <f>(H10+I10)-J10</f>
        <v>60660</v>
      </c>
      <c r="L10" s="1442">
        <f>F10-K10</f>
        <v>38080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279949</v>
      </c>
      <c r="D12" s="1771">
        <v>3597</v>
      </c>
      <c r="E12" s="1771"/>
      <c r="F12" s="1765">
        <f>(C12+D12)-E12</f>
        <v>283546</v>
      </c>
      <c r="G12" s="681">
        <v>10</v>
      </c>
      <c r="H12" s="619">
        <v>124442</v>
      </c>
      <c r="I12" s="619">
        <v>24520</v>
      </c>
      <c r="J12" s="619"/>
      <c r="K12" s="1442">
        <f>(H12+I12)-J12</f>
        <v>148962</v>
      </c>
      <c r="L12" s="1442">
        <f>F12-K12</f>
        <v>134584</v>
      </c>
    </row>
    <row r="13" spans="1:14" ht="14.25" thickTop="1" thickBot="1" x14ac:dyDescent="0.25">
      <c r="A13" s="684" t="s">
        <v>1112</v>
      </c>
      <c r="B13" s="679">
        <v>252</v>
      </c>
      <c r="C13" s="1771">
        <v>71185</v>
      </c>
      <c r="D13" s="1771"/>
      <c r="E13" s="1771"/>
      <c r="F13" s="1765">
        <f>(C13+D13)-E13</f>
        <v>71185</v>
      </c>
      <c r="G13" s="681">
        <v>5</v>
      </c>
      <c r="H13" s="619">
        <v>26015</v>
      </c>
      <c r="I13" s="619">
        <v>14237</v>
      </c>
      <c r="J13" s="619"/>
      <c r="K13" s="1442">
        <f>(H13+I13)-J13</f>
        <v>40252</v>
      </c>
      <c r="L13" s="1442">
        <f>F13-K13</f>
        <v>30933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3761840</v>
      </c>
      <c r="D16" s="1765">
        <f>SUM(D3,D5:D6,D8:D10,D12:D15)</f>
        <v>45417</v>
      </c>
      <c r="E16" s="1765">
        <f>SUM(E3,E5:E6,E8:E10,E12:E15)</f>
        <v>0</v>
      </c>
      <c r="F16" s="1765">
        <f>SUM(F3,F5:F6,F8:F10,F12:F15)</f>
        <v>3807257</v>
      </c>
      <c r="G16" s="681"/>
      <c r="H16" s="1435">
        <f>SUM(H3,H6,H8:H10,H12:H14,)</f>
        <v>1339644</v>
      </c>
      <c r="I16" s="1435">
        <f>SUM(I3,I6,I8:I10,I12:I14,)</f>
        <v>97628</v>
      </c>
      <c r="J16" s="1435">
        <f>SUM(J3,J6,J8:J10,J12:J14,)</f>
        <v>0</v>
      </c>
      <c r="K16" s="1435">
        <f>(H16+I16)-J16</f>
        <v>1437272</v>
      </c>
      <c r="L16" s="1435">
        <f>F16-K16</f>
        <v>2369985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97628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5"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1750451</v>
      </c>
      <c r="G8" s="701"/>
    </row>
    <row r="9" spans="1:9" x14ac:dyDescent="0.2">
      <c r="A9" s="705" t="s">
        <v>457</v>
      </c>
      <c r="B9" s="706" t="s">
        <v>1848</v>
      </c>
      <c r="C9" s="707"/>
      <c r="D9" s="705" t="s">
        <v>498</v>
      </c>
      <c r="E9" s="704"/>
      <c r="F9" s="1775">
        <f>'Expenditures 15-22'!K151</f>
        <v>263997</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106869</v>
      </c>
      <c r="G11" s="708"/>
    </row>
    <row r="12" spans="1:9" x14ac:dyDescent="0.2">
      <c r="A12" s="705" t="s">
        <v>459</v>
      </c>
      <c r="B12" s="706" t="s">
        <v>1851</v>
      </c>
      <c r="C12" s="707"/>
      <c r="D12" s="705" t="s">
        <v>498</v>
      </c>
      <c r="E12" s="704"/>
      <c r="F12" s="1775">
        <f>'Expenditures 15-22'!K295</f>
        <v>59772</v>
      </c>
      <c r="G12" s="708"/>
    </row>
    <row r="13" spans="1:9" x14ac:dyDescent="0.2">
      <c r="A13" s="705" t="s">
        <v>106</v>
      </c>
      <c r="B13" s="706" t="s">
        <v>1852</v>
      </c>
      <c r="C13" s="707"/>
      <c r="D13" s="705" t="s">
        <v>498</v>
      </c>
      <c r="E13" s="704"/>
      <c r="F13" s="1775">
        <f>'Expenditures 15-22'!K342</f>
        <v>72889</v>
      </c>
      <c r="G13" s="709"/>
    </row>
    <row r="14" spans="1:9" ht="12" customHeight="1" thickBot="1" x14ac:dyDescent="0.25">
      <c r="A14" s="1443"/>
      <c r="B14" s="1444"/>
      <c r="C14" s="1445"/>
      <c r="D14" s="1446" t="s">
        <v>498</v>
      </c>
      <c r="E14" s="1447" t="s">
        <v>952</v>
      </c>
      <c r="F14" s="1776">
        <f>SUM(F8:F13)</f>
        <v>2253978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90710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24354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24008</v>
      </c>
      <c r="G56" s="701"/>
    </row>
    <row r="57" spans="1:7" x14ac:dyDescent="0.2">
      <c r="A57" s="705" t="s">
        <v>457</v>
      </c>
      <c r="B57" s="705" t="s">
        <v>1853</v>
      </c>
      <c r="C57" s="724">
        <f>'Expenditures 15-22'!B139</f>
        <v>4000</v>
      </c>
      <c r="D57" s="722" t="str">
        <f>'Expenditures 15-22'!A139</f>
        <v>Total Payments to Other Govt Units</v>
      </c>
      <c r="E57" s="704"/>
      <c r="F57" s="1782">
        <f>'Expenditures 15-22'!K139</f>
        <v>24771</v>
      </c>
      <c r="G57" s="701"/>
    </row>
    <row r="58" spans="1:7" x14ac:dyDescent="0.2">
      <c r="A58" s="705" t="s">
        <v>457</v>
      </c>
      <c r="B58" s="705" t="s">
        <v>1854</v>
      </c>
      <c r="C58" s="721" t="s">
        <v>975</v>
      </c>
      <c r="D58" s="720" t="s">
        <v>1086</v>
      </c>
      <c r="E58" s="704"/>
      <c r="F58" s="1784">
        <f>'Expenditures 15-22'!G151</f>
        <v>18165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7690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3708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2387</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195793</v>
      </c>
      <c r="G77" s="701"/>
    </row>
    <row r="78" spans="1:9" s="728" customFormat="1" ht="12" customHeight="1" thickTop="1" thickBot="1" x14ac:dyDescent="0.25">
      <c r="A78" s="1450"/>
      <c r="B78" s="1448"/>
      <c r="C78" s="1445"/>
      <c r="D78" s="1449" t="s">
        <v>2012</v>
      </c>
      <c r="E78" s="1447"/>
      <c r="F78" s="1788">
        <f>(F14-F77)</f>
        <v>2058185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114</v>
      </c>
      <c r="G79" s="733"/>
      <c r="H79" s="705"/>
      <c r="I79" s="705"/>
    </row>
    <row r="80" spans="1:9" s="728" customFormat="1" ht="12" customHeight="1" thickBot="1" x14ac:dyDescent="0.25">
      <c r="A80" s="1452"/>
      <c r="B80" s="1448"/>
      <c r="C80" s="1445"/>
      <c r="D80" s="1449" t="s">
        <v>2013</v>
      </c>
      <c r="E80" s="1447" t="s">
        <v>952</v>
      </c>
      <c r="F80" s="1790">
        <f>IF(F79&gt;0,F78/F79," Complete Line 79")</f>
        <v>18054.254385964912</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4522</v>
      </c>
      <c r="G95" s="745"/>
    </row>
    <row r="96" spans="1:7" x14ac:dyDescent="0.2">
      <c r="A96" s="741" t="s">
        <v>139</v>
      </c>
      <c r="B96" s="741" t="s">
        <v>174</v>
      </c>
      <c r="C96" s="743">
        <v>1700</v>
      </c>
      <c r="D96" s="751" t="str">
        <f>'Revenues 9-14'!A82</f>
        <v>Total District/School Activity Income</v>
      </c>
      <c r="E96" s="739"/>
      <c r="F96" s="1793">
        <f>SUM('Revenues 9-14'!C82,'Revenues 9-14'!D82)</f>
        <v>15669</v>
      </c>
      <c r="G96" s="745"/>
    </row>
    <row r="97" spans="1:7" x14ac:dyDescent="0.2">
      <c r="A97" s="741" t="s">
        <v>456</v>
      </c>
      <c r="B97" s="741" t="s">
        <v>175</v>
      </c>
      <c r="C97" s="743">
        <f>'Revenues 9-14'!B84</f>
        <v>1811</v>
      </c>
      <c r="D97" s="744" t="str">
        <f>'Revenues 9-14'!A84</f>
        <v>Rentals - Regular Textbooks</v>
      </c>
      <c r="E97" s="739"/>
      <c r="F97" s="1793">
        <f>'Revenues 9-14'!C84</f>
        <v>2271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344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57439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40871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20382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3825</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145323</v>
      </c>
    </row>
    <row r="176" spans="1:7" ht="12" customHeight="1" x14ac:dyDescent="0.2">
      <c r="A176" s="1443"/>
      <c r="B176" s="1453"/>
      <c r="C176" s="1454"/>
      <c r="D176" s="1455" t="s">
        <v>2014</v>
      </c>
      <c r="E176" s="1456"/>
      <c r="F176" s="1793">
        <f>'PCTC-OEPP 27-28'!F78-F175</f>
        <v>1912862</v>
      </c>
    </row>
    <row r="177" spans="1:9" ht="12" customHeight="1" x14ac:dyDescent="0.2">
      <c r="A177" s="1443"/>
      <c r="B177" s="1453"/>
      <c r="C177" s="1454"/>
      <c r="D177" s="1455" t="s">
        <v>1794</v>
      </c>
      <c r="E177" s="1456"/>
      <c r="F177" s="1793">
        <f>'Cap Outlay Deprec 26'!I18</f>
        <v>97628</v>
      </c>
    </row>
    <row r="178" spans="1:9" ht="12" customHeight="1" x14ac:dyDescent="0.2">
      <c r="A178" s="1443"/>
      <c r="B178" s="1453"/>
      <c r="C178" s="1454"/>
      <c r="D178" s="1455" t="s">
        <v>2015</v>
      </c>
      <c r="E178" s="1456"/>
      <c r="F178" s="1793">
        <f>F176+F177</f>
        <v>2010490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114</v>
      </c>
      <c r="G179" s="763"/>
      <c r="I179" s="701"/>
    </row>
    <row r="180" spans="1:9" ht="12" customHeight="1" thickBot="1" x14ac:dyDescent="0.25">
      <c r="A180" s="1443"/>
      <c r="B180" s="1457"/>
      <c r="C180" s="1454"/>
      <c r="D180" s="1455" t="s">
        <v>2017</v>
      </c>
      <c r="E180" s="1456" t="s">
        <v>1528</v>
      </c>
      <c r="F180" s="1798">
        <f>F178/F179</f>
        <v>17635.877192982458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H27" sqref="H27"/>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2069</v>
      </c>
      <c r="B18" s="1908">
        <v>101000300</v>
      </c>
      <c r="C18" s="2037" t="s">
        <v>2070</v>
      </c>
      <c r="D18" s="1886">
        <v>10889</v>
      </c>
      <c r="E18" s="1906">
        <f t="shared" ref="E18:E81" si="0">IF(D18&lt;25000,D18,"25,000")</f>
        <v>10889</v>
      </c>
      <c r="F18" s="1906" t="str">
        <f t="shared" ref="F18:F81" si="1">IF(D18&gt;=25000,(D18-E18),"0")</f>
        <v>0</v>
      </c>
      <c r="G18" s="1887"/>
    </row>
    <row r="19" spans="1:7" x14ac:dyDescent="0.25">
      <c r="A19" s="2036" t="s">
        <v>2072</v>
      </c>
      <c r="B19" s="1908">
        <v>102520400</v>
      </c>
      <c r="C19" s="2037" t="s">
        <v>2071</v>
      </c>
      <c r="D19" s="1886">
        <v>4920</v>
      </c>
      <c r="E19" s="1906">
        <f t="shared" si="0"/>
        <v>4920</v>
      </c>
      <c r="F19" s="1906" t="str">
        <f t="shared" si="1"/>
        <v>0</v>
      </c>
    </row>
    <row r="20" spans="1:7" x14ac:dyDescent="0.25">
      <c r="A20" s="2036" t="s">
        <v>2072</v>
      </c>
      <c r="B20" s="1908">
        <v>102520400</v>
      </c>
      <c r="C20" s="2037" t="s">
        <v>2073</v>
      </c>
      <c r="D20" s="1886">
        <f>7000+3990+6684</f>
        <v>17674</v>
      </c>
      <c r="E20" s="1906">
        <f t="shared" si="0"/>
        <v>17674</v>
      </c>
      <c r="F20" s="1906" t="str">
        <f t="shared" si="1"/>
        <v>0</v>
      </c>
    </row>
    <row r="21" spans="1:7" x14ac:dyDescent="0.25">
      <c r="A21" s="2036" t="s">
        <v>2074</v>
      </c>
      <c r="B21" s="1908">
        <v>202540300</v>
      </c>
      <c r="C21" s="2037" t="s">
        <v>2075</v>
      </c>
      <c r="D21" s="1886">
        <v>1005</v>
      </c>
      <c r="E21" s="1906">
        <f t="shared" si="0"/>
        <v>1005</v>
      </c>
      <c r="F21" s="1906" t="str">
        <f t="shared" si="1"/>
        <v>0</v>
      </c>
    </row>
    <row r="22" spans="1:7" x14ac:dyDescent="0.25">
      <c r="A22" s="2036" t="s">
        <v>2074</v>
      </c>
      <c r="B22" s="1908">
        <v>202540300</v>
      </c>
      <c r="C22" s="2037" t="s">
        <v>2076</v>
      </c>
      <c r="D22" s="1886">
        <f>1250+1250</f>
        <v>2500</v>
      </c>
      <c r="E22" s="1906">
        <f t="shared" si="0"/>
        <v>2500</v>
      </c>
      <c r="F22" s="1906" t="str">
        <f t="shared" si="1"/>
        <v>0</v>
      </c>
    </row>
    <row r="23" spans="1:7" x14ac:dyDescent="0.25">
      <c r="A23" s="2036" t="s">
        <v>2074</v>
      </c>
      <c r="B23" s="1908">
        <v>202540300</v>
      </c>
      <c r="C23" s="2037" t="s">
        <v>2077</v>
      </c>
      <c r="D23" s="1886">
        <f>520+575+250+825+275</f>
        <v>2445</v>
      </c>
      <c r="E23" s="1906">
        <f t="shared" si="0"/>
        <v>2445</v>
      </c>
      <c r="F23" s="1906" t="str">
        <f t="shared" si="1"/>
        <v>0</v>
      </c>
    </row>
    <row r="24" spans="1:7" x14ac:dyDescent="0.25">
      <c r="A24" s="2036" t="s">
        <v>2074</v>
      </c>
      <c r="B24" s="1908">
        <v>202540300</v>
      </c>
      <c r="C24" s="2037" t="s">
        <v>2078</v>
      </c>
      <c r="D24" s="1886">
        <v>3960</v>
      </c>
      <c r="E24" s="1906">
        <f t="shared" si="0"/>
        <v>3960</v>
      </c>
      <c r="F24" s="1906" t="str">
        <f t="shared" si="1"/>
        <v>0</v>
      </c>
    </row>
    <row r="25" spans="1:7" x14ac:dyDescent="0.25">
      <c r="A25" s="2036" t="s">
        <v>2079</v>
      </c>
      <c r="B25" s="1908">
        <v>402550300</v>
      </c>
      <c r="C25" s="2037" t="s">
        <v>2080</v>
      </c>
      <c r="D25" s="1886">
        <f>26068*2</f>
        <v>52136</v>
      </c>
      <c r="E25" s="1906" t="str">
        <f t="shared" si="0"/>
        <v>25,000</v>
      </c>
      <c r="F25" s="1906">
        <f t="shared" si="1"/>
        <v>27136</v>
      </c>
    </row>
    <row r="26" spans="1:7" x14ac:dyDescent="0.25">
      <c r="A26" s="2036" t="s">
        <v>2081</v>
      </c>
      <c r="B26" s="1908">
        <v>802300300</v>
      </c>
      <c r="C26" s="2037" t="s">
        <v>2082</v>
      </c>
      <c r="D26" s="1886">
        <v>17690</v>
      </c>
      <c r="E26" s="1906">
        <f t="shared" si="0"/>
        <v>17690</v>
      </c>
      <c r="F26" s="1906" t="str">
        <f t="shared" si="1"/>
        <v>0</v>
      </c>
    </row>
    <row r="27" spans="1:7" x14ac:dyDescent="0.25">
      <c r="A27" s="2036" t="s">
        <v>2081</v>
      </c>
      <c r="B27" s="1908">
        <v>802300300</v>
      </c>
      <c r="C27" s="2037" t="s">
        <v>2083</v>
      </c>
      <c r="D27" s="1886">
        <v>5275</v>
      </c>
      <c r="E27" s="1906">
        <f t="shared" si="0"/>
        <v>5275</v>
      </c>
      <c r="F27" s="1906" t="str">
        <f t="shared" si="1"/>
        <v>0</v>
      </c>
    </row>
    <row r="28" spans="1:7" x14ac:dyDescent="0.25">
      <c r="A28" s="2036" t="s">
        <v>2081</v>
      </c>
      <c r="B28" s="1908">
        <v>802300300</v>
      </c>
      <c r="C28" s="2037" t="s">
        <v>2084</v>
      </c>
      <c r="D28" s="1886">
        <f>6100+10500</f>
        <v>16600</v>
      </c>
      <c r="E28" s="1906">
        <f t="shared" si="0"/>
        <v>16600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135094</v>
      </c>
      <c r="E142" s="1893">
        <f>SUM(E18:E141)</f>
        <v>82958</v>
      </c>
      <c r="F142" s="1894">
        <f>SUM(F18:F141)</f>
        <v>27136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56671</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4445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1086982</v>
      </c>
      <c r="F19" s="1802"/>
      <c r="G19" s="1804">
        <f>'Expenditures 15-22'!K33-SUM('Expenditures 15-22'!G33,'Expenditures 15-22'!I33)+'Expenditures 15-22'!D229</f>
        <v>1086982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69467</v>
      </c>
      <c r="F21" s="1805"/>
      <c r="G21" s="1808">
        <f>'Expenditures 15-22'!K42-SUM('Expenditures 15-22'!G42,'Expenditures 15-22'!I42)+'Expenditures 15-22'!K120-SUM('Expenditures 15-22'!G120,'Expenditures 15-22'!I120)+'Expenditures 15-22'!K180-SUM('Expenditures 15-22'!G180,'Expenditures 15-22'!I180)+'Expenditures 15-22'!D238</f>
        <v>69467</v>
      </c>
      <c r="H21" s="817"/>
      <c r="I21" s="157"/>
    </row>
    <row r="22" spans="1:9" s="542" customFormat="1" ht="12" customHeight="1" x14ac:dyDescent="0.2">
      <c r="A22" s="824" t="s">
        <v>560</v>
      </c>
      <c r="B22" s="825"/>
      <c r="C22" s="823">
        <v>2200</v>
      </c>
      <c r="D22" s="1805"/>
      <c r="E22" s="1807">
        <f>'Expenditures 15-22'!K47-SUM('Expenditures 15-22'!G47,'Expenditures 15-22'!I47)+'Expenditures 15-22'!D243</f>
        <v>13207</v>
      </c>
      <c r="F22" s="1805"/>
      <c r="G22" s="1808">
        <f>'Expenditures 15-22'!K47-SUM('Expenditures 15-22'!G47,'Expenditures 15-22'!I47)+'Expenditures 15-22'!D243</f>
        <v>13207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389028</v>
      </c>
      <c r="F23" s="1805"/>
      <c r="G23" s="1807">
        <f>'Expenditures 15-22'!K53-SUM('Expenditures 15-22'!G53,'Expenditures 15-22'!I53)+'Expenditures 15-22'!D257+'Expenditures 15-22'!K330-SUM('Expenditures 15-22'!G330,'Expenditures 15-22'!I330)</f>
        <v>389028</v>
      </c>
      <c r="H23" s="817"/>
      <c r="I23" s="157"/>
    </row>
    <row r="24" spans="1:9" s="542" customFormat="1" ht="12" customHeight="1" x14ac:dyDescent="0.2">
      <c r="A24" s="824" t="s">
        <v>562</v>
      </c>
      <c r="B24" s="825"/>
      <c r="C24" s="823">
        <v>2400</v>
      </c>
      <c r="D24" s="1805"/>
      <c r="E24" s="1807">
        <f>'Expenditures 15-22'!K57-SUM('Expenditures 15-22'!G57,'Expenditures 15-22'!I57)+'Expenditures 15-22'!D261</f>
        <v>133503</v>
      </c>
      <c r="F24" s="1805"/>
      <c r="G24" s="1808">
        <f>'Expenditures 15-22'!K57-SUM('Expenditures 15-22'!G57,'Expenditures 15-22'!I57)+'Expenditures 15-22'!D261</f>
        <v>133503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86470</v>
      </c>
      <c r="E27" s="1807">
        <f>E8</f>
        <v>0</v>
      </c>
      <c r="F27" s="1807">
        <f>'Expenditures 15-22'!K60-SUM('Expenditures 15-22'!G60,'Expenditures 15-22'!I60)+'Expenditures 15-22'!D264-E8</f>
        <v>86470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207630</v>
      </c>
      <c r="F28" s="1809">
        <f>'Expenditures 15-22'!K61-SUM('Expenditures 15-22'!G61,'Expenditures 15-22'!I61)+'Expenditures 15-22'!K124-SUM('Expenditures 15-22'!G124,'Expenditures 15-22'!I124)+'Expenditures 15-22'!D266-E9</f>
        <v>207630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101679</v>
      </c>
      <c r="F29" s="1805"/>
      <c r="G29" s="1808">
        <f>'Expenditures 15-22'!K62-SUM('Expenditures 15-22'!G62,'Expenditures 15-22'!I62)+'Expenditures 15-22'!K125-SUM('Expenditures 15-22'!G125,'Expenditures 15-22'!I125)+'Expenditures 15-22'!K182-SUM('Expenditures 15-22'!G182,'Expenditures 15-22'!I182)+'Expenditures 15-22'!D267</f>
        <v>101679</v>
      </c>
      <c r="H29" s="815"/>
    </row>
    <row r="30" spans="1:9" ht="12" customHeight="1" x14ac:dyDescent="0.2">
      <c r="A30" s="824" t="s">
        <v>100</v>
      </c>
      <c r="B30" s="827"/>
      <c r="C30" s="823">
        <v>2560</v>
      </c>
      <c r="D30" s="1805"/>
      <c r="E30" s="1807">
        <f>'Expenditures 15-22'!K63-SUM('Expenditures 15-22'!G63,'Expenditures 15-22'!I63)+'Expenditures 15-22'!D268-E10</f>
        <v>7966</v>
      </c>
      <c r="F30" s="1805"/>
      <c r="G30" s="1807">
        <f>'Expenditures 15-22'!K63-SUM('Expenditures 15-22'!G63,'Expenditures 15-22'!I63)+'Expenditures 15-22'!D268-E10</f>
        <v>7966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26395</v>
      </c>
      <c r="F39" s="1805"/>
      <c r="G39" s="1807">
        <f>'Expenditures 15-22'!K75-SUM('Expenditures 15-22'!G75,'Expenditures 15-22'!I75)+'Expenditures 15-22'!K130-SUM('Expenditures 15-22'!G130,'Expenditures 15-22'!I130)+'Expenditures 15-22'!K185-SUM('Expenditures 15-22'!G185,'Expenditures 15-22'!I185)+'Expenditures 15-22'!D280</f>
        <v>26395</v>
      </c>
    </row>
    <row r="40" spans="1:7" ht="12" customHeight="1" x14ac:dyDescent="0.2">
      <c r="A40" s="820" t="s">
        <v>1798</v>
      </c>
      <c r="B40" s="821"/>
      <c r="C40" s="823"/>
      <c r="D40" s="1805"/>
      <c r="E40" s="1809">
        <f>-'Contracts Paid in CY 29'!F142</f>
        <v>-27136</v>
      </c>
      <c r="F40" s="1805"/>
      <c r="G40" s="1809">
        <f>-'Contracts Paid in CY 29'!F142</f>
        <v>-27136</v>
      </c>
    </row>
    <row r="41" spans="1:7" ht="12" customHeight="1" x14ac:dyDescent="0.2">
      <c r="A41" s="828" t="s">
        <v>155</v>
      </c>
      <c r="B41" s="829"/>
      <c r="C41" s="830"/>
      <c r="D41" s="1809">
        <f>SUM(D19:D39)</f>
        <v>86470</v>
      </c>
      <c r="E41" s="1809">
        <f>SUM(E19:E40)</f>
        <v>2008721</v>
      </c>
      <c r="F41" s="1809">
        <f>SUM(F19:F39)</f>
        <v>294100</v>
      </c>
      <c r="G41" s="1809">
        <f>SUM(G19:G40)</f>
        <v>1801091</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86470</v>
      </c>
      <c r="F43" s="1458" t="s">
        <v>470</v>
      </c>
      <c r="G43" s="1810">
        <f>F41</f>
        <v>294100</v>
      </c>
    </row>
    <row r="44" spans="1:7" ht="12" customHeight="1" x14ac:dyDescent="0.2">
      <c r="A44" s="817"/>
      <c r="B44" s="157"/>
      <c r="C44" s="831"/>
      <c r="D44" s="1458" t="s">
        <v>471</v>
      </c>
      <c r="E44" s="1810">
        <f>E41</f>
        <v>2008721</v>
      </c>
      <c r="F44" s="1458" t="s">
        <v>471</v>
      </c>
      <c r="G44" s="1810">
        <f>G41</f>
        <v>1801091</v>
      </c>
    </row>
    <row r="45" spans="1:7" ht="12" customHeight="1" x14ac:dyDescent="0.2">
      <c r="A45" s="817"/>
      <c r="B45" s="157"/>
      <c r="C45" s="157"/>
      <c r="D45" s="1459" t="s">
        <v>999</v>
      </c>
      <c r="E45" s="1811">
        <f>(E43/E44)</f>
        <v>4.3047292282004324E-2</v>
      </c>
      <c r="F45" s="1459" t="s">
        <v>999</v>
      </c>
      <c r="G45" s="1811">
        <f>(G43/G44)</f>
        <v>0.16328991705582893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1" sqref="F2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Saunemin CCSD 438</v>
      </c>
      <c r="D6" s="2416"/>
      <c r="E6" s="2416"/>
      <c r="F6" s="1482"/>
      <c r="G6" s="1507"/>
      <c r="L6" s="1507"/>
      <c r="M6" s="1855"/>
      <c r="N6" s="1855"/>
      <c r="O6" s="1855"/>
    </row>
    <row r="7" spans="1:15" ht="11.25" customHeight="1" thickBot="1" x14ac:dyDescent="0.3">
      <c r="A7" s="1480"/>
      <c r="B7" s="1481"/>
      <c r="C7" s="2417">
        <f>COVER!A13</f>
        <v>17053438004</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t="s">
        <v>2051</v>
      </c>
      <c r="F16" s="1497" t="s">
        <v>2085</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t="s">
        <v>2051</v>
      </c>
      <c r="F19" s="1497" t="s">
        <v>2086</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2051</v>
      </c>
      <c r="D23" s="1495" t="s">
        <v>2051</v>
      </c>
      <c r="E23" s="1498" t="s">
        <v>2051</v>
      </c>
      <c r="F23" s="1497" t="s">
        <v>2087</v>
      </c>
      <c r="G23" s="1507"/>
      <c r="H23" s="1507">
        <f t="shared" si="0"/>
        <v>5</v>
      </c>
      <c r="I23" s="1507">
        <f t="shared" si="1"/>
        <v>5</v>
      </c>
      <c r="J23" s="1507">
        <f t="shared" si="2"/>
        <v>5</v>
      </c>
      <c r="L23" s="1507"/>
      <c r="M23" s="1855"/>
      <c r="N23" s="1855"/>
      <c r="O23" s="1855"/>
    </row>
    <row r="24" spans="1:15" ht="12" customHeight="1" x14ac:dyDescent="0.2">
      <c r="A24" s="1493" t="s">
        <v>1515</v>
      </c>
      <c r="B24" s="1494"/>
      <c r="C24" s="1495" t="s">
        <v>2051</v>
      </c>
      <c r="D24" s="1495" t="s">
        <v>2051</v>
      </c>
      <c r="E24" s="1498" t="s">
        <v>2051</v>
      </c>
      <c r="F24" s="1497" t="s">
        <v>2087</v>
      </c>
      <c r="G24" s="1507"/>
      <c r="H24" s="1507">
        <f t="shared" si="0"/>
        <v>5</v>
      </c>
      <c r="I24" s="1507">
        <f t="shared" si="1"/>
        <v>5</v>
      </c>
      <c r="J24" s="1507">
        <f t="shared" si="2"/>
        <v>5</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2088</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t="s">
        <v>2051</v>
      </c>
      <c r="F28" s="1497" t="s">
        <v>2087</v>
      </c>
      <c r="G28" s="1507"/>
      <c r="H28" s="1507">
        <f t="shared" si="0"/>
        <v>5</v>
      </c>
      <c r="I28" s="1507">
        <f t="shared" si="1"/>
        <v>5</v>
      </c>
      <c r="J28" s="1507">
        <f t="shared" si="2"/>
        <v>5</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t="s">
        <v>2051</v>
      </c>
      <c r="F30" s="1497" t="s">
        <v>2089</v>
      </c>
      <c r="G30" s="1507"/>
      <c r="H30" s="1507">
        <f t="shared" si="0"/>
        <v>5</v>
      </c>
      <c r="I30" s="1507">
        <f t="shared" si="1"/>
        <v>5</v>
      </c>
      <c r="J30" s="1507">
        <f t="shared" si="2"/>
        <v>5</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t="s">
        <v>2051</v>
      </c>
      <c r="F32" s="1497" t="s">
        <v>2087</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40</v>
      </c>
      <c r="K34" s="1507">
        <f>SUM(H34:J34)</f>
        <v>120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25" zoomScaleNormal="100" workbookViewId="0">
      <selection activeCell="Q64" sqref="Q64"/>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Saunemin CCSD 438</v>
      </c>
      <c r="K6" s="2438"/>
      <c r="L6" s="2452"/>
      <c r="M6" s="838"/>
      <c r="N6" s="1998"/>
    </row>
    <row r="7" spans="1:14" x14ac:dyDescent="0.2">
      <c r="A7" s="2453" t="s">
        <v>864</v>
      </c>
      <c r="B7" s="2454"/>
      <c r="C7" s="2454"/>
      <c r="D7" s="2454"/>
      <c r="E7" s="2455"/>
      <c r="F7" s="839"/>
      <c r="G7" s="838"/>
      <c r="H7" s="838"/>
      <c r="I7" s="1924" t="s">
        <v>369</v>
      </c>
      <c r="J7" s="2440">
        <f>COVER!A13</f>
        <v>17053438004</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294519</v>
      </c>
      <c r="F12" s="1942"/>
      <c r="G12" s="1968">
        <f>G68</f>
        <v>0</v>
      </c>
      <c r="H12" s="1944">
        <f t="shared" ref="H12:H18" si="0">SUM(E12:G12)</f>
        <v>294519</v>
      </c>
      <c r="I12" s="1943">
        <v>164892</v>
      </c>
      <c r="J12" s="1942"/>
      <c r="K12" s="1943"/>
      <c r="L12" s="1944">
        <f t="shared" ref="L12:L18" si="1">SUM(I12:K12)</f>
        <v>164892</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294519</v>
      </c>
      <c r="F19" s="1950">
        <f t="shared" si="2"/>
        <v>0</v>
      </c>
      <c r="G19" s="1950">
        <f t="shared" ref="G19" si="3">SUM(G12:G17)-G18</f>
        <v>0</v>
      </c>
      <c r="H19" s="1950">
        <f t="shared" si="2"/>
        <v>294519</v>
      </c>
      <c r="I19" s="1950">
        <f t="shared" si="2"/>
        <v>164892</v>
      </c>
      <c r="J19" s="1950">
        <f t="shared" si="2"/>
        <v>0</v>
      </c>
      <c r="K19" s="1950">
        <f t="shared" si="2"/>
        <v>0</v>
      </c>
      <c r="L19" s="1950">
        <f t="shared" si="2"/>
        <v>164892</v>
      </c>
      <c r="M19" s="838"/>
      <c r="N19" s="1998"/>
    </row>
    <row r="20" spans="1:14" ht="13.5" thickTop="1" x14ac:dyDescent="0.2">
      <c r="A20" s="2003">
        <v>9</v>
      </c>
      <c r="B20" s="2462" t="s">
        <v>2021</v>
      </c>
      <c r="C20" s="2462"/>
      <c r="D20" s="2463"/>
      <c r="E20" s="1951"/>
      <c r="F20" s="1951"/>
      <c r="G20" s="1951"/>
      <c r="H20" s="1951"/>
      <c r="I20" s="1951"/>
      <c r="J20" s="1951"/>
      <c r="K20" s="1951"/>
      <c r="L20" s="1952">
        <f>IF(AND(H19&gt;0,L19&gt;0),(((L19-H19)/H19)),"Enter Budget Data")</f>
        <v>-0.44013119696861663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Saunemin CCSD 438</v>
      </c>
      <c r="M52" s="2438"/>
      <c r="N52" s="2439"/>
    </row>
    <row r="53" spans="1:14" x14ac:dyDescent="0.2">
      <c r="A53" s="1982"/>
      <c r="B53" s="1983"/>
      <c r="C53" s="1983"/>
      <c r="D53" s="1983"/>
      <c r="E53" s="1983"/>
      <c r="F53" s="1983"/>
      <c r="G53" s="1983"/>
      <c r="H53" s="1983"/>
      <c r="I53" s="1983"/>
      <c r="J53" s="1983"/>
      <c r="K53" s="1924" t="s">
        <v>369</v>
      </c>
      <c r="L53" s="2440">
        <f>J7</f>
        <v>17053438004</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1008</v>
      </c>
      <c r="F58" s="1972"/>
      <c r="G58" s="2031"/>
      <c r="H58" s="2032"/>
      <c r="I58" s="2032"/>
      <c r="J58" s="2032"/>
      <c r="K58" s="2032"/>
      <c r="L58" s="2032"/>
      <c r="M58" s="2032">
        <v>1008</v>
      </c>
      <c r="N58" s="1975">
        <f>IF((SUM(G58:M58))=E58,SUM(G58:M58),"Column N does not agree with Column E")</f>
        <v>1008</v>
      </c>
    </row>
    <row r="59" spans="1:14" ht="24.75" customHeight="1" x14ac:dyDescent="0.2">
      <c r="A59" s="2420" t="s">
        <v>297</v>
      </c>
      <c r="B59" s="2421"/>
      <c r="C59" s="2421"/>
      <c r="D59" s="1967">
        <v>2363</v>
      </c>
      <c r="E59" s="1977">
        <f>'Expenditures 15-22'!K321</f>
        <v>3652</v>
      </c>
      <c r="F59" s="1972"/>
      <c r="G59" s="2031"/>
      <c r="H59" s="2032"/>
      <c r="I59" s="2032"/>
      <c r="J59" s="2032"/>
      <c r="K59" s="2032"/>
      <c r="L59" s="2032"/>
      <c r="M59" s="2032">
        <v>3652</v>
      </c>
      <c r="N59" s="1975">
        <f>IF((SUM(G59:M59))=E59,SUM(G59:M59),"Column N does not agree with Column E")</f>
        <v>3652</v>
      </c>
    </row>
    <row r="60" spans="1:14" ht="24" customHeight="1" x14ac:dyDescent="0.2">
      <c r="A60" s="2420" t="s">
        <v>236</v>
      </c>
      <c r="B60" s="2421"/>
      <c r="C60" s="2421"/>
      <c r="D60" s="1967">
        <v>2364</v>
      </c>
      <c r="E60" s="1977">
        <f>'Expenditures 15-22'!K322</f>
        <v>24265</v>
      </c>
      <c r="F60" s="1972"/>
      <c r="G60" s="2031"/>
      <c r="H60" s="2032"/>
      <c r="I60" s="2032"/>
      <c r="J60" s="2032"/>
      <c r="K60" s="2032"/>
      <c r="L60" s="2032"/>
      <c r="M60" s="2032">
        <v>24265</v>
      </c>
      <c r="N60" s="1975">
        <f t="shared" ref="N60:N67" si="4">IF((SUM(G60:M60))=E60,SUM(G60:M60),"Column N does not agree with Column E")</f>
        <v>24265</v>
      </c>
    </row>
    <row r="61" spans="1:14" ht="24.75" customHeight="1" x14ac:dyDescent="0.2">
      <c r="A61" s="2420" t="s">
        <v>697</v>
      </c>
      <c r="B61" s="2421"/>
      <c r="C61" s="2421"/>
      <c r="D61" s="1967">
        <v>2365</v>
      </c>
      <c r="E61" s="1977">
        <f>'Expenditures 15-22'!K323</f>
        <v>24114</v>
      </c>
      <c r="F61" s="1972"/>
      <c r="G61" s="2031"/>
      <c r="H61" s="2032"/>
      <c r="I61" s="2032"/>
      <c r="J61" s="2032"/>
      <c r="K61" s="2032"/>
      <c r="L61" s="2032"/>
      <c r="M61" s="2032">
        <v>24114</v>
      </c>
      <c r="N61" s="1975">
        <f t="shared" si="4"/>
        <v>24114</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19850</v>
      </c>
      <c r="F63" s="1972"/>
      <c r="G63" s="2031"/>
      <c r="H63" s="2032"/>
      <c r="I63" s="2032"/>
      <c r="J63" s="2032"/>
      <c r="K63" s="2032"/>
      <c r="L63" s="2032"/>
      <c r="M63" s="2032">
        <v>19850</v>
      </c>
      <c r="N63" s="1975">
        <f t="shared" si="4"/>
        <v>19850</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4"/>
        <v>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2042</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72889</v>
      </c>
      <c r="F68" s="1973"/>
      <c r="G68" s="1974">
        <f t="shared" ref="G68:N68" si="5">SUM(G57:G67)</f>
        <v>0</v>
      </c>
      <c r="H68" s="1974">
        <f t="shared" si="5"/>
        <v>0</v>
      </c>
      <c r="I68" s="1974">
        <f t="shared" si="5"/>
        <v>0</v>
      </c>
      <c r="J68" s="1974">
        <f t="shared" si="5"/>
        <v>0</v>
      </c>
      <c r="K68" s="1974">
        <f t="shared" si="5"/>
        <v>0</v>
      </c>
      <c r="L68" s="1974">
        <f t="shared" si="5"/>
        <v>0</v>
      </c>
      <c r="M68" s="1974">
        <f t="shared" si="5"/>
        <v>72889</v>
      </c>
      <c r="N68" s="1988">
        <f t="shared" si="5"/>
        <v>72889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2090</v>
      </c>
    </row>
    <row r="6" spans="1:2" x14ac:dyDescent="0.2">
      <c r="A6" s="847">
        <v>2</v>
      </c>
      <c r="B6" s="307" t="s">
        <v>2091</v>
      </c>
    </row>
    <row r="7" spans="1:2" x14ac:dyDescent="0.2">
      <c r="A7" s="847">
        <v>3</v>
      </c>
      <c r="B7" s="307" t="s">
        <v>2092</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Saunemin CCSD 438</v>
      </c>
    </row>
    <row r="65" spans="2:2" x14ac:dyDescent="0.2">
      <c r="B65" s="849">
        <f>COVER!A13</f>
        <v>17053438004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1600294</v>
      </c>
      <c r="C8" s="1813">
        <f>'Acct Summary 7-8'!D8</f>
        <v>247096</v>
      </c>
      <c r="D8" s="1813">
        <f>'Acct Summary 7-8'!F8</f>
        <v>188116</v>
      </c>
      <c r="E8" s="1813">
        <f>'Acct Summary 7-8'!I8</f>
        <v>13385</v>
      </c>
      <c r="F8" s="1813">
        <f>SUM(B8:E8)</f>
        <v>2048891</v>
      </c>
    </row>
    <row r="9" spans="1:8" s="858" customFormat="1" ht="14.25" customHeight="1" thickBot="1" x14ac:dyDescent="0.25">
      <c r="A9" s="857" t="s">
        <v>1353</v>
      </c>
      <c r="B9" s="1814">
        <f>'Acct Summary 7-8'!C17</f>
        <v>1750451</v>
      </c>
      <c r="C9" s="1814">
        <f>'Acct Summary 7-8'!D17</f>
        <v>263997</v>
      </c>
      <c r="D9" s="1814">
        <f>'Acct Summary 7-8'!F17</f>
        <v>106869</v>
      </c>
      <c r="E9" s="1813"/>
      <c r="F9" s="1813">
        <f>SUM(B9:E9)</f>
        <v>2121317</v>
      </c>
    </row>
    <row r="10" spans="1:8" s="858" customFormat="1" ht="14.25" thickTop="1" thickBot="1" x14ac:dyDescent="0.25">
      <c r="A10" s="859" t="s">
        <v>1354</v>
      </c>
      <c r="B10" s="1815">
        <f>(B8-B9)</f>
        <v>-150157</v>
      </c>
      <c r="C10" s="1815">
        <f>(C8-C9)</f>
        <v>-16901</v>
      </c>
      <c r="D10" s="1815">
        <f>(D8-D9)</f>
        <v>81247</v>
      </c>
      <c r="E10" s="1814">
        <f>(E8-E9)</f>
        <v>13385</v>
      </c>
      <c r="F10" s="1816">
        <f>SUM(F8-F9)</f>
        <v>-72426</v>
      </c>
    </row>
    <row r="11" spans="1:8" s="858" customFormat="1" ht="14.25" thickTop="1" thickBot="1" x14ac:dyDescent="0.25">
      <c r="A11" s="860" t="s">
        <v>1903</v>
      </c>
      <c r="B11" s="1817">
        <f>'Acct Summary 7-8'!C81</f>
        <v>2082079</v>
      </c>
      <c r="C11" s="1817">
        <f>'Acct Summary 7-8'!D81</f>
        <v>595101</v>
      </c>
      <c r="D11" s="1817">
        <f>'Acct Summary 7-8'!F81</f>
        <v>668159</v>
      </c>
      <c r="E11" s="1817">
        <f>'Acct Summary 7-8'!I81</f>
        <v>154702</v>
      </c>
      <c r="F11" s="1818">
        <f>SUM(B11:E11)</f>
        <v>3500041</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3" colorId="8" zoomScale="110" zoomScaleNormal="110" workbookViewId="0">
      <selection activeCell="H20" sqref="H2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17053438004</v>
      </c>
      <c r="E2" s="1542">
        <v>2020</v>
      </c>
      <c r="F2" s="1542">
        <v>1</v>
      </c>
      <c r="G2" s="1899">
        <v>101000300</v>
      </c>
    </row>
    <row r="3" spans="1:7" ht="15" x14ac:dyDescent="0.25">
      <c r="A3" t="s">
        <v>950</v>
      </c>
      <c r="B3" s="135" t="str">
        <f>COVER!A15</f>
        <v>Livingston</v>
      </c>
      <c r="E3" s="1830" t="s">
        <v>1971</v>
      </c>
      <c r="F3" s="1830" t="s">
        <v>1970</v>
      </c>
      <c r="G3" s="1899">
        <v>101000400</v>
      </c>
    </row>
    <row r="4" spans="1:7" ht="15" x14ac:dyDescent="0.25">
      <c r="A4" t="s">
        <v>1000</v>
      </c>
      <c r="B4" s="135" t="str">
        <f>COVER!A17</f>
        <v xml:space="preserve">  Saunemin CCSD 438</v>
      </c>
      <c r="E4" s="1828">
        <v>44119</v>
      </c>
      <c r="F4" s="1829">
        <v>44151</v>
      </c>
      <c r="G4" s="1899">
        <v>101000600</v>
      </c>
    </row>
    <row r="5" spans="1:7" ht="15" x14ac:dyDescent="0.25">
      <c r="A5" t="s">
        <v>699</v>
      </c>
      <c r="B5" s="135" t="str">
        <f>COVER!A38</f>
        <v>Gary Doughan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1140</v>
      </c>
      <c r="B18" s="135" t="str">
        <f>COVER!T17</f>
        <v>116 E Washington St., Suite One</v>
      </c>
      <c r="G18" s="1899">
        <v>102200300</v>
      </c>
    </row>
    <row r="19" spans="1:7" ht="15" x14ac:dyDescent="0.25">
      <c r="A19" t="s">
        <v>880</v>
      </c>
      <c r="B19" s="135" t="str">
        <f>COVER!T25</f>
        <v>tmack@mackcpas.com</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36251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100000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2082079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1977011</v>
      </c>
      <c r="D92" s="2" t="str">
        <f t="shared" si="0"/>
        <v>Error?</v>
      </c>
      <c r="G92" s="1899">
        <v>102640600</v>
      </c>
    </row>
    <row r="93" spans="1:7" ht="15" x14ac:dyDescent="0.25">
      <c r="A93" s="5">
        <v>32</v>
      </c>
      <c r="B93" s="1832">
        <f>'Assets-Liab 5-6'!C41</f>
        <v>2082079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595101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595101</v>
      </c>
      <c r="D123" s="2" t="str">
        <f t="shared" si="0"/>
        <v>Error?</v>
      </c>
      <c r="G123" s="1899">
        <v>203000400</v>
      </c>
    </row>
    <row r="124" spans="1:7" ht="15" x14ac:dyDescent="0.25">
      <c r="A124" s="5">
        <v>63</v>
      </c>
      <c r="B124" s="1832">
        <f>'Assets-Liab 5-6'!D41</f>
        <v>595101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72000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668159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668159</v>
      </c>
      <c r="D170" s="2" t="str">
        <f t="shared" si="1"/>
        <v>Error?</v>
      </c>
    </row>
    <row r="171" spans="1:4" x14ac:dyDescent="0.2">
      <c r="A171" s="5">
        <v>110</v>
      </c>
      <c r="B171" s="1832">
        <f>'Assets-Liab 5-6'!F41</f>
        <v>668159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79332</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102293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74731</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102293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232879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232879</v>
      </c>
      <c r="D212" s="2" t="str">
        <f t="shared" si="2"/>
        <v>Error?</v>
      </c>
    </row>
    <row r="213" spans="1:4" x14ac:dyDescent="0.2">
      <c r="A213" s="12">
        <v>152</v>
      </c>
      <c r="B213" s="1832">
        <f>'Assets-Liab 5-6'!H41</f>
        <v>232879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166496</v>
      </c>
      <c r="D273" s="2" t="str">
        <f t="shared" si="3"/>
        <v>Error?</v>
      </c>
    </row>
    <row r="274" spans="1:4" x14ac:dyDescent="0.2">
      <c r="A274" s="5">
        <v>213</v>
      </c>
      <c r="B274" s="1832">
        <f>'Assets-Liab 5-6'!M17</f>
        <v>1999892</v>
      </c>
      <c r="D274" s="2" t="str">
        <f t="shared" si="3"/>
        <v>Error?</v>
      </c>
    </row>
    <row r="275" spans="1:4" x14ac:dyDescent="0.2">
      <c r="A275" s="5">
        <v>214</v>
      </c>
      <c r="B275" s="1832">
        <f>'Assets-Liab 5-6'!M18</f>
        <v>38085</v>
      </c>
      <c r="D275" s="2" t="str">
        <f t="shared" si="3"/>
        <v>Error?</v>
      </c>
    </row>
    <row r="276" spans="1:4" x14ac:dyDescent="0.2">
      <c r="A276" s="5">
        <v>215</v>
      </c>
      <c r="B276" s="1832">
        <f>'Assets-Liab 5-6'!M19</f>
        <v>176512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2380985</v>
      </c>
      <c r="C279" s="2" t="s">
        <v>569</v>
      </c>
      <c r="D279" s="2" t="str">
        <f t="shared" si="3"/>
        <v>Error?</v>
      </c>
    </row>
    <row r="280" spans="1:4" x14ac:dyDescent="0.2">
      <c r="A280" s="5">
        <v>219</v>
      </c>
      <c r="B280" s="1832">
        <f>'Assets-Liab 5-6'!M40</f>
        <v>2380985</v>
      </c>
      <c r="D280" s="2" t="str">
        <f t="shared" si="3"/>
        <v>Error?</v>
      </c>
    </row>
    <row r="281" spans="1:4" x14ac:dyDescent="0.2">
      <c r="A281" s="5">
        <v>220</v>
      </c>
      <c r="B281" s="1832">
        <f>'Assets-Liab 5-6'!M41</f>
        <v>2380985</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36175</v>
      </c>
      <c r="D283" s="2" t="str">
        <f t="shared" si="3"/>
        <v>Error?</v>
      </c>
    </row>
    <row r="284" spans="1:4" x14ac:dyDescent="0.2">
      <c r="A284" s="5">
        <v>223</v>
      </c>
      <c r="B284" s="1832">
        <f>'Assets-Liab 5-6'!N23</f>
        <v>36175</v>
      </c>
      <c r="C284" s="2" t="s">
        <v>569</v>
      </c>
      <c r="D284" s="2" t="str">
        <f t="shared" si="3"/>
        <v>Error?</v>
      </c>
    </row>
    <row r="285" spans="1:4" x14ac:dyDescent="0.2">
      <c r="A285" s="5">
        <v>224</v>
      </c>
      <c r="B285" s="1832">
        <f>'Assets-Liab 5-6'!N36</f>
        <v>36175</v>
      </c>
      <c r="D285" s="2" t="str">
        <f t="shared" si="3"/>
        <v>Error?</v>
      </c>
    </row>
    <row r="286" spans="1:4" x14ac:dyDescent="0.2">
      <c r="A286" s="10">
        <v>225</v>
      </c>
      <c r="B286" s="1832"/>
      <c r="D286" s="2" t="str">
        <f t="shared" si="3"/>
        <v>OK</v>
      </c>
    </row>
    <row r="287" spans="1:4" x14ac:dyDescent="0.2">
      <c r="A287" s="5">
        <v>226</v>
      </c>
      <c r="B287" s="1832">
        <f>'Assets-Liab 5-6'!N37</f>
        <v>36175</v>
      </c>
      <c r="C287" s="2" t="s">
        <v>569</v>
      </c>
      <c r="D287" s="2" t="str">
        <f t="shared" si="3"/>
        <v>Error?</v>
      </c>
    </row>
    <row r="288" spans="1:4" x14ac:dyDescent="0.2">
      <c r="A288" s="5">
        <v>227</v>
      </c>
      <c r="B288" s="1832">
        <f>'Assets-Liab 5-6'!N41</f>
        <v>36175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574948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20965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775155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883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883</v>
      </c>
      <c r="C731" s="2" t="s">
        <v>569</v>
      </c>
      <c r="D731" s="2" t="str">
        <f t="shared" si="10"/>
        <v>Error?</v>
      </c>
    </row>
    <row r="732" spans="1:4" x14ac:dyDescent="0.2">
      <c r="A732" s="5">
        <v>671</v>
      </c>
      <c r="B732" s="1832">
        <f>'Expenditures 15-22'!C49</f>
        <v>6241</v>
      </c>
      <c r="D732" s="2" t="str">
        <f t="shared" si="10"/>
        <v>Error?</v>
      </c>
    </row>
    <row r="733" spans="1:4" x14ac:dyDescent="0.2">
      <c r="A733" s="5">
        <v>672</v>
      </c>
      <c r="B733" s="1832">
        <f>'Expenditures 15-22'!C50</f>
        <v>248973</v>
      </c>
      <c r="D733" s="2" t="str">
        <f t="shared" si="10"/>
        <v>Error?</v>
      </c>
    </row>
    <row r="734" spans="1:4" x14ac:dyDescent="0.2">
      <c r="A734" s="5">
        <v>673</v>
      </c>
      <c r="B734" s="1832">
        <f>'Expenditures 15-22'!C53</f>
        <v>255214</v>
      </c>
      <c r="C734" s="2" t="s">
        <v>569</v>
      </c>
      <c r="D734" s="2" t="str">
        <f t="shared" si="10"/>
        <v>Error?</v>
      </c>
    </row>
    <row r="735" spans="1:4" x14ac:dyDescent="0.2">
      <c r="A735" s="5">
        <v>674</v>
      </c>
      <c r="B735" s="1832">
        <f>'Expenditures 15-22'!C55</f>
        <v>106545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106545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48582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27766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76348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438990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1214145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76886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52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110106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2148</v>
      </c>
      <c r="D790" s="2" t="str">
        <f t="shared" si="11"/>
        <v>Error?</v>
      </c>
    </row>
    <row r="791" spans="1:4" x14ac:dyDescent="0.2">
      <c r="A791" s="5">
        <v>730</v>
      </c>
      <c r="B791" s="1832">
        <f>'Expenditures 15-22'!D50</f>
        <v>30055</v>
      </c>
      <c r="D791" s="2" t="str">
        <f t="shared" si="11"/>
        <v>Error?</v>
      </c>
    </row>
    <row r="792" spans="1:4" x14ac:dyDescent="0.2">
      <c r="A792" s="5">
        <v>731</v>
      </c>
      <c r="B792" s="1832">
        <f>'Expenditures 15-22'!D53</f>
        <v>32203</v>
      </c>
      <c r="C792" s="2" t="s">
        <v>569</v>
      </c>
      <c r="D792" s="2" t="str">
        <f t="shared" si="11"/>
        <v>Error?</v>
      </c>
    </row>
    <row r="793" spans="1:4" x14ac:dyDescent="0.2">
      <c r="A793" s="5">
        <v>732</v>
      </c>
      <c r="B793" s="1832">
        <f>'Expenditures 15-22'!D55</f>
        <v>22779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22779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6226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6258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61240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171346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22297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6735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67951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69467</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69467</v>
      </c>
      <c r="C843" s="2" t="s">
        <v>569</v>
      </c>
      <c r="D843" s="2" t="str">
        <f t="shared" si="12"/>
        <v>Error?</v>
      </c>
    </row>
    <row r="844" spans="1:4" x14ac:dyDescent="0.2">
      <c r="A844" s="5">
        <v>783</v>
      </c>
      <c r="B844" s="1832">
        <f>'Expenditures 15-22'!E44</f>
        <v>195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10160</v>
      </c>
      <c r="D846" s="2" t="str">
        <f t="shared" si="12"/>
        <v>Error?</v>
      </c>
    </row>
    <row r="847" spans="1:4" x14ac:dyDescent="0.2">
      <c r="A847" s="5">
        <v>786</v>
      </c>
      <c r="B847" s="1832">
        <f>'Expenditures 15-22'!E47</f>
        <v>10355</v>
      </c>
      <c r="C847" s="2" t="s">
        <v>569</v>
      </c>
      <c r="D847" s="2" t="str">
        <f t="shared" si="12"/>
        <v>Error?</v>
      </c>
    </row>
    <row r="848" spans="1:4" x14ac:dyDescent="0.2">
      <c r="A848" s="5">
        <v>787</v>
      </c>
      <c r="B848" s="1832">
        <f>'Expenditures 15-22'!E49</f>
        <v>7101</v>
      </c>
      <c r="D848" s="2" t="str">
        <f t="shared" si="12"/>
        <v>Error?</v>
      </c>
    </row>
    <row r="849" spans="1:4" x14ac:dyDescent="0.2">
      <c r="A849" s="5">
        <v>788</v>
      </c>
      <c r="B849" s="1832">
        <f>'Expenditures 15-22'!E50</f>
        <v>1166</v>
      </c>
      <c r="D849" s="2" t="str">
        <f t="shared" si="12"/>
        <v>Error?</v>
      </c>
    </row>
    <row r="850" spans="1:4" x14ac:dyDescent="0.2">
      <c r="A850" s="5">
        <v>789</v>
      </c>
      <c r="B850" s="1832">
        <f>'Expenditures 15-22'!E53</f>
        <v>8267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150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88239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156190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42571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7262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53663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176</v>
      </c>
      <c r="D903" s="2" t="str">
        <f t="shared" si="13"/>
        <v>Error?</v>
      </c>
    </row>
    <row r="904" spans="1:4" x14ac:dyDescent="0.2">
      <c r="A904" s="5">
        <v>843</v>
      </c>
      <c r="B904" s="1832">
        <f>'Expenditures 15-22'!F46</f>
        <v>1725</v>
      </c>
      <c r="D904" s="2" t="str">
        <f t="shared" si="13"/>
        <v>Error?</v>
      </c>
    </row>
    <row r="905" spans="1:4" x14ac:dyDescent="0.2">
      <c r="A905" s="5">
        <v>844</v>
      </c>
      <c r="B905" s="1832">
        <f>'Expenditures 15-22'!F47</f>
        <v>1901</v>
      </c>
      <c r="C905" s="2" t="s">
        <v>569</v>
      </c>
      <c r="D905" s="2" t="str">
        <f t="shared" si="13"/>
        <v>Error?</v>
      </c>
    </row>
    <row r="906" spans="1:4" x14ac:dyDescent="0.2">
      <c r="A906" s="5">
        <v>845</v>
      </c>
      <c r="B906" s="1832">
        <f>'Expenditures 15-22'!F49</f>
        <v>1114</v>
      </c>
      <c r="D906" s="2" t="str">
        <f t="shared" si="13"/>
        <v>Error?</v>
      </c>
    </row>
    <row r="907" spans="1:4" x14ac:dyDescent="0.2">
      <c r="A907" s="5">
        <v>846</v>
      </c>
      <c r="B907" s="1832">
        <f>'Expenditures 15-22'!F50</f>
        <v>2989</v>
      </c>
      <c r="D907" s="2" t="str">
        <f t="shared" si="13"/>
        <v>Error?</v>
      </c>
    </row>
    <row r="908" spans="1:4" x14ac:dyDescent="0.2">
      <c r="A908" s="5">
        <v>847</v>
      </c>
      <c r="B908" s="1832">
        <f>'Expenditures 15-22'!F53</f>
        <v>4103</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24190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32054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56244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62248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115911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16455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445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16900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7454</v>
      </c>
      <c r="D965" s="2" t="str">
        <f t="shared" si="14"/>
        <v>Error?</v>
      </c>
    </row>
    <row r="966" spans="1:4" x14ac:dyDescent="0.2">
      <c r="A966" s="5">
        <v>905</v>
      </c>
      <c r="B966" s="1832">
        <f>'Expenditures 15-22'!G53</f>
        <v>7454</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7454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24354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5296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4160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56392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7804</v>
      </c>
      <c r="D1022" s="2" t="str">
        <f t="shared" si="14"/>
        <v>Error?</v>
      </c>
    </row>
    <row r="1023" spans="1:4" x14ac:dyDescent="0.2">
      <c r="A1023" s="5">
        <v>962</v>
      </c>
      <c r="B1023" s="1832">
        <f>'Expenditures 15-22'!H50</f>
        <v>3882</v>
      </c>
      <c r="D1023" s="2" t="str">
        <f t="shared" ref="D1023:D1086" si="15">IF(ISBLANK(B1023),"OK",IF(A1023-B1023=0,"OK","Error?"))</f>
        <v>Error?</v>
      </c>
    </row>
    <row r="1024" spans="1:4" x14ac:dyDescent="0.2">
      <c r="A1024" s="5">
        <v>963</v>
      </c>
      <c r="B1024" s="1832">
        <f>'Expenditures 15-22'!H53</f>
        <v>11686</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320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107</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427</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12113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68505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738453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39619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1080167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69467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69467</v>
      </c>
      <c r="C1115" s="2" t="s">
        <v>569</v>
      </c>
      <c r="D1115" s="2" t="str">
        <f t="shared" si="16"/>
        <v>Error?</v>
      </c>
    </row>
    <row r="1116" spans="1:4" x14ac:dyDescent="0.2">
      <c r="A1116" s="5">
        <v>1055</v>
      </c>
      <c r="B1116" s="1832">
        <f>'Expenditures 15-22'!K44</f>
        <v>195</v>
      </c>
      <c r="C1116" s="2" t="s">
        <v>569</v>
      </c>
      <c r="D1116" s="2" t="str">
        <f t="shared" si="16"/>
        <v>Error?</v>
      </c>
    </row>
    <row r="1117" spans="1:4" x14ac:dyDescent="0.2">
      <c r="A1117" s="5">
        <v>1056</v>
      </c>
      <c r="B1117" s="1832">
        <f>'Expenditures 15-22'!K45</f>
        <v>1059</v>
      </c>
      <c r="C1117" s="2" t="s">
        <v>569</v>
      </c>
      <c r="D1117" s="2" t="str">
        <f t="shared" si="16"/>
        <v>Error?</v>
      </c>
    </row>
    <row r="1118" spans="1:4" x14ac:dyDescent="0.2">
      <c r="A1118" s="5">
        <v>1057</v>
      </c>
      <c r="B1118" s="1832">
        <f>'Expenditures 15-22'!K46</f>
        <v>11885</v>
      </c>
      <c r="C1118" s="2" t="s">
        <v>569</v>
      </c>
      <c r="D1118" s="2" t="str">
        <f t="shared" si="16"/>
        <v>Error?</v>
      </c>
    </row>
    <row r="1119" spans="1:4" x14ac:dyDescent="0.2">
      <c r="A1119" s="5">
        <v>1058</v>
      </c>
      <c r="B1119" s="1832">
        <f>'Expenditures 15-22'!K47</f>
        <v>13139</v>
      </c>
      <c r="C1119" s="2" t="s">
        <v>569</v>
      </c>
      <c r="D1119" s="2" t="str">
        <f t="shared" si="16"/>
        <v>Error?</v>
      </c>
    </row>
    <row r="1120" spans="1:4" x14ac:dyDescent="0.2">
      <c r="A1120" s="5">
        <v>1059</v>
      </c>
      <c r="B1120" s="1832">
        <f>'Expenditures 15-22'!K49</f>
        <v>24408</v>
      </c>
      <c r="C1120" s="2" t="s">
        <v>569</v>
      </c>
      <c r="D1120" s="2" t="str">
        <f t="shared" si="16"/>
        <v>Error?</v>
      </c>
    </row>
    <row r="1121" spans="1:4" x14ac:dyDescent="0.2">
      <c r="A1121" s="5">
        <v>1060</v>
      </c>
      <c r="B1121" s="1832">
        <f>'Expenditures 15-22'!K50</f>
        <v>294519</v>
      </c>
      <c r="C1121" s="2" t="s">
        <v>569</v>
      </c>
      <c r="D1121" s="2" t="str">
        <f t="shared" si="16"/>
        <v>Error?</v>
      </c>
    </row>
    <row r="1122" spans="1:4" x14ac:dyDescent="0.2">
      <c r="A1122" s="5">
        <v>1061</v>
      </c>
      <c r="B1122" s="1832">
        <f>'Expenditures 15-22'!K53</f>
        <v>318927</v>
      </c>
      <c r="C1122" s="2" t="s">
        <v>569</v>
      </c>
      <c r="D1122" s="2" t="str">
        <f t="shared" si="16"/>
        <v>Error?</v>
      </c>
    </row>
    <row r="1123" spans="1:4" x14ac:dyDescent="0.2">
      <c r="A1123" s="5">
        <v>1062</v>
      </c>
      <c r="B1123" s="1832">
        <f>'Expenditures 15-22'!K55</f>
        <v>129324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129324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79468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59959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139427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670284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1750451</v>
      </c>
      <c r="C1152" s="2" t="s">
        <v>569</v>
      </c>
      <c r="D1152" s="2" t="str">
        <f t="shared" si="17"/>
        <v>Error?</v>
      </c>
    </row>
    <row r="1153" spans="1:4" x14ac:dyDescent="0.2">
      <c r="A1153" s="5">
        <v>1092</v>
      </c>
      <c r="B1153" s="1832">
        <f>'Expenditures 15-22'!K115</f>
        <v>-150157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72486</v>
      </c>
      <c r="D1221" s="2" t="str">
        <f t="shared" si="18"/>
        <v>Error?</v>
      </c>
    </row>
    <row r="1222" spans="1:4" x14ac:dyDescent="0.2">
      <c r="A1222" s="10">
        <v>1161</v>
      </c>
      <c r="B1222" s="1832"/>
      <c r="D1222" s="2" t="str">
        <f t="shared" si="18"/>
        <v>OK</v>
      </c>
    </row>
    <row r="1223" spans="1:4" x14ac:dyDescent="0.2">
      <c r="A1223" s="5">
        <v>1162</v>
      </c>
      <c r="B1223" s="1832">
        <f>'Expenditures 15-22'!C127</f>
        <v>72486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72486</v>
      </c>
      <c r="C1225" s="2" t="s">
        <v>569</v>
      </c>
      <c r="D1225" s="2" t="str">
        <f t="shared" si="18"/>
        <v>Error?</v>
      </c>
    </row>
    <row r="1226" spans="1:4" x14ac:dyDescent="0.2">
      <c r="A1226" s="5">
        <v>1165</v>
      </c>
      <c r="B1226" s="1832">
        <f>'Expenditures 15-22'!C151</f>
        <v>96494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5969</v>
      </c>
      <c r="D1229" s="2" t="str">
        <f t="shared" si="18"/>
        <v>Error?</v>
      </c>
    </row>
    <row r="1230" spans="1:4" x14ac:dyDescent="0.2">
      <c r="A1230" s="10">
        <v>1169</v>
      </c>
      <c r="B1230" s="1832"/>
      <c r="D1230" s="2" t="str">
        <f t="shared" si="18"/>
        <v>OK</v>
      </c>
    </row>
    <row r="1231" spans="1:4" x14ac:dyDescent="0.2">
      <c r="A1231" s="5">
        <v>1170</v>
      </c>
      <c r="B1231" s="1832">
        <f>'Expenditures 15-22'!D127</f>
        <v>5969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5969</v>
      </c>
      <c r="C1233" s="2" t="s">
        <v>569</v>
      </c>
      <c r="D1233" s="2" t="str">
        <f t="shared" si="18"/>
        <v>Error?</v>
      </c>
    </row>
    <row r="1234" spans="1:4" x14ac:dyDescent="0.2">
      <c r="A1234" s="5">
        <v>1173</v>
      </c>
      <c r="B1234" s="1832">
        <f>'Expenditures 15-22'!D151</f>
        <v>5969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77180</v>
      </c>
      <c r="D1237" s="2" t="str">
        <f t="shared" si="18"/>
        <v>Error?</v>
      </c>
    </row>
    <row r="1238" spans="1:4" x14ac:dyDescent="0.2">
      <c r="A1238" s="10">
        <v>1177</v>
      </c>
      <c r="B1238" s="1832"/>
      <c r="D1238" s="2" t="str">
        <f t="shared" si="18"/>
        <v>OK</v>
      </c>
    </row>
    <row r="1239" spans="1:4" x14ac:dyDescent="0.2">
      <c r="A1239" s="5">
        <v>1178</v>
      </c>
      <c r="B1239" s="1832">
        <f>'Expenditures 15-22'!E127</f>
        <v>77180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77180</v>
      </c>
      <c r="C1241" s="2" t="s">
        <v>569</v>
      </c>
      <c r="D1241" s="2" t="str">
        <f t="shared" si="18"/>
        <v>Error?</v>
      </c>
    </row>
    <row r="1242" spans="1:4" x14ac:dyDescent="0.2">
      <c r="A1242" s="5">
        <v>1181</v>
      </c>
      <c r="B1242" s="1832">
        <f>'Expenditures 15-22'!E151</f>
        <v>101951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37998</v>
      </c>
      <c r="D1245" s="2" t="str">
        <f t="shared" si="18"/>
        <v>Error?</v>
      </c>
    </row>
    <row r="1246" spans="1:4" x14ac:dyDescent="0.2">
      <c r="A1246" s="10">
        <v>1185</v>
      </c>
      <c r="B1246" s="1832"/>
      <c r="D1246" s="2" t="str">
        <f t="shared" si="18"/>
        <v>OK</v>
      </c>
    </row>
    <row r="1247" spans="1:4" x14ac:dyDescent="0.2">
      <c r="A1247" s="5">
        <v>1186</v>
      </c>
      <c r="B1247" s="1832">
        <f>'Expenditures 15-22'!F127</f>
        <v>37998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37998</v>
      </c>
      <c r="C1249" s="2" t="s">
        <v>569</v>
      </c>
      <c r="D1249" s="2" t="str">
        <f t="shared" si="18"/>
        <v>Error?</v>
      </c>
    </row>
    <row r="1250" spans="1:4" x14ac:dyDescent="0.2">
      <c r="A1250" s="5">
        <v>1189</v>
      </c>
      <c r="B1250" s="1832">
        <f>'Expenditures 15-22'!F151</f>
        <v>37998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18165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18165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18165</v>
      </c>
      <c r="C1258" s="2" t="s">
        <v>569</v>
      </c>
      <c r="D1258" s="2" t="str">
        <f t="shared" si="18"/>
        <v>Error?</v>
      </c>
    </row>
    <row r="1259" spans="1:4" x14ac:dyDescent="0.2">
      <c r="A1259" s="5">
        <v>1198</v>
      </c>
      <c r="B1259" s="1832">
        <f>'Expenditures 15-22'!G151</f>
        <v>18165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3420</v>
      </c>
      <c r="D1262" s="2" t="str">
        <f t="shared" si="18"/>
        <v>Error?</v>
      </c>
    </row>
    <row r="1263" spans="1:4" x14ac:dyDescent="0.2">
      <c r="A1263" s="10">
        <v>1202</v>
      </c>
      <c r="B1263" s="1832"/>
      <c r="D1263" s="2" t="str">
        <f t="shared" si="18"/>
        <v>OK</v>
      </c>
    </row>
    <row r="1264" spans="1:4" x14ac:dyDescent="0.2">
      <c r="A1264" s="5">
        <v>1203</v>
      </c>
      <c r="B1264" s="1832">
        <f>'Expenditures 15-22'!H127</f>
        <v>3420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3420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3420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215218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215218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215218</v>
      </c>
      <c r="C1281" s="2" t="s">
        <v>569</v>
      </c>
      <c r="D1281" s="2" t="str">
        <f t="shared" si="19"/>
        <v>Error?</v>
      </c>
    </row>
    <row r="1282" spans="1:4" x14ac:dyDescent="0.2">
      <c r="A1282" s="5">
        <v>1221</v>
      </c>
      <c r="B1282" s="1832">
        <f>'Expenditures 15-22'!K139</f>
        <v>24771</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263997</v>
      </c>
      <c r="C1288" s="2" t="s">
        <v>569</v>
      </c>
      <c r="D1288" s="2" t="str">
        <f t="shared" si="19"/>
        <v>Error?</v>
      </c>
    </row>
    <row r="1289" spans="1:4" x14ac:dyDescent="0.2">
      <c r="A1289" s="5">
        <v>1228</v>
      </c>
      <c r="B1289" s="1832">
        <f>'Expenditures 15-22'!K152</f>
        <v>-16901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26939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26939</v>
      </c>
      <c r="C1339" s="2" t="s">
        <v>569</v>
      </c>
      <c r="D1339" s="2" t="str">
        <f t="shared" si="19"/>
        <v>Error?</v>
      </c>
    </row>
    <row r="1340" spans="1:4" x14ac:dyDescent="0.2">
      <c r="A1340" s="5">
        <v>1279</v>
      </c>
      <c r="B1340" s="1832">
        <f>'Expenditures 15-22'!C210</f>
        <v>26939</v>
      </c>
      <c r="C1340" s="2" t="s">
        <v>569</v>
      </c>
      <c r="D1340" s="2" t="str">
        <f t="shared" si="19"/>
        <v>Error?</v>
      </c>
    </row>
    <row r="1341" spans="1:4" x14ac:dyDescent="0.2">
      <c r="A1341" s="5">
        <v>1280</v>
      </c>
      <c r="B1341" s="1832">
        <f>'Expenditures 15-22'!D182</f>
        <v>4309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4309</v>
      </c>
      <c r="C1345" s="2" t="s">
        <v>569</v>
      </c>
      <c r="D1345" s="2" t="str">
        <f t="shared" si="20"/>
        <v>Error?</v>
      </c>
    </row>
    <row r="1346" spans="1:4" x14ac:dyDescent="0.2">
      <c r="A1346" s="5">
        <v>1285</v>
      </c>
      <c r="B1346" s="1832">
        <f>'Expenditures 15-22'!D210</f>
        <v>4309</v>
      </c>
      <c r="C1346" s="2" t="s">
        <v>569</v>
      </c>
      <c r="D1346" s="2" t="str">
        <f t="shared" si="20"/>
        <v>Error?</v>
      </c>
    </row>
    <row r="1347" spans="1:4" x14ac:dyDescent="0.2">
      <c r="A1347" s="5">
        <v>1286</v>
      </c>
      <c r="B1347" s="1832">
        <f>'Expenditures 15-22'!E182</f>
        <v>55090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55090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55090</v>
      </c>
      <c r="C1353" s="2" t="s">
        <v>569</v>
      </c>
      <c r="D1353" s="2" t="str">
        <f t="shared" si="20"/>
        <v>Error?</v>
      </c>
    </row>
    <row r="1354" spans="1:4" x14ac:dyDescent="0.2">
      <c r="A1354" s="5">
        <v>1293</v>
      </c>
      <c r="B1354" s="1832">
        <f>'Expenditures 15-22'!F182</f>
        <v>12841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12841</v>
      </c>
      <c r="C1358" s="2" t="s">
        <v>569</v>
      </c>
      <c r="D1358" s="2" t="str">
        <f t="shared" si="20"/>
        <v>Error?</v>
      </c>
    </row>
    <row r="1359" spans="1:4" x14ac:dyDescent="0.2">
      <c r="A1359" s="5">
        <v>1298</v>
      </c>
      <c r="B1359" s="1832">
        <f>'Expenditures 15-22'!F210</f>
        <v>12841</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7690</v>
      </c>
      <c r="C1375" s="2" t="s">
        <v>569</v>
      </c>
      <c r="D1375" s="2" t="str">
        <f t="shared" si="20"/>
        <v>Error?</v>
      </c>
    </row>
    <row r="1376" spans="1:4" x14ac:dyDescent="0.2">
      <c r="A1376" s="5">
        <v>1315</v>
      </c>
      <c r="B1376" s="1832">
        <f>'Expenditures 15-22'!H210</f>
        <v>7690</v>
      </c>
      <c r="C1376" s="2" t="s">
        <v>569</v>
      </c>
      <c r="D1376" s="2" t="str">
        <f t="shared" si="20"/>
        <v>Error?</v>
      </c>
    </row>
    <row r="1377" spans="1:4" x14ac:dyDescent="0.2">
      <c r="A1377" s="5">
        <v>1316</v>
      </c>
      <c r="B1377" s="1832">
        <f>'Expenditures 15-22'!K182</f>
        <v>99179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99179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7690</v>
      </c>
      <c r="C1387" s="2" t="s">
        <v>569</v>
      </c>
      <c r="D1387" s="2" t="str">
        <f t="shared" si="20"/>
        <v>Error?</v>
      </c>
    </row>
    <row r="1388" spans="1:4" x14ac:dyDescent="0.2">
      <c r="A1388" s="5">
        <v>1327</v>
      </c>
      <c r="B1388" s="1832">
        <f>'Expenditures 15-22'!K210</f>
        <v>106869</v>
      </c>
      <c r="C1388" s="2" t="s">
        <v>569</v>
      </c>
      <c r="D1388" s="2" t="str">
        <f t="shared" si="20"/>
        <v>Error?</v>
      </c>
    </row>
    <row r="1389" spans="1:4" x14ac:dyDescent="0.2">
      <c r="A1389" s="5">
        <v>1328</v>
      </c>
      <c r="B1389" s="1832">
        <f>'Expenditures 15-22'!K211</f>
        <v>81247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1618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23715</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68</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68</v>
      </c>
      <c r="C1421" s="2" t="s">
        <v>569</v>
      </c>
      <c r="D1421" s="2" t="str">
        <f t="shared" si="21"/>
        <v>Error?</v>
      </c>
    </row>
    <row r="1422" spans="1:4" x14ac:dyDescent="0.2">
      <c r="A1422" s="5">
        <v>1361</v>
      </c>
      <c r="B1422" s="1832">
        <f>'Expenditures 15-22'!D245</f>
        <v>814</v>
      </c>
      <c r="D1422" s="2" t="str">
        <f t="shared" si="21"/>
        <v>Error?</v>
      </c>
    </row>
    <row r="1423" spans="1:4" x14ac:dyDescent="0.2">
      <c r="A1423" s="5">
        <v>1362</v>
      </c>
      <c r="B1423" s="1832">
        <f>'Expenditures 15-22'!D246</f>
        <v>3852</v>
      </c>
      <c r="D1423" s="2" t="str">
        <f t="shared" si="21"/>
        <v>Error?</v>
      </c>
    </row>
    <row r="1424" spans="1:4" x14ac:dyDescent="0.2">
      <c r="A1424" s="5">
        <v>1363</v>
      </c>
      <c r="B1424" s="1832">
        <f>'Expenditures 15-22'!D257</f>
        <v>4666</v>
      </c>
      <c r="C1424" s="2" t="s">
        <v>569</v>
      </c>
      <c r="D1424" s="2" t="str">
        <f t="shared" si="21"/>
        <v>Error?</v>
      </c>
    </row>
    <row r="1425" spans="1:4" x14ac:dyDescent="0.2">
      <c r="A1425" s="5">
        <v>1364</v>
      </c>
      <c r="B1425" s="1832">
        <f>'Expenditures 15-22'!D259</f>
        <v>4179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4179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7002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10577</v>
      </c>
      <c r="D1431" s="2" t="str">
        <f t="shared" si="21"/>
        <v>Error?</v>
      </c>
    </row>
    <row r="1432" spans="1:4" x14ac:dyDescent="0.2">
      <c r="A1432" s="5">
        <v>1371</v>
      </c>
      <c r="B1432" s="1832">
        <f>'Expenditures 15-22'!D267</f>
        <v>2500</v>
      </c>
      <c r="D1432" s="2" t="str">
        <f t="shared" si="21"/>
        <v>Error?</v>
      </c>
    </row>
    <row r="1433" spans="1:4" x14ac:dyDescent="0.2">
      <c r="A1433" s="5">
        <v>1372</v>
      </c>
      <c r="B1433" s="1832">
        <f>'Expenditures 15-22'!D268</f>
        <v>4678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24757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33670</v>
      </c>
      <c r="C1446" s="2" t="s">
        <v>569</v>
      </c>
      <c r="D1446" s="2" t="str">
        <f t="shared" si="21"/>
        <v>Error?</v>
      </c>
    </row>
    <row r="1447" spans="1:4" x14ac:dyDescent="0.2">
      <c r="A1447" s="5">
        <v>1386</v>
      </c>
      <c r="B1447" s="1832">
        <f>'Expenditures 15-22'!D280</f>
        <v>2387</v>
      </c>
      <c r="D1447" s="2" t="str">
        <f t="shared" si="21"/>
        <v>Error?</v>
      </c>
    </row>
    <row r="1448" spans="1:4" x14ac:dyDescent="0.2">
      <c r="A1448" s="5">
        <v>1387</v>
      </c>
      <c r="B1448" s="1832">
        <f>'Expenditures 15-22'!D295</f>
        <v>59772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1618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23715</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68</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68</v>
      </c>
      <c r="C1485" s="2" t="s">
        <v>569</v>
      </c>
      <c r="D1485" s="2" t="str">
        <f t="shared" si="22"/>
        <v>Error?</v>
      </c>
    </row>
    <row r="1486" spans="1:4" x14ac:dyDescent="0.2">
      <c r="A1486" s="5">
        <v>1425</v>
      </c>
      <c r="B1486" s="1832">
        <f>'Expenditures 15-22'!K245</f>
        <v>814</v>
      </c>
      <c r="C1486" s="2" t="s">
        <v>569</v>
      </c>
      <c r="D1486" s="2" t="str">
        <f t="shared" si="22"/>
        <v>Error?</v>
      </c>
    </row>
    <row r="1487" spans="1:4" x14ac:dyDescent="0.2">
      <c r="A1487" s="5">
        <v>1426</v>
      </c>
      <c r="B1487" s="1832">
        <f>'Expenditures 15-22'!K246</f>
        <v>3852</v>
      </c>
      <c r="C1487" s="2" t="s">
        <v>569</v>
      </c>
      <c r="D1487" s="2" t="str">
        <f t="shared" si="22"/>
        <v>Error?</v>
      </c>
    </row>
    <row r="1488" spans="1:4" x14ac:dyDescent="0.2">
      <c r="A1488" s="5">
        <v>1427</v>
      </c>
      <c r="B1488" s="1832">
        <f>'Expenditures 15-22'!K257</f>
        <v>4666</v>
      </c>
      <c r="C1488" s="2" t="s">
        <v>569</v>
      </c>
      <c r="D1488" s="2" t="str">
        <f t="shared" si="22"/>
        <v>Error?</v>
      </c>
    </row>
    <row r="1489" spans="1:4" x14ac:dyDescent="0.2">
      <c r="A1489" s="5">
        <v>1428</v>
      </c>
      <c r="B1489" s="1832">
        <f>'Expenditures 15-22'!K259</f>
        <v>4179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4179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7002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10577</v>
      </c>
      <c r="C1495" s="2" t="s">
        <v>569</v>
      </c>
      <c r="D1495" s="2" t="str">
        <f t="shared" si="22"/>
        <v>Error?</v>
      </c>
    </row>
    <row r="1496" spans="1:4" x14ac:dyDescent="0.2">
      <c r="A1496" s="5">
        <v>1435</v>
      </c>
      <c r="B1496" s="1832">
        <f>'Expenditures 15-22'!K267</f>
        <v>2500</v>
      </c>
      <c r="C1496" s="2" t="s">
        <v>569</v>
      </c>
      <c r="D1496" s="2" t="str">
        <f t="shared" si="22"/>
        <v>Error?</v>
      </c>
    </row>
    <row r="1497" spans="1:4" x14ac:dyDescent="0.2">
      <c r="A1497" s="5">
        <v>1436</v>
      </c>
      <c r="B1497" s="1832">
        <f>'Expenditures 15-22'!K268</f>
        <v>4678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24757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33670</v>
      </c>
      <c r="C1510" s="2" t="s">
        <v>569</v>
      </c>
      <c r="D1510" s="2" t="str">
        <f t="shared" si="22"/>
        <v>Error?</v>
      </c>
    </row>
    <row r="1511" spans="1:4" x14ac:dyDescent="0.2">
      <c r="A1511" s="5">
        <v>1450</v>
      </c>
      <c r="B1511" s="1832">
        <f>'Expenditures 15-22'!K280</f>
        <v>2387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59772</v>
      </c>
      <c r="C1517" s="2" t="s">
        <v>569</v>
      </c>
      <c r="D1517" s="2" t="str">
        <f t="shared" si="22"/>
        <v>Error?</v>
      </c>
    </row>
    <row r="1518" spans="1:4" x14ac:dyDescent="0.2">
      <c r="A1518" s="5">
        <v>1457</v>
      </c>
      <c r="B1518" s="1832">
        <f>'Expenditures 15-22'!K296</f>
        <v>-37418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35000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35000</v>
      </c>
      <c r="C1547" s="2" t="s">
        <v>569</v>
      </c>
      <c r="D1547" s="2" t="str">
        <f t="shared" si="23"/>
        <v>Error?</v>
      </c>
    </row>
    <row r="1548" spans="1:4" x14ac:dyDescent="0.2">
      <c r="A1548" s="5">
        <v>1487</v>
      </c>
      <c r="B1548" s="1832">
        <f>'Expenditures 15-22'!G312</f>
        <v>35000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35000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35000</v>
      </c>
      <c r="C1559" s="2" t="s">
        <v>569</v>
      </c>
      <c r="D1559" s="2" t="str">
        <f t="shared" si="23"/>
        <v>Error?</v>
      </c>
    </row>
    <row r="1560" spans="1:4" x14ac:dyDescent="0.2">
      <c r="A1560" s="5">
        <v>1499</v>
      </c>
      <c r="B1560" s="1832">
        <f>'Expenditures 15-22'!K312</f>
        <v>35000</v>
      </c>
      <c r="C1560" s="2" t="s">
        <v>569</v>
      </c>
      <c r="D1560" s="2" t="str">
        <f t="shared" si="23"/>
        <v>Error?</v>
      </c>
    </row>
    <row r="1561" spans="1:4" x14ac:dyDescent="0.2">
      <c r="A1561" s="5">
        <v>1500</v>
      </c>
      <c r="B1561" s="1832">
        <f>'Expenditures 15-22'!K313</f>
        <v>84424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2232236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2082079</v>
      </c>
      <c r="C1630" s="2" t="s">
        <v>569</v>
      </c>
      <c r="D1630" s="2" t="str">
        <f t="shared" si="24"/>
        <v>Error?</v>
      </c>
    </row>
    <row r="1631" spans="1:4" x14ac:dyDescent="0.2">
      <c r="A1631" s="5">
        <v>1570</v>
      </c>
      <c r="B1631" s="1832">
        <f>'Acct Summary 7-8'!D79</f>
        <v>612002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595101</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586912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668159</v>
      </c>
      <c r="C1672" s="2" t="s">
        <v>569</v>
      </c>
      <c r="D1672" s="2" t="str">
        <f t="shared" si="25"/>
        <v>Error?</v>
      </c>
    </row>
    <row r="1673" spans="1:4" x14ac:dyDescent="0.2">
      <c r="A1673" s="5">
        <v>1612</v>
      </c>
      <c r="B1673" s="1832">
        <f>'Acct Summary 7-8'!G79</f>
        <v>64980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27562</v>
      </c>
      <c r="C1686" s="2" t="s">
        <v>569</v>
      </c>
      <c r="D1686" s="2" t="str">
        <f t="shared" si="25"/>
        <v>Error?</v>
      </c>
    </row>
    <row r="1687" spans="1:4" x14ac:dyDescent="0.2">
      <c r="A1687" s="5">
        <v>1626</v>
      </c>
      <c r="B1687" s="1832">
        <f>'Acct Summary 7-8'!H79</f>
        <v>148455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232879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817416</v>
      </c>
      <c r="C1744" s="2" t="s">
        <v>569</v>
      </c>
      <c r="D1744" s="2" t="str">
        <f t="shared" si="26"/>
        <v>Error?</v>
      </c>
    </row>
    <row r="1745" spans="1:5" x14ac:dyDescent="0.2">
      <c r="A1745" s="5">
        <v>1684</v>
      </c>
      <c r="B1745" s="1832">
        <f>'Tax Sched 23'!B5</f>
        <v>104641</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19933</v>
      </c>
      <c r="C1747" s="2" t="s">
        <v>569</v>
      </c>
      <c r="D1747" s="2" t="str">
        <f t="shared" si="26"/>
        <v>Error?</v>
      </c>
    </row>
    <row r="1748" spans="1:5" x14ac:dyDescent="0.2">
      <c r="A1748" s="5">
        <v>1687</v>
      </c>
      <c r="B1748" s="1832">
        <f>'Tax Sched 23'!B8</f>
        <v>6977</v>
      </c>
      <c r="C1748" s="2" t="s">
        <v>569</v>
      </c>
      <c r="D1748" s="2" t="str">
        <f t="shared" si="26"/>
        <v>Error?</v>
      </c>
    </row>
    <row r="1749" spans="1:5" x14ac:dyDescent="0.2">
      <c r="A1749" s="5">
        <v>1688</v>
      </c>
      <c r="B1749" s="1832">
        <f>'Tax Sched 23'!B10</f>
        <v>13095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13955</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31892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1014886</v>
      </c>
      <c r="C1759" s="2" t="s">
        <v>569</v>
      </c>
      <c r="D1759" s="2" t="str">
        <f t="shared" si="26"/>
        <v>Error?</v>
      </c>
    </row>
    <row r="1760" spans="1:5" x14ac:dyDescent="0.2">
      <c r="A1760" s="5">
        <v>1699</v>
      </c>
      <c r="B1760" s="1832">
        <f>'Tax Sched 23'!D4</f>
        <v>817416</v>
      </c>
      <c r="C1760" s="2" t="s">
        <v>569</v>
      </c>
      <c r="D1760" s="2" t="str">
        <f t="shared" si="26"/>
        <v>Error?</v>
      </c>
    </row>
    <row r="1761" spans="1:7" x14ac:dyDescent="0.2">
      <c r="A1761" s="5">
        <v>1700</v>
      </c>
      <c r="B1761" s="1832">
        <f>'Tax Sched 23'!D5</f>
        <v>104641</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19933</v>
      </c>
      <c r="C1763" s="2" t="s">
        <v>569</v>
      </c>
      <c r="D1763" s="2" t="str">
        <f t="shared" si="26"/>
        <v>Error?</v>
      </c>
    </row>
    <row r="1764" spans="1:7" x14ac:dyDescent="0.2">
      <c r="A1764" s="5">
        <v>1703</v>
      </c>
      <c r="B1764" s="1832">
        <f>'Tax Sched 23'!D8</f>
        <v>6977</v>
      </c>
      <c r="C1764" s="2" t="s">
        <v>569</v>
      </c>
      <c r="D1764" s="2" t="str">
        <f t="shared" si="26"/>
        <v>Error?</v>
      </c>
    </row>
    <row r="1765" spans="1:7" x14ac:dyDescent="0.2">
      <c r="A1765" s="5">
        <v>1704</v>
      </c>
      <c r="B1765" s="1832">
        <f>'Tax Sched 23'!D10</f>
        <v>13095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13955</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31892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1014886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819252</v>
      </c>
      <c r="C1792" s="2" t="s">
        <v>569</v>
      </c>
      <c r="D1792" s="2" t="str">
        <f t="shared" si="27"/>
        <v>Error?</v>
      </c>
    </row>
    <row r="1793" spans="1:4" x14ac:dyDescent="0.2">
      <c r="A1793" s="5">
        <v>1732</v>
      </c>
      <c r="B1793" s="1832">
        <f>'Tax Sched 23'!F5</f>
        <v>91001</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15002</v>
      </c>
      <c r="C1795" s="2" t="s">
        <v>569</v>
      </c>
      <c r="D1795" s="2" t="str">
        <f t="shared" si="27"/>
        <v>Error?</v>
      </c>
    </row>
    <row r="1796" spans="1:4" x14ac:dyDescent="0.2">
      <c r="A1796" s="5">
        <v>1735</v>
      </c>
      <c r="B1796" s="1832">
        <f>'Tax Sched 23'!F8</f>
        <v>22002</v>
      </c>
      <c r="C1796" s="2" t="s">
        <v>569</v>
      </c>
      <c r="D1796" s="2" t="str">
        <f t="shared" si="27"/>
        <v>Error?</v>
      </c>
    </row>
    <row r="1797" spans="1:4" x14ac:dyDescent="0.2">
      <c r="A1797" s="5">
        <v>1736</v>
      </c>
      <c r="B1797" s="1832">
        <f>'Tax Sched 23'!F10</f>
        <v>8003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22002</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38002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1037266</v>
      </c>
      <c r="C1807" s="2" t="s">
        <v>569</v>
      </c>
      <c r="D1807" s="2" t="str">
        <f t="shared" si="27"/>
        <v>Error?</v>
      </c>
    </row>
    <row r="1808" spans="1:4" x14ac:dyDescent="0.2">
      <c r="A1808" s="5">
        <v>1747</v>
      </c>
      <c r="B1808" s="1832">
        <f>'Tax Sched 23'!E4</f>
        <v>819252</v>
      </c>
      <c r="D1808" s="2" t="str">
        <f t="shared" si="27"/>
        <v>Error?</v>
      </c>
    </row>
    <row r="1809" spans="1:4" x14ac:dyDescent="0.2">
      <c r="A1809" s="5">
        <v>1748</v>
      </c>
      <c r="B1809" s="1832">
        <f>'Tax Sched 23'!E5</f>
        <v>91001</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15002</v>
      </c>
      <c r="D1811" s="2" t="str">
        <f t="shared" si="27"/>
        <v>Error?</v>
      </c>
    </row>
    <row r="1812" spans="1:4" x14ac:dyDescent="0.2">
      <c r="A1812" s="5">
        <v>1751</v>
      </c>
      <c r="B1812" s="1832">
        <f>'Tax Sched 23'!E8</f>
        <v>22002</v>
      </c>
      <c r="D1812" s="2" t="str">
        <f t="shared" si="27"/>
        <v>Error?</v>
      </c>
    </row>
    <row r="1813" spans="1:4" x14ac:dyDescent="0.2">
      <c r="A1813" s="5">
        <v>1752</v>
      </c>
      <c r="B1813" s="1832">
        <f>'Tax Sched 23'!E10</f>
        <v>8003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22002</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38002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1037266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43865</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31892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31892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31892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166496</v>
      </c>
      <c r="D2008" s="2" t="str">
        <f t="shared" si="30"/>
        <v>Error?</v>
      </c>
    </row>
    <row r="2009" spans="1:4" x14ac:dyDescent="0.2">
      <c r="A2009" s="5">
        <v>1948</v>
      </c>
      <c r="B2009" s="1832">
        <f>'Cap Outlay Deprec 26'!C8</f>
        <v>3145470</v>
      </c>
      <c r="D2009" s="2" t="str">
        <f t="shared" si="30"/>
        <v>Error?</v>
      </c>
    </row>
    <row r="2010" spans="1:4" x14ac:dyDescent="0.2">
      <c r="A2010" s="5">
        <v>1949</v>
      </c>
      <c r="B2010" s="1832">
        <f>'Cap Outlay Deprec 26'!C10</f>
        <v>98740</v>
      </c>
      <c r="D2010" s="2" t="str">
        <f t="shared" si="30"/>
        <v>Error?</v>
      </c>
    </row>
    <row r="2011" spans="1:4" x14ac:dyDescent="0.2">
      <c r="A2011" s="5">
        <v>1950</v>
      </c>
      <c r="B2011" s="1832">
        <f>'Cap Outlay Deprec 26'!C12</f>
        <v>279949</v>
      </c>
      <c r="D2011" s="2" t="str">
        <f t="shared" si="30"/>
        <v>Error?</v>
      </c>
    </row>
    <row r="2012" spans="1:4" x14ac:dyDescent="0.2">
      <c r="A2012" s="5">
        <v>1951</v>
      </c>
      <c r="B2012" s="1832">
        <f>'Cap Outlay Deprec 26'!C13</f>
        <v>71185</v>
      </c>
      <c r="D2012" s="2" t="str">
        <f t="shared" si="30"/>
        <v>Error?</v>
      </c>
    </row>
    <row r="2013" spans="1:4" x14ac:dyDescent="0.2">
      <c r="A2013" s="5">
        <v>1952</v>
      </c>
      <c r="B2013" s="1832">
        <f>'Cap Outlay Deprec 26'!C16</f>
        <v>3761840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41820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3597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45417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166496</v>
      </c>
      <c r="C2026" s="2" t="s">
        <v>569</v>
      </c>
      <c r="D2026" s="2" t="str">
        <f t="shared" si="30"/>
        <v>Error?</v>
      </c>
    </row>
    <row r="2027" spans="1:4" x14ac:dyDescent="0.2">
      <c r="A2027" s="5">
        <v>1966</v>
      </c>
      <c r="B2027" s="1832">
        <f>'Cap Outlay Deprec 26'!F8</f>
        <v>3187290</v>
      </c>
      <c r="C2027" s="2" t="s">
        <v>569</v>
      </c>
      <c r="D2027" s="2" t="str">
        <f t="shared" si="30"/>
        <v>Error?</v>
      </c>
    </row>
    <row r="2028" spans="1:4" x14ac:dyDescent="0.2">
      <c r="A2028" s="5">
        <v>1967</v>
      </c>
      <c r="B2028" s="1832">
        <f>'Cap Outlay Deprec 26'!F10</f>
        <v>98740</v>
      </c>
      <c r="C2028" s="2" t="s">
        <v>569</v>
      </c>
      <c r="D2028" s="2" t="str">
        <f t="shared" si="30"/>
        <v>Error?</v>
      </c>
    </row>
    <row r="2029" spans="1:4" x14ac:dyDescent="0.2">
      <c r="A2029" s="5">
        <v>1968</v>
      </c>
      <c r="B2029" s="1832">
        <f>'Cap Outlay Deprec 26'!F12</f>
        <v>283546</v>
      </c>
      <c r="C2029" s="2" t="s">
        <v>569</v>
      </c>
      <c r="D2029" s="2" t="str">
        <f t="shared" si="30"/>
        <v>Error?</v>
      </c>
    </row>
    <row r="2030" spans="1:4" x14ac:dyDescent="0.2">
      <c r="A2030" s="5">
        <v>1969</v>
      </c>
      <c r="B2030" s="1832">
        <f>'Cap Outlay Deprec 26'!F13</f>
        <v>71185</v>
      </c>
      <c r="C2030" s="2" t="s">
        <v>569</v>
      </c>
      <c r="D2030" s="2" t="str">
        <f t="shared" si="30"/>
        <v>Error?</v>
      </c>
    </row>
    <row r="2031" spans="1:4" x14ac:dyDescent="0.2">
      <c r="A2031" s="5">
        <v>1970</v>
      </c>
      <c r="B2031" s="1832">
        <f>'Cap Outlay Deprec 26'!F16</f>
        <v>3807257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1131384</v>
      </c>
      <c r="D2033" s="2" t="str">
        <f t="shared" si="30"/>
        <v>Error?</v>
      </c>
    </row>
    <row r="2034" spans="1:4" x14ac:dyDescent="0.2">
      <c r="A2034" s="5">
        <v>1973</v>
      </c>
      <c r="B2034" s="1832">
        <f>'Cap Outlay Deprec 26'!H10</f>
        <v>57803</v>
      </c>
      <c r="D2034" s="2" t="str">
        <f t="shared" si="30"/>
        <v>Error?</v>
      </c>
    </row>
    <row r="2035" spans="1:4" x14ac:dyDescent="0.2">
      <c r="A2035" s="5">
        <v>1974</v>
      </c>
      <c r="B2035" s="1832">
        <f>'Cap Outlay Deprec 26'!H12</f>
        <v>124442</v>
      </c>
      <c r="D2035" s="2" t="str">
        <f t="shared" si="30"/>
        <v>Error?</v>
      </c>
    </row>
    <row r="2036" spans="1:4" x14ac:dyDescent="0.2">
      <c r="A2036" s="5">
        <v>1975</v>
      </c>
      <c r="B2036" s="1832">
        <f>'Cap Outlay Deprec 26'!H13</f>
        <v>26015</v>
      </c>
      <c r="D2036" s="2" t="str">
        <f t="shared" si="30"/>
        <v>Error?</v>
      </c>
    </row>
    <row r="2037" spans="1:4" x14ac:dyDescent="0.2">
      <c r="A2037" s="5">
        <v>1976</v>
      </c>
      <c r="B2037" s="1832">
        <f>'Cap Outlay Deprec 26'!H16</f>
        <v>1339644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56014</v>
      </c>
      <c r="D2039" s="2" t="str">
        <f t="shared" si="30"/>
        <v>Error?</v>
      </c>
    </row>
    <row r="2040" spans="1:4" x14ac:dyDescent="0.2">
      <c r="A2040" s="5">
        <v>1979</v>
      </c>
      <c r="B2040" s="1832">
        <f>'Cap Outlay Deprec 26'!I10</f>
        <v>2857</v>
      </c>
      <c r="D2040" s="2" t="str">
        <f t="shared" si="30"/>
        <v>Error?</v>
      </c>
    </row>
    <row r="2041" spans="1:4" x14ac:dyDescent="0.2">
      <c r="A2041" s="5">
        <v>1980</v>
      </c>
      <c r="B2041" s="1832">
        <f>'Cap Outlay Deprec 26'!I12</f>
        <v>24520</v>
      </c>
      <c r="D2041" s="2" t="str">
        <f t="shared" si="30"/>
        <v>Error?</v>
      </c>
    </row>
    <row r="2042" spans="1:4" x14ac:dyDescent="0.2">
      <c r="A2042" s="5">
        <v>1981</v>
      </c>
      <c r="B2042" s="1832">
        <f>'Cap Outlay Deprec 26'!I13</f>
        <v>14237</v>
      </c>
      <c r="D2042" s="2" t="str">
        <f t="shared" si="30"/>
        <v>Error?</v>
      </c>
    </row>
    <row r="2043" spans="1:4" x14ac:dyDescent="0.2">
      <c r="A2043" s="5">
        <v>1982</v>
      </c>
      <c r="B2043" s="1832">
        <f>'Cap Outlay Deprec 26'!I16</f>
        <v>97628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1187398</v>
      </c>
      <c r="C2051" s="2" t="s">
        <v>569</v>
      </c>
      <c r="D2051" s="2" t="str">
        <f t="shared" si="31"/>
        <v>Error?</v>
      </c>
    </row>
    <row r="2052" spans="1:4" x14ac:dyDescent="0.2">
      <c r="A2052" s="5">
        <v>1991</v>
      </c>
      <c r="B2052" s="1832">
        <f>'Cap Outlay Deprec 26'!K10</f>
        <v>60660</v>
      </c>
      <c r="C2052" s="2" t="s">
        <v>569</v>
      </c>
      <c r="D2052" s="2" t="str">
        <f t="shared" si="31"/>
        <v>Error?</v>
      </c>
    </row>
    <row r="2053" spans="1:4" x14ac:dyDescent="0.2">
      <c r="A2053" s="5">
        <v>1992</v>
      </c>
      <c r="B2053" s="1832">
        <f>'Cap Outlay Deprec 26'!K12</f>
        <v>148962</v>
      </c>
      <c r="C2053" s="2" t="s">
        <v>569</v>
      </c>
      <c r="D2053" s="2" t="str">
        <f t="shared" si="31"/>
        <v>Error?</v>
      </c>
    </row>
    <row r="2054" spans="1:4" x14ac:dyDescent="0.2">
      <c r="A2054" s="5">
        <v>1993</v>
      </c>
      <c r="B2054" s="1832">
        <f>'Cap Outlay Deprec 26'!K13</f>
        <v>40252</v>
      </c>
      <c r="C2054" s="2" t="s">
        <v>569</v>
      </c>
      <c r="D2054" s="2" t="str">
        <f t="shared" si="31"/>
        <v>Error?</v>
      </c>
    </row>
    <row r="2055" spans="1:4" x14ac:dyDescent="0.2">
      <c r="A2055" s="5">
        <v>1994</v>
      </c>
      <c r="B2055" s="1832">
        <f>'Cap Outlay Deprec 26'!K16</f>
        <v>1437272</v>
      </c>
      <c r="C2055" s="2" t="s">
        <v>569</v>
      </c>
      <c r="D2055" s="2" t="str">
        <f t="shared" si="31"/>
        <v>Error?</v>
      </c>
    </row>
    <row r="2056" spans="1:4" x14ac:dyDescent="0.2">
      <c r="A2056" s="5">
        <v>1995</v>
      </c>
      <c r="B2056" s="1832">
        <f>'Cap Outlay Deprec 26'!L5</f>
        <v>166496</v>
      </c>
      <c r="C2056" s="2" t="s">
        <v>569</v>
      </c>
      <c r="D2056" s="2" t="str">
        <f t="shared" si="31"/>
        <v>Error?</v>
      </c>
    </row>
    <row r="2057" spans="1:4" x14ac:dyDescent="0.2">
      <c r="A2057" s="5">
        <v>1996</v>
      </c>
      <c r="B2057" s="1832">
        <f>'Cap Outlay Deprec 26'!L8</f>
        <v>1999892</v>
      </c>
      <c r="C2057" s="2" t="s">
        <v>569</v>
      </c>
      <c r="D2057" s="2" t="str">
        <f t="shared" si="31"/>
        <v>Error?</v>
      </c>
    </row>
    <row r="2058" spans="1:4" x14ac:dyDescent="0.2">
      <c r="A2058" s="5">
        <v>1997</v>
      </c>
      <c r="B2058" s="1832">
        <f>'Cap Outlay Deprec 26'!L10</f>
        <v>38080</v>
      </c>
      <c r="C2058" s="2" t="s">
        <v>569</v>
      </c>
      <c r="D2058" s="2" t="str">
        <f t="shared" si="31"/>
        <v>Error?</v>
      </c>
    </row>
    <row r="2059" spans="1:4" x14ac:dyDescent="0.2">
      <c r="A2059" s="5">
        <v>1998</v>
      </c>
      <c r="B2059" s="1832">
        <f>'Cap Outlay Deprec 26'!L12</f>
        <v>134584</v>
      </c>
      <c r="C2059" s="2" t="s">
        <v>569</v>
      </c>
      <c r="D2059" s="2" t="str">
        <f t="shared" si="31"/>
        <v>Error?</v>
      </c>
    </row>
    <row r="2060" spans="1:4" x14ac:dyDescent="0.2">
      <c r="A2060" s="5">
        <v>1999</v>
      </c>
      <c r="B2060" s="1832">
        <f>'Cap Outlay Deprec 26'!L13</f>
        <v>30933</v>
      </c>
      <c r="C2060" s="2" t="s">
        <v>569</v>
      </c>
      <c r="D2060" s="2" t="str">
        <f t="shared" si="31"/>
        <v>Error?</v>
      </c>
    </row>
    <row r="2061" spans="1:4" x14ac:dyDescent="0.2">
      <c r="A2061" s="5">
        <v>2000</v>
      </c>
      <c r="B2061" s="1832">
        <f>'Cap Outlay Deprec 26'!L16</f>
        <v>2369985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24771</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105068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27562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1121696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413520</v>
      </c>
      <c r="C2553" s="2" t="s">
        <v>569</v>
      </c>
      <c r="D2553" s="2" t="str">
        <f t="shared" si="38"/>
        <v>Error?</v>
      </c>
    </row>
    <row r="2554" spans="1:4" x14ac:dyDescent="0.2">
      <c r="A2554" s="5">
        <v>2493</v>
      </c>
      <c r="B2554" s="1832">
        <f>'Acct Summary 7-8'!C7</f>
        <v>65078</v>
      </c>
      <c r="C2554" s="2" t="s">
        <v>569</v>
      </c>
      <c r="D2554" s="2" t="str">
        <f t="shared" si="38"/>
        <v>Error?</v>
      </c>
    </row>
    <row r="2555" spans="1:4" x14ac:dyDescent="0.2">
      <c r="A2555" s="5">
        <v>2494</v>
      </c>
      <c r="B2555" s="1832">
        <f>'Acct Summary 7-8'!C8</f>
        <v>1600294</v>
      </c>
      <c r="C2555" s="2" t="s">
        <v>569</v>
      </c>
      <c r="D2555" s="2" t="str">
        <f t="shared" si="38"/>
        <v>Error?</v>
      </c>
    </row>
    <row r="2556" spans="1:4" x14ac:dyDescent="0.2">
      <c r="A2556" s="5">
        <v>2495</v>
      </c>
      <c r="B2556" s="1832">
        <f>'Acct Summary 7-8'!C12</f>
        <v>1080167</v>
      </c>
      <c r="C2556" s="2" t="s">
        <v>569</v>
      </c>
      <c r="D2556" s="2" t="str">
        <f t="shared" si="38"/>
        <v>Error?</v>
      </c>
    </row>
    <row r="2557" spans="1:4" x14ac:dyDescent="0.2">
      <c r="A2557" s="5">
        <v>2496</v>
      </c>
      <c r="B2557" s="1832">
        <f>'Acct Summary 7-8'!C13</f>
        <v>670284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1750451</v>
      </c>
      <c r="C2561" s="2" t="s">
        <v>569</v>
      </c>
      <c r="D2561" s="2" t="str">
        <f t="shared" si="39"/>
        <v>Error?</v>
      </c>
    </row>
    <row r="2562" spans="1:4" x14ac:dyDescent="0.2">
      <c r="A2562" s="5">
        <v>2501</v>
      </c>
      <c r="B2562" s="1832">
        <f>'Acct Summary 7-8'!C20</f>
        <v>-150157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165096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82000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247096</v>
      </c>
      <c r="C2568" s="2" t="s">
        <v>569</v>
      </c>
      <c r="D2568" s="2" t="str">
        <f t="shared" si="39"/>
        <v>Error?</v>
      </c>
    </row>
    <row r="2569" spans="1:4" x14ac:dyDescent="0.2">
      <c r="A2569" s="5">
        <v>2508</v>
      </c>
      <c r="B2569" s="1832">
        <f>'Acct Summary 7-8'!D13</f>
        <v>215218</v>
      </c>
      <c r="C2569" s="2" t="s">
        <v>569</v>
      </c>
      <c r="D2569" s="2" t="str">
        <f t="shared" si="39"/>
        <v>Error?</v>
      </c>
    </row>
    <row r="2570" spans="1:4" x14ac:dyDescent="0.2">
      <c r="A2570" s="5">
        <v>2509</v>
      </c>
      <c r="B2570" s="1832">
        <f>'Acct Summary 7-8'!D14</f>
        <v>24008</v>
      </c>
      <c r="C2570" s="2" t="s">
        <v>569</v>
      </c>
      <c r="D2570" s="2" t="str">
        <f t="shared" si="39"/>
        <v>Error?</v>
      </c>
    </row>
    <row r="2571" spans="1:4" x14ac:dyDescent="0.2">
      <c r="A2571" s="5">
        <v>2510</v>
      </c>
      <c r="B2571" s="1832">
        <f>'Acct Summary 7-8'!D15</f>
        <v>24771</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263997</v>
      </c>
      <c r="C2573" s="2" t="s">
        <v>569</v>
      </c>
      <c r="D2573" s="2" t="str">
        <f t="shared" si="39"/>
        <v>Error?</v>
      </c>
    </row>
    <row r="2574" spans="1:4" x14ac:dyDescent="0.2">
      <c r="A2574" s="5">
        <v>2513</v>
      </c>
      <c r="B2574" s="1832">
        <f>'Acct Summary 7-8'!D20</f>
        <v>-16901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36677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151439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188116</v>
      </c>
      <c r="C2595" s="2" t="s">
        <v>569</v>
      </c>
      <c r="D2595" s="2" t="str">
        <f t="shared" si="39"/>
        <v>Error?</v>
      </c>
    </row>
    <row r="2596" spans="1:4" x14ac:dyDescent="0.2">
      <c r="A2596" s="5">
        <v>2535</v>
      </c>
      <c r="B2596" s="1832">
        <f>'Acct Summary 7-8'!F13</f>
        <v>99179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7690</v>
      </c>
      <c r="C2599" s="2" t="s">
        <v>569</v>
      </c>
      <c r="D2599" s="2" t="str">
        <f t="shared" si="39"/>
        <v>Error?</v>
      </c>
    </row>
    <row r="2600" spans="1:4" x14ac:dyDescent="0.2">
      <c r="A2600" s="5">
        <v>2539</v>
      </c>
      <c r="B2600" s="1832">
        <f>'Acct Summary 7-8'!F17</f>
        <v>106869</v>
      </c>
      <c r="C2600" s="2" t="s">
        <v>569</v>
      </c>
      <c r="D2600" s="2" t="str">
        <f t="shared" si="39"/>
        <v>Error?</v>
      </c>
    </row>
    <row r="2601" spans="1:4" x14ac:dyDescent="0.2">
      <c r="A2601" s="5">
        <v>2540</v>
      </c>
      <c r="B2601" s="1832">
        <f>'Acct Summary 7-8'!F20</f>
        <v>81247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22354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22354</v>
      </c>
      <c r="C2606" s="2" t="s">
        <v>569</v>
      </c>
      <c r="D2606" s="2" t="str">
        <f t="shared" si="39"/>
        <v>Error?</v>
      </c>
    </row>
    <row r="2607" spans="1:4" x14ac:dyDescent="0.2">
      <c r="A2607" s="5">
        <v>2546</v>
      </c>
      <c r="B2607" s="1832">
        <f>'Acct Summary 7-8'!G12</f>
        <v>23715</v>
      </c>
      <c r="C2607" s="2" t="s">
        <v>569</v>
      </c>
      <c r="D2607" s="2" t="str">
        <f t="shared" si="39"/>
        <v>Error?</v>
      </c>
    </row>
    <row r="2608" spans="1:4" x14ac:dyDescent="0.2">
      <c r="A2608" s="5">
        <v>2547</v>
      </c>
      <c r="B2608" s="1832">
        <f>'Acct Summary 7-8'!G13</f>
        <v>33670</v>
      </c>
      <c r="C2608" s="2" t="s">
        <v>569</v>
      </c>
      <c r="D2608" s="2" t="str">
        <f t="shared" si="39"/>
        <v>Error?</v>
      </c>
    </row>
    <row r="2609" spans="1:4" x14ac:dyDescent="0.2">
      <c r="A2609" s="5">
        <v>2548</v>
      </c>
      <c r="B2609" s="1832">
        <f>'Acct Summary 7-8'!G14</f>
        <v>2387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59772</v>
      </c>
      <c r="C2612" s="2" t="s">
        <v>569</v>
      </c>
      <c r="D2612" s="2" t="str">
        <f t="shared" si="39"/>
        <v>Error?</v>
      </c>
    </row>
    <row r="2613" spans="1:4" x14ac:dyDescent="0.2">
      <c r="A2613" s="5">
        <v>2552</v>
      </c>
      <c r="B2613" s="1832">
        <f>'Acct Summary 7-8'!G20</f>
        <v>-37418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69424</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119424</v>
      </c>
      <c r="C2658" s="2" t="s">
        <v>569</v>
      </c>
      <c r="D2658" s="2" t="str">
        <f t="shared" si="40"/>
        <v>Error?</v>
      </c>
    </row>
    <row r="2659" spans="1:4" x14ac:dyDescent="0.2">
      <c r="A2659" s="5">
        <v>2598</v>
      </c>
      <c r="B2659" s="1832">
        <f>'Acct Summary 7-8'!H13</f>
        <v>35000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35000</v>
      </c>
      <c r="C2661" s="2" t="s">
        <v>569</v>
      </c>
      <c r="D2661" s="2" t="str">
        <f t="shared" si="40"/>
        <v>Error?</v>
      </c>
    </row>
    <row r="2662" spans="1:4" x14ac:dyDescent="0.2">
      <c r="A2662" s="5">
        <v>2601</v>
      </c>
      <c r="B2662" s="1832">
        <f>'Acct Summary 7-8'!H20</f>
        <v>84424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24008</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24008</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17996</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154702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37774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154702</v>
      </c>
      <c r="D2912" s="2" t="str">
        <f t="shared" si="44"/>
        <v>Error?</v>
      </c>
    </row>
    <row r="2913" spans="1:4" x14ac:dyDescent="0.2">
      <c r="A2913" s="5">
        <v>2852</v>
      </c>
      <c r="B2913" s="1832">
        <f>'Assets-Liab 5-6'!I41</f>
        <v>154702</v>
      </c>
      <c r="C2913" s="2" t="s">
        <v>569</v>
      </c>
      <c r="D2913" s="2" t="str">
        <f t="shared" si="44"/>
        <v>Error?</v>
      </c>
    </row>
    <row r="2914" spans="1:4" x14ac:dyDescent="0.2">
      <c r="A2914" s="5">
        <v>2853</v>
      </c>
      <c r="B2914" s="1832">
        <f>'Assets-Liab 5-6'!L33</f>
        <v>37774</v>
      </c>
      <c r="D2914" s="2" t="str">
        <f t="shared" si="44"/>
        <v>Error?</v>
      </c>
    </row>
    <row r="2915" spans="1:4" x14ac:dyDescent="0.2">
      <c r="A2915" s="10">
        <v>2854</v>
      </c>
      <c r="B2915" s="1832"/>
      <c r="D2915" s="2" t="str">
        <f t="shared" si="44"/>
        <v>OK</v>
      </c>
    </row>
    <row r="2916" spans="1:4" x14ac:dyDescent="0.2">
      <c r="A2916" s="5">
        <v>2855</v>
      </c>
      <c r="B2916" s="1832">
        <f>'Assets-Liab 5-6'!L34</f>
        <v>37774</v>
      </c>
      <c r="C2916" s="2" t="s">
        <v>569</v>
      </c>
      <c r="D2916" s="2" t="str">
        <f t="shared" si="44"/>
        <v>Error?</v>
      </c>
    </row>
    <row r="2917" spans="1:4" x14ac:dyDescent="0.2">
      <c r="A2917" s="5">
        <v>2856</v>
      </c>
      <c r="B2917" s="1832">
        <f>'Assets-Liab 5-6'!L41</f>
        <v>37774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24771</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50613</v>
      </c>
      <c r="D3055" s="2" t="str">
        <f t="shared" si="46"/>
        <v>Error?</v>
      </c>
    </row>
    <row r="3056" spans="1:4" x14ac:dyDescent="0.2">
      <c r="A3056" s="5">
        <v>2995</v>
      </c>
      <c r="B3056" s="1832">
        <f>'Expenditures 15-22'!D10</f>
        <v>7255</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1046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58914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7183</v>
      </c>
      <c r="D3064" s="2" t="str">
        <f t="shared" si="46"/>
        <v>Error?</v>
      </c>
    </row>
    <row r="3065" spans="1:4" x14ac:dyDescent="0.2">
      <c r="A3065" s="5">
        <v>3004</v>
      </c>
      <c r="B3065" s="1832">
        <f>'Expenditures 15-22'!K219</f>
        <v>7183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13385</v>
      </c>
      <c r="C3225" s="2" t="s">
        <v>569</v>
      </c>
      <c r="D3225" s="2" t="str">
        <f t="shared" si="49"/>
        <v>Error?</v>
      </c>
    </row>
    <row r="3226" spans="1:4" x14ac:dyDescent="0.2">
      <c r="A3226" s="5">
        <v>3165</v>
      </c>
      <c r="B3226" s="1832">
        <f>'Acct Summary 7-8'!I8</f>
        <v>13385</v>
      </c>
      <c r="C3226" s="2" t="s">
        <v>569</v>
      </c>
      <c r="D3226" s="2" t="str">
        <f t="shared" si="49"/>
        <v>Error?</v>
      </c>
    </row>
    <row r="3227" spans="1:4" x14ac:dyDescent="0.2">
      <c r="A3227" s="5">
        <v>3166</v>
      </c>
      <c r="B3227" s="1832">
        <f>'Acct Summary 7-8'!I20</f>
        <v>13385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-150157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-16901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81247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-37418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84424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13385</v>
      </c>
      <c r="C3320" s="2" t="s">
        <v>569</v>
      </c>
      <c r="D3320" s="2" t="str">
        <f t="shared" si="50"/>
        <v>Error?</v>
      </c>
    </row>
    <row r="3321" spans="1:4" x14ac:dyDescent="0.2">
      <c r="A3321" s="5">
        <v>3260</v>
      </c>
      <c r="B3321" s="1832">
        <f>'Acct Summary 7-8'!I79</f>
        <v>141317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154702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54244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12372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38919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46936</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152471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8109</v>
      </c>
      <c r="D3387" s="2" t="str">
        <f t="shared" si="51"/>
        <v>Error?</v>
      </c>
    </row>
    <row r="3388" spans="1:4" x14ac:dyDescent="0.2">
      <c r="A3388" s="5">
        <v>3327</v>
      </c>
      <c r="B3388" s="1832">
        <f>'Expenditures 15-22'!D217</f>
        <v>3097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8109</v>
      </c>
      <c r="C3390" s="2" t="s">
        <v>569</v>
      </c>
      <c r="D3390" s="2" t="str">
        <f t="shared" si="51"/>
        <v>Error?</v>
      </c>
    </row>
    <row r="3391" spans="1:4" x14ac:dyDescent="0.2">
      <c r="A3391" s="5">
        <v>3330</v>
      </c>
      <c r="B3391" s="1832">
        <f>'Expenditures 15-22'!K217</f>
        <v>3097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1982079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595101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596159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22961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232879</v>
      </c>
      <c r="D3425" s="2" t="str">
        <f t="shared" si="52"/>
        <v>Error?</v>
      </c>
    </row>
    <row r="3426" spans="1:4" x14ac:dyDescent="0.2">
      <c r="A3426" s="10">
        <v>3365</v>
      </c>
      <c r="B3426" s="1832"/>
      <c r="D3426" s="2" t="str">
        <f t="shared" si="52"/>
        <v>OK</v>
      </c>
    </row>
    <row r="3427" spans="1:4" x14ac:dyDescent="0.2">
      <c r="A3427" s="5">
        <v>3366</v>
      </c>
      <c r="B3427" s="1832">
        <f>'Assets-Liab 5-6'!I4</f>
        <v>136706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37774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6977</v>
      </c>
      <c r="C3446" s="2" t="s">
        <v>569</v>
      </c>
      <c r="D3446" s="2" t="str">
        <f t="shared" si="52"/>
        <v>Error?</v>
      </c>
    </row>
    <row r="3447" spans="1:4" x14ac:dyDescent="0.2">
      <c r="A3447" s="5">
        <v>3386</v>
      </c>
      <c r="B3447" s="1832">
        <f>'Tax Sched 23'!D16</f>
        <v>6977</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22002</v>
      </c>
      <c r="C3449" s="2" t="s">
        <v>569</v>
      </c>
      <c r="D3449" s="2" t="str">
        <f t="shared" si="52"/>
        <v>Error?</v>
      </c>
    </row>
    <row r="3450" spans="1:4" x14ac:dyDescent="0.2">
      <c r="A3450" s="5">
        <v>3389</v>
      </c>
      <c r="B3450" s="1832">
        <f>'Tax Sched 23'!E16</f>
        <v>22002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56671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101465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1701759</v>
      </c>
      <c r="C4122" s="2" t="s">
        <v>569</v>
      </c>
      <c r="D4122" s="2" t="str">
        <f t="shared" si="63"/>
        <v>Error?</v>
      </c>
    </row>
    <row r="4123" spans="1:4" x14ac:dyDescent="0.2">
      <c r="A4123" s="5">
        <v>4062</v>
      </c>
      <c r="B4123" s="1832">
        <f>'Acct Summary 7-8'!D10</f>
        <v>247096</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188116</v>
      </c>
      <c r="C4125" s="2" t="s">
        <v>569</v>
      </c>
      <c r="D4125" s="2" t="str">
        <f t="shared" si="63"/>
        <v>Error?</v>
      </c>
    </row>
    <row r="4126" spans="1:4" x14ac:dyDescent="0.2">
      <c r="A4126" s="5">
        <v>4065</v>
      </c>
      <c r="B4126" s="1832">
        <f>'Acct Summary 7-8'!G10</f>
        <v>22354</v>
      </c>
      <c r="C4126" s="2" t="s">
        <v>569</v>
      </c>
      <c r="D4126" s="2" t="str">
        <f t="shared" si="63"/>
        <v>Error?</v>
      </c>
    </row>
    <row r="4127" spans="1:4" x14ac:dyDescent="0.2">
      <c r="A4127" s="5">
        <v>4066</v>
      </c>
      <c r="B4127" s="1832">
        <f>'Acct Summary 7-8'!H10</f>
        <v>119424</v>
      </c>
      <c r="C4127" s="2" t="s">
        <v>569</v>
      </c>
      <c r="D4127" s="2" t="str">
        <f t="shared" si="63"/>
        <v>Error?</v>
      </c>
    </row>
    <row r="4128" spans="1:4" x14ac:dyDescent="0.2">
      <c r="A4128" s="5">
        <v>4067</v>
      </c>
      <c r="B4128" s="1832">
        <f>'Acct Summary 7-8'!I10</f>
        <v>13385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101465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1851916</v>
      </c>
      <c r="C4136" s="2" t="s">
        <v>569</v>
      </c>
      <c r="D4136" s="2" t="str">
        <f t="shared" si="63"/>
        <v>Error?</v>
      </c>
    </row>
    <row r="4137" spans="1:4" x14ac:dyDescent="0.2">
      <c r="A4137" s="5">
        <v>4076</v>
      </c>
      <c r="B4137" s="1832">
        <f>'Acct Summary 7-8'!D19</f>
        <v>263997</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106869</v>
      </c>
      <c r="C4139" s="2" t="s">
        <v>569</v>
      </c>
      <c r="D4139" s="2" t="str">
        <f t="shared" si="63"/>
        <v>Error?</v>
      </c>
    </row>
    <row r="4140" spans="1:4" x14ac:dyDescent="0.2">
      <c r="A4140" s="5">
        <v>4079</v>
      </c>
      <c r="B4140" s="1832">
        <f>'Acct Summary 7-8'!G19</f>
        <v>59772</v>
      </c>
      <c r="C4140" s="2" t="s">
        <v>569</v>
      </c>
      <c r="D4140" s="2" t="str">
        <f t="shared" si="63"/>
        <v>Error?</v>
      </c>
    </row>
    <row r="4141" spans="1:4" x14ac:dyDescent="0.2">
      <c r="A4141" s="5">
        <v>4080</v>
      </c>
      <c r="B4141" s="1832">
        <f>'Acct Summary 7-8'!H19</f>
        <v>35000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36175</v>
      </c>
      <c r="C4171" s="2" t="s">
        <v>569</v>
      </c>
      <c r="D4171" s="2" t="str">
        <f t="shared" si="64"/>
        <v>Error?</v>
      </c>
    </row>
    <row r="4172" spans="1:4" x14ac:dyDescent="0.2">
      <c r="A4172" s="5">
        <v>4111</v>
      </c>
      <c r="B4172" s="1832">
        <f>'Short-Term Long-Term Debt 24'!J49</f>
        <v>36175</v>
      </c>
      <c r="C4172" s="2" t="s">
        <v>569</v>
      </c>
      <c r="D4172" s="2" t="str">
        <f t="shared" si="64"/>
        <v>Error?</v>
      </c>
    </row>
    <row r="4173" spans="1:4" x14ac:dyDescent="0.2">
      <c r="A4173" s="5">
        <v>4112</v>
      </c>
      <c r="B4173" s="1832">
        <f>'Short-Term Long-Term Debt 24'!H49</f>
        <v>7690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24771</v>
      </c>
      <c r="D4201" s="2" t="str">
        <f t="shared" si="64"/>
        <v>Error?</v>
      </c>
    </row>
    <row r="4202" spans="1:4" x14ac:dyDescent="0.2">
      <c r="A4202" s="5">
        <v>4141</v>
      </c>
      <c r="B4202" s="1832">
        <f>'Expenditures 15-22'!E137</f>
        <v>24771</v>
      </c>
      <c r="C4202" s="2" t="s">
        <v>569</v>
      </c>
      <c r="D4202" s="2" t="str">
        <f t="shared" si="64"/>
        <v>Error?</v>
      </c>
    </row>
    <row r="4203" spans="1:4" x14ac:dyDescent="0.2">
      <c r="A4203" s="5">
        <v>4142</v>
      </c>
      <c r="B4203" s="1832">
        <f>'Expenditures 15-22'!E139</f>
        <v>24771</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7690</v>
      </c>
      <c r="D4210" s="2" t="str">
        <f t="shared" si="64"/>
        <v>Error?</v>
      </c>
    </row>
    <row r="4211" spans="1:4" x14ac:dyDescent="0.2">
      <c r="A4211" s="5">
        <v>4150</v>
      </c>
      <c r="B4211" s="1832">
        <f>'Expenditures 15-22'!K206</f>
        <v>7690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2957.6000000000004</v>
      </c>
      <c r="C4265" s="2" t="s">
        <v>569</v>
      </c>
      <c r="D4265" s="2" t="str">
        <f t="shared" si="65"/>
        <v>Error?</v>
      </c>
      <c r="E4265" s="125"/>
    </row>
    <row r="4266" spans="1:5" x14ac:dyDescent="0.2">
      <c r="A4266" s="12">
        <v>4205</v>
      </c>
      <c r="B4266" s="1832">
        <f>('FP Info 3'!F10)*100000</f>
        <v>328.5</v>
      </c>
      <c r="C4266" s="2" t="s">
        <v>569</v>
      </c>
      <c r="D4266" s="2" t="str">
        <f t="shared" si="65"/>
        <v>Error?</v>
      </c>
      <c r="E4266" s="125"/>
    </row>
    <row r="4267" spans="1:5" x14ac:dyDescent="0.2">
      <c r="A4267" s="12">
        <v>4206</v>
      </c>
      <c r="B4267" s="1832">
        <f>('FP Info 3'!H10)*100000</f>
        <v>54.199999999999996</v>
      </c>
      <c r="C4267" s="2" t="s">
        <v>569</v>
      </c>
      <c r="D4267" s="2" t="str">
        <f t="shared" si="65"/>
        <v>Error?</v>
      </c>
      <c r="E4267" s="125"/>
    </row>
    <row r="4268" spans="1:5" x14ac:dyDescent="0.2">
      <c r="A4268" s="12">
        <v>4207</v>
      </c>
      <c r="B4268" s="1832">
        <f>('FP Info 3'!J10)*100000</f>
        <v>3340</v>
      </c>
      <c r="C4268" s="2" t="s">
        <v>569</v>
      </c>
      <c r="D4268" s="2" t="str">
        <f t="shared" si="65"/>
        <v>Error?</v>
      </c>
    </row>
    <row r="4269" spans="1:5" x14ac:dyDescent="0.2">
      <c r="A4269" s="12">
        <v>4208</v>
      </c>
      <c r="B4269" s="1832">
        <f>'FP Info 3'!J16</f>
        <v>3500041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3825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28.9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27700258</v>
      </c>
      <c r="D4995" s="2" t="str">
        <f t="shared" si="77"/>
        <v>Error?</v>
      </c>
    </row>
    <row r="4996" spans="1:4" x14ac:dyDescent="0.2">
      <c r="A4996" s="12">
        <v>4935</v>
      </c>
      <c r="B4996" s="1832">
        <f>'FP Info 3'!H31</f>
        <v>1911317.8020000001</v>
      </c>
      <c r="D4996" s="2" t="str">
        <f t="shared" si="77"/>
        <v>Error?</v>
      </c>
    </row>
    <row r="4997" spans="1:4" x14ac:dyDescent="0.2">
      <c r="A4997" s="12">
        <v>4936</v>
      </c>
      <c r="B4997" s="1832">
        <f>'FP Info 3'!H37</f>
        <v>36175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817416</v>
      </c>
      <c r="D5061" s="2" t="str">
        <f t="shared" si="78"/>
        <v>Error?</v>
      </c>
    </row>
    <row r="5062" spans="1:4" x14ac:dyDescent="0.2">
      <c r="A5062" s="10">
        <v>5001</v>
      </c>
      <c r="B5062" s="1832"/>
      <c r="D5062" s="2" t="str">
        <f t="shared" si="78"/>
        <v>OK</v>
      </c>
    </row>
    <row r="5063" spans="1:4" x14ac:dyDescent="0.2">
      <c r="A5063" s="5">
        <v>5002</v>
      </c>
      <c r="B5063" s="1832">
        <f>'Revenues 9-14'!C7</f>
        <v>31892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849308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42492</v>
      </c>
      <c r="D5069" s="2" t="str">
        <f t="shared" si="78"/>
        <v>Error?</v>
      </c>
    </row>
    <row r="5070" spans="1:4" x14ac:dyDescent="0.2">
      <c r="A5070" s="5">
        <v>5009</v>
      </c>
      <c r="B5070" s="1832">
        <f>'Revenues 9-14'!C17</f>
        <v>202814</v>
      </c>
      <c r="D5070" s="2" t="str">
        <f t="shared" si="78"/>
        <v>Error?</v>
      </c>
    </row>
    <row r="5071" spans="1:4" x14ac:dyDescent="0.2">
      <c r="A5071" s="5">
        <v>5010</v>
      </c>
      <c r="B5071" s="1832">
        <f>'Revenues 9-14'!C18</f>
        <v>245306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5791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5791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1004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4522</v>
      </c>
      <c r="C5096" s="2" t="s">
        <v>569</v>
      </c>
      <c r="D5096" s="2" t="str">
        <f t="shared" si="78"/>
        <v>Error?</v>
      </c>
    </row>
    <row r="5097" spans="1:4" x14ac:dyDescent="0.2">
      <c r="A5097" s="5">
        <v>5036</v>
      </c>
      <c r="B5097" s="1832">
        <f>'Revenues 9-14'!C77</f>
        <v>12094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12094</v>
      </c>
      <c r="C5102" s="2" t="s">
        <v>569</v>
      </c>
      <c r="D5102" s="2" t="str">
        <f t="shared" si="78"/>
        <v>Error?</v>
      </c>
    </row>
    <row r="5103" spans="1:4" x14ac:dyDescent="0.2">
      <c r="A5103" s="5">
        <v>5042</v>
      </c>
      <c r="B5103" s="1832">
        <f>'Revenues 9-14'!C84</f>
        <v>2271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2271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2404</v>
      </c>
      <c r="D5119" s="2" t="str">
        <f t="shared" ref="D5119:D5182" si="79">IF(ISBLANK(B5119),"OK",IF(A5119-B5119=0,"OK","Error?"))</f>
        <v>Error?</v>
      </c>
    </row>
    <row r="5120" spans="1:4" x14ac:dyDescent="0.2">
      <c r="A5120" s="5">
        <v>5059</v>
      </c>
      <c r="B5120" s="1832">
        <f>'Revenues 9-14'!C108</f>
        <v>2404</v>
      </c>
      <c r="C5120" s="2" t="s">
        <v>569</v>
      </c>
      <c r="D5120" s="2" t="str">
        <f t="shared" si="79"/>
        <v>Error?</v>
      </c>
    </row>
    <row r="5121" spans="1:4" x14ac:dyDescent="0.2">
      <c r="A5121" s="5">
        <v>5060</v>
      </c>
      <c r="B5121" s="1832">
        <f>'Revenues 9-14'!C109</f>
        <v>1121696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340000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340000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344</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73176</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73520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413520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20580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5827</v>
      </c>
      <c r="D5241" s="2" t="str">
        <f t="shared" si="80"/>
        <v>Error?</v>
      </c>
    </row>
    <row r="5242" spans="1:4" x14ac:dyDescent="0.2">
      <c r="A5242" s="5">
        <v>5181</v>
      </c>
      <c r="B5242" s="1832">
        <f>'Revenues 9-14'!C194</f>
        <v>14464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40871</v>
      </c>
      <c r="C5246" s="2" t="s">
        <v>569</v>
      </c>
      <c r="D5246" s="2" t="str">
        <f t="shared" si="80"/>
        <v>Error?</v>
      </c>
    </row>
    <row r="5247" spans="1:4" x14ac:dyDescent="0.2">
      <c r="A5247" s="5">
        <v>5186</v>
      </c>
      <c r="B5247" s="1832">
        <f>'Revenues 9-14'!C200</f>
        <v>20382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3825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20382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65078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65078</v>
      </c>
      <c r="C5326" s="2" t="s">
        <v>569</v>
      </c>
      <c r="D5326" s="2" t="str">
        <f t="shared" si="82"/>
        <v>Error?</v>
      </c>
    </row>
    <row r="5327" spans="1:5" x14ac:dyDescent="0.2">
      <c r="A5327" s="5">
        <v>5266</v>
      </c>
      <c r="B5327" s="1832">
        <f>'Revenues 9-14'!C268</f>
        <v>1600294</v>
      </c>
      <c r="C5327" s="2" t="s">
        <v>569</v>
      </c>
      <c r="D5327" s="2" t="str">
        <f t="shared" si="82"/>
        <v>Error?</v>
      </c>
    </row>
    <row r="5328" spans="1:5" x14ac:dyDescent="0.2">
      <c r="A5328" s="5">
        <v>5267</v>
      </c>
      <c r="B5328" s="1832">
        <f>'Revenues 9-14'!D5</f>
        <v>104641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104641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47469</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47469</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3575</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3575</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9000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411</v>
      </c>
      <c r="D5354" s="2" t="str">
        <f t="shared" si="82"/>
        <v>Error?</v>
      </c>
    </row>
    <row r="5355" spans="1:4" x14ac:dyDescent="0.2">
      <c r="A5355" s="5">
        <v>5294</v>
      </c>
      <c r="B5355" s="1832">
        <f>'Revenues 9-14'!D108</f>
        <v>9411</v>
      </c>
      <c r="C5355" s="2" t="s">
        <v>569</v>
      </c>
      <c r="D5355" s="2" t="str">
        <f t="shared" si="82"/>
        <v>Error?</v>
      </c>
    </row>
    <row r="5356" spans="1:4" x14ac:dyDescent="0.2">
      <c r="A5356" s="5">
        <v>5295</v>
      </c>
      <c r="B5356" s="1832">
        <f>'Revenues 9-14'!D109</f>
        <v>165096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82000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82000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82000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247096</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19933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19933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15000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15000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1744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1744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36677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94000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94000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44227</v>
      </c>
      <c r="D5615" s="2" t="str">
        <f t="shared" si="86"/>
        <v>Error?</v>
      </c>
    </row>
    <row r="5616" spans="1:4" x14ac:dyDescent="0.2">
      <c r="A5616" s="10">
        <v>5555</v>
      </c>
      <c r="B5616" s="1832"/>
      <c r="D5616" s="2" t="str">
        <f t="shared" si="86"/>
        <v>OK</v>
      </c>
    </row>
    <row r="5617" spans="1:5" x14ac:dyDescent="0.2">
      <c r="A5617" s="5">
        <v>5556</v>
      </c>
      <c r="B5617" s="1832">
        <f>'Revenues 9-14'!F153</f>
        <v>13212</v>
      </c>
      <c r="D5617" s="2" t="str">
        <f t="shared" si="86"/>
        <v>Error?</v>
      </c>
    </row>
    <row r="5618" spans="1:5" x14ac:dyDescent="0.2">
      <c r="A5618" s="5">
        <v>5557</v>
      </c>
      <c r="B5618" s="1832">
        <f>'Revenues 9-14'!F155</f>
        <v>57439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57439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151439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188116</v>
      </c>
      <c r="C5720" s="2" t="s">
        <v>569</v>
      </c>
      <c r="D5720" s="2" t="str">
        <f t="shared" si="88"/>
        <v>Error?</v>
      </c>
    </row>
    <row r="5721" spans="1:4" x14ac:dyDescent="0.2">
      <c r="A5721" s="5">
        <v>5660</v>
      </c>
      <c r="B5721" s="1832">
        <f>'Revenues 9-14'!G5</f>
        <v>6977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6977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13954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7800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7800</v>
      </c>
      <c r="C5730" s="2" t="s">
        <v>569</v>
      </c>
      <c r="D5730" s="2" t="str">
        <f t="shared" si="88"/>
        <v>Error?</v>
      </c>
    </row>
    <row r="5731" spans="1:4" x14ac:dyDescent="0.2">
      <c r="A5731" s="5">
        <v>5670</v>
      </c>
      <c r="B5731" s="1832">
        <f>'Revenues 9-14'!G65</f>
        <v>600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600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22354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69424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119424</v>
      </c>
      <c r="C5915" s="2" t="s">
        <v>569</v>
      </c>
      <c r="D5915" s="2" t="str">
        <f t="shared" si="91"/>
        <v>Error?</v>
      </c>
    </row>
    <row r="5916" spans="1:4" x14ac:dyDescent="0.2">
      <c r="A5916" s="5">
        <v>5855</v>
      </c>
      <c r="B5916" s="1832">
        <f>'Revenues 9-14'!I5</f>
        <v>13095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13095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290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290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13385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22354</v>
      </c>
      <c r="C6024" s="2" t="s">
        <v>569</v>
      </c>
      <c r="D6024" s="2" t="str">
        <f t="shared" si="93"/>
        <v>Error?</v>
      </c>
    </row>
    <row r="6025" spans="1:5" x14ac:dyDescent="0.2">
      <c r="A6025" s="5">
        <v>5964</v>
      </c>
      <c r="B6025" s="1832">
        <f>'Revenues 9-14'!H109</f>
        <v>69424</v>
      </c>
      <c r="C6025" s="2" t="s">
        <v>569</v>
      </c>
      <c r="D6025" s="2" t="str">
        <f t="shared" si="93"/>
        <v>Error?</v>
      </c>
    </row>
    <row r="6026" spans="1:5" x14ac:dyDescent="0.2">
      <c r="A6026" s="5">
        <v>5965</v>
      </c>
      <c r="B6026" s="1832">
        <f>'Revenues 9-14'!I109</f>
        <v>13385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3518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4445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114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135903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74731</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135903</v>
      </c>
      <c r="D6215" s="2" t="str">
        <f t="shared" si="96"/>
        <v>Error?</v>
      </c>
      <c r="E6215" s="2" t="s">
        <v>189</v>
      </c>
    </row>
    <row r="6216" spans="1:5" x14ac:dyDescent="0.2">
      <c r="A6216">
        <v>6155</v>
      </c>
      <c r="B6216" s="1832">
        <f>'Assets-Liab 5-6'!J41</f>
        <v>135903</v>
      </c>
      <c r="D6216" s="2" t="str">
        <f t="shared" si="96"/>
        <v>Error?</v>
      </c>
      <c r="E6216" s="2" t="s">
        <v>189</v>
      </c>
    </row>
    <row r="6217" spans="1:5" x14ac:dyDescent="0.2">
      <c r="A6217">
        <v>6156</v>
      </c>
      <c r="B6217" s="1832">
        <f>'Assets-Liab 5-6'!J4</f>
        <v>135903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13955</v>
      </c>
      <c r="D6220" s="2" t="str">
        <f t="shared" si="96"/>
        <v>Error?</v>
      </c>
      <c r="E6220" s="2" t="s">
        <v>189</v>
      </c>
    </row>
    <row r="6221" spans="1:5" x14ac:dyDescent="0.2">
      <c r="A6221">
        <v>6160</v>
      </c>
      <c r="B6221" s="1832">
        <f>'Acct Summary 7-8'!J6</f>
        <v>90343</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104298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104298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72889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72889</v>
      </c>
      <c r="D6229" s="2" t="str">
        <f t="shared" si="96"/>
        <v>Error?</v>
      </c>
      <c r="E6229" s="2" t="s">
        <v>189</v>
      </c>
    </row>
    <row r="6230" spans="1:5" x14ac:dyDescent="0.2">
      <c r="A6230">
        <v>6169</v>
      </c>
      <c r="B6230" s="1832">
        <f>'Acct Summary 7-8'!J20</f>
        <v>31409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31409</v>
      </c>
      <c r="D6263" s="2" t="str">
        <f t="shared" si="96"/>
        <v>Error?</v>
      </c>
      <c r="E6263" s="2" t="s">
        <v>189</v>
      </c>
    </row>
    <row r="6264" spans="1:5" x14ac:dyDescent="0.2">
      <c r="A6264">
        <v>6203</v>
      </c>
      <c r="B6264" s="1832">
        <f>'Acct Summary 7-8'!J79</f>
        <v>104494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135903</v>
      </c>
      <c r="D6266" s="2" t="str">
        <f t="shared" si="96"/>
        <v>Error?</v>
      </c>
      <c r="E6266" s="2" t="s">
        <v>189</v>
      </c>
    </row>
    <row r="6267" spans="1:5" x14ac:dyDescent="0.2">
      <c r="A6267">
        <v>6206</v>
      </c>
      <c r="B6267" s="1832">
        <f>'Acct Summary 7-8'!C82</f>
        <v>-150157</v>
      </c>
      <c r="D6267" s="2" t="str">
        <f t="shared" si="96"/>
        <v>Error?</v>
      </c>
      <c r="E6267" s="2" t="s">
        <v>189</v>
      </c>
    </row>
    <row r="6268" spans="1:5" x14ac:dyDescent="0.2">
      <c r="A6268">
        <v>6207</v>
      </c>
      <c r="B6268" s="1832">
        <f>'Acct Summary 7-8'!D82</f>
        <v>-16901</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81247</v>
      </c>
      <c r="D6270" s="2" t="str">
        <f t="shared" si="96"/>
        <v>Error?</v>
      </c>
      <c r="E6270" s="2" t="s">
        <v>189</v>
      </c>
    </row>
    <row r="6271" spans="1:5" x14ac:dyDescent="0.2">
      <c r="A6271">
        <v>6210</v>
      </c>
      <c r="B6271" s="1832">
        <f>'Acct Summary 7-8'!G82</f>
        <v>-37418</v>
      </c>
      <c r="D6271" s="2" t="str">
        <f t="shared" ref="D6271:D6334" si="97">IF(ISBLANK(B6271),"OK",IF(A6271-B6271=0,"OK","Error?"))</f>
        <v>Error?</v>
      </c>
      <c r="E6271" s="2" t="s">
        <v>189</v>
      </c>
    </row>
    <row r="6272" spans="1:5" x14ac:dyDescent="0.2">
      <c r="A6272">
        <v>6211</v>
      </c>
      <c r="B6272" s="1832">
        <f>'Acct Summary 7-8'!H82</f>
        <v>84424</v>
      </c>
      <c r="D6272" s="2" t="str">
        <f t="shared" si="97"/>
        <v>Error?</v>
      </c>
      <c r="E6272" s="2" t="s">
        <v>189</v>
      </c>
    </row>
    <row r="6273" spans="1:5" x14ac:dyDescent="0.2">
      <c r="A6273">
        <v>6212</v>
      </c>
      <c r="B6273" s="1832">
        <f>'Acct Summary 7-8'!I82</f>
        <v>13385</v>
      </c>
      <c r="D6273" s="2" t="str">
        <f t="shared" si="97"/>
        <v>Error?</v>
      </c>
      <c r="E6273" s="2" t="s">
        <v>189</v>
      </c>
    </row>
    <row r="6274" spans="1:5" x14ac:dyDescent="0.2">
      <c r="A6274">
        <v>6213</v>
      </c>
      <c r="B6274" s="1832">
        <f>'Acct Summary 7-8'!J82</f>
        <v>31409</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-7.2118781275830546E-2</v>
      </c>
      <c r="D6276" s="2" t="str">
        <f t="shared" si="97"/>
        <v>Error?</v>
      </c>
      <c r="E6276" s="2" t="s">
        <v>189</v>
      </c>
    </row>
    <row r="6277" spans="1:5" x14ac:dyDescent="0.2">
      <c r="A6277">
        <v>6216</v>
      </c>
      <c r="B6277" s="1832">
        <f>'Acct Summary 7-8'!D83</f>
        <v>-2.8400221138932719E-2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0.12159830220052413</v>
      </c>
      <c r="D6279" s="2" t="str">
        <f t="shared" si="97"/>
        <v>Error?</v>
      </c>
      <c r="E6279" s="2" t="s">
        <v>189</v>
      </c>
    </row>
    <row r="6280" spans="1:5" x14ac:dyDescent="0.2">
      <c r="A6280">
        <v>6219</v>
      </c>
      <c r="B6280" s="1832">
        <f>'Acct Summary 7-8'!G83</f>
        <v>-1.3575937885494522</v>
      </c>
      <c r="D6280" s="2" t="str">
        <f t="shared" si="97"/>
        <v>Error?</v>
      </c>
      <c r="E6280" s="2" t="s">
        <v>189</v>
      </c>
    </row>
    <row r="6281" spans="1:5" x14ac:dyDescent="0.2">
      <c r="A6281">
        <v>6220</v>
      </c>
      <c r="B6281" s="1832">
        <f>'Acct Summary 7-8'!H83</f>
        <v>0.36252302697967614</v>
      </c>
      <c r="D6281" s="2" t="str">
        <f t="shared" si="97"/>
        <v>Error?</v>
      </c>
      <c r="E6281" s="2" t="s">
        <v>189</v>
      </c>
    </row>
    <row r="6282" spans="1:5" x14ac:dyDescent="0.2">
      <c r="A6282">
        <v>6221</v>
      </c>
      <c r="B6282" s="1832">
        <f>'Acct Summary 7-8'!I83</f>
        <v>8.6521182660857648E-2</v>
      </c>
      <c r="D6282" s="2" t="str">
        <f t="shared" si="97"/>
        <v>Error?</v>
      </c>
      <c r="E6282" s="2" t="s">
        <v>189</v>
      </c>
    </row>
    <row r="6283" spans="1:5" x14ac:dyDescent="0.2">
      <c r="A6283">
        <v>6222</v>
      </c>
      <c r="B6283" s="1832">
        <f>'Acct Summary 7-8'!J83</f>
        <v>0.23111336762249546</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13955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13955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13955</v>
      </c>
      <c r="D6352" s="2" t="str">
        <f t="shared" si="98"/>
        <v>Error?</v>
      </c>
      <c r="E6352" s="2" t="s">
        <v>189</v>
      </c>
    </row>
    <row r="6353" spans="1:5" x14ac:dyDescent="0.2">
      <c r="A6353">
        <v>6292</v>
      </c>
      <c r="B6353" s="1832">
        <f>'Revenues 9-14'!J117</f>
        <v>90343</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90343</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90343</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74385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90710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72889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104298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3708</v>
      </c>
      <c r="D7073" s="2" t="str">
        <f t="shared" si="109"/>
        <v>Error?</v>
      </c>
    </row>
    <row r="7074" spans="1:4" x14ac:dyDescent="0.2">
      <c r="A7074">
        <v>7013</v>
      </c>
      <c r="B7074" s="1832">
        <f>'Expenditures 15-22'!K216</f>
        <v>3708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1008</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1008</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3652</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3652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24265</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24265</v>
      </c>
      <c r="D7153" s="2" t="str">
        <f t="shared" si="110"/>
        <v>Error?</v>
      </c>
    </row>
    <row r="7154" spans="1:4" x14ac:dyDescent="0.2">
      <c r="A7154">
        <v>7093</v>
      </c>
      <c r="B7154" s="1832">
        <f>'Expenditures 15-22'!C323</f>
        <v>5826</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18288</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24114</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10051</v>
      </c>
      <c r="D7172" s="2" t="str">
        <f t="shared" si="111"/>
        <v>Error?</v>
      </c>
    </row>
    <row r="7173" spans="1:4" x14ac:dyDescent="0.2">
      <c r="A7173">
        <v>7112</v>
      </c>
      <c r="B7173" s="1832">
        <f>'Expenditures 15-22'!D325</f>
        <v>1137</v>
      </c>
      <c r="D7173" s="2" t="str">
        <f t="shared" si="111"/>
        <v>Error?</v>
      </c>
    </row>
    <row r="7174" spans="1:4" x14ac:dyDescent="0.2">
      <c r="A7174">
        <v>7113</v>
      </c>
      <c r="B7174" s="1832">
        <f>'Expenditures 15-22'!E325</f>
        <v>8662</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19850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15877</v>
      </c>
      <c r="D7199" s="2" t="str">
        <f t="shared" si="111"/>
        <v>Error?</v>
      </c>
    </row>
    <row r="7200" spans="1:4" x14ac:dyDescent="0.2">
      <c r="A7200">
        <v>7139</v>
      </c>
      <c r="B7200" s="1832">
        <f>'Expenditures 15-22'!D330</f>
        <v>1137</v>
      </c>
      <c r="D7200" s="2" t="str">
        <f t="shared" si="111"/>
        <v>Error?</v>
      </c>
    </row>
    <row r="7201" spans="1:4" x14ac:dyDescent="0.2">
      <c r="A7201">
        <v>7140</v>
      </c>
      <c r="B7201" s="1832">
        <f>'Expenditures 15-22'!E330</f>
        <v>55875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72889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15877</v>
      </c>
      <c r="D7216" s="2" t="str">
        <f t="shared" si="111"/>
        <v>Error?</v>
      </c>
    </row>
    <row r="7217" spans="1:4" x14ac:dyDescent="0.2">
      <c r="A7217">
        <v>7156</v>
      </c>
      <c r="B7217" s="1832">
        <f>'Expenditures 15-22'!D342</f>
        <v>1137</v>
      </c>
      <c r="D7217" s="2" t="str">
        <f t="shared" si="111"/>
        <v>Error?</v>
      </c>
    </row>
    <row r="7218" spans="1:4" x14ac:dyDescent="0.2">
      <c r="A7218">
        <v>7157</v>
      </c>
      <c r="B7218" s="1832">
        <f>'Expenditures 15-22'!E342</f>
        <v>55875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72889</v>
      </c>
      <c r="D7224" s="2" t="str">
        <f t="shared" si="111"/>
        <v>Error?</v>
      </c>
    </row>
    <row r="7225" spans="1:4" x14ac:dyDescent="0.2">
      <c r="A7225">
        <v>7164</v>
      </c>
      <c r="B7225" s="1832">
        <f>'Expenditures 15-22'!K343</f>
        <v>31409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13541</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2784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97628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69424</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69424</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31892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35000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35000</v>
      </c>
      <c r="D7730" s="2" t="str">
        <f t="shared" si="126"/>
        <v>Error?</v>
      </c>
      <c r="E7730" s="2" t="s">
        <v>822</v>
      </c>
    </row>
    <row r="7731" spans="1:6" x14ac:dyDescent="0.2">
      <c r="A7731">
        <v>7670</v>
      </c>
      <c r="B7731" s="1832">
        <f>'Revenues 9-14'!H103</f>
        <v>69424</v>
      </c>
      <c r="D7731" s="2" t="str">
        <f t="shared" si="126"/>
        <v>Error?</v>
      </c>
      <c r="E7731" s="2" t="s">
        <v>822</v>
      </c>
    </row>
    <row r="7732" spans="1:6" x14ac:dyDescent="0.2">
      <c r="A7732">
        <v>7671</v>
      </c>
      <c r="B7732" s="1832">
        <f>'Rest Tax Levies-Tort Im 25'!J24</f>
        <v>34424</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34424</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51555</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-27136</v>
      </c>
      <c r="D7820" s="2" t="str">
        <f t="shared" si="128"/>
        <v>Error?</v>
      </c>
    </row>
    <row r="7821" spans="1:5" x14ac:dyDescent="0.2">
      <c r="A7821">
        <v>7760</v>
      </c>
      <c r="B7821" s="1832">
        <f>'ICR Computation 30'!G40</f>
        <v>-27136</v>
      </c>
      <c r="D7821" s="2" t="str">
        <f t="shared" si="128"/>
        <v>Error?</v>
      </c>
    </row>
    <row r="7822" spans="1:5" x14ac:dyDescent="0.2">
      <c r="A7822" s="1">
        <v>7761</v>
      </c>
      <c r="B7822" s="1832">
        <f>'PCTC-OEPP 27-28'!F14</f>
        <v>2253978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90710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24008</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195793</v>
      </c>
      <c r="D7834" s="2" t="str">
        <f t="shared" si="129"/>
        <v>Error?</v>
      </c>
      <c r="E7834" s="4" t="s">
        <v>1998</v>
      </c>
    </row>
    <row r="7835" spans="1:5" x14ac:dyDescent="0.2">
      <c r="A7835">
        <v>7774</v>
      </c>
      <c r="B7835" s="1832">
        <f>'PCTC-OEPP 27-28'!F78</f>
        <v>2058185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18054.254385964912</v>
      </c>
      <c r="D7837" s="2" t="str">
        <f t="shared" si="129"/>
        <v>Error?</v>
      </c>
      <c r="E7837" s="4" t="s">
        <v>1998</v>
      </c>
    </row>
    <row r="7838" spans="1:5" x14ac:dyDescent="0.2">
      <c r="A7838">
        <v>7777</v>
      </c>
      <c r="B7838" s="1832">
        <f>'PCTC-OEPP 27-28'!F96</f>
        <v>15669</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57439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40871</v>
      </c>
      <c r="D7858" s="2" t="str">
        <f t="shared" si="129"/>
        <v>Error?</v>
      </c>
      <c r="E7858" s="4" t="s">
        <v>1998</v>
      </c>
    </row>
    <row r="7859" spans="1:5" x14ac:dyDescent="0.2">
      <c r="A7859">
        <v>7798</v>
      </c>
      <c r="B7859" s="1832">
        <f>'PCTC-OEPP 27-28'!F127</f>
        <v>20382</v>
      </c>
      <c r="D7859" s="2" t="str">
        <f t="shared" si="129"/>
        <v>Error?</v>
      </c>
      <c r="E7859" s="4" t="s">
        <v>1998</v>
      </c>
    </row>
    <row r="7860" spans="1:5" x14ac:dyDescent="0.2">
      <c r="A7860">
        <v>7799</v>
      </c>
      <c r="B7860" s="1832">
        <f>'PCTC-OEPP 27-28'!F128</f>
        <v>3825</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145323</v>
      </c>
      <c r="D7877" s="2" t="str">
        <f t="shared" si="129"/>
        <v>Error?</v>
      </c>
      <c r="E7877" s="4" t="s">
        <v>1998</v>
      </c>
    </row>
    <row r="7878" spans="1:5" x14ac:dyDescent="0.2">
      <c r="A7878">
        <v>7817</v>
      </c>
      <c r="B7878" s="1832">
        <f>'PCTC-OEPP 27-28'!F176</f>
        <v>1912862</v>
      </c>
      <c r="D7878" s="2" t="str">
        <f t="shared" si="129"/>
        <v>Error?</v>
      </c>
      <c r="E7878" s="4" t="s">
        <v>1998</v>
      </c>
    </row>
    <row r="7879" spans="1:5" x14ac:dyDescent="0.2">
      <c r="A7879">
        <v>7818</v>
      </c>
      <c r="B7879" s="1832">
        <f>'PCTC-OEPP 27-28'!F178</f>
        <v>2010490</v>
      </c>
      <c r="D7879" s="2" t="str">
        <f t="shared" si="129"/>
        <v>Error?</v>
      </c>
      <c r="E7879" s="4" t="s">
        <v>1998</v>
      </c>
    </row>
    <row r="7880" spans="1:5" x14ac:dyDescent="0.2">
      <c r="A7880">
        <v>7819</v>
      </c>
      <c r="B7880" s="1832">
        <f>'PCTC-OEPP 27-28'!F180</f>
        <v>17635.877192982458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Saunemin CCSD 438</v>
      </c>
      <c r="B7" s="2517"/>
      <c r="C7" s="2517"/>
      <c r="D7" s="2555"/>
      <c r="E7" s="2556">
        <f>COVER!A13</f>
        <v>17053438004</v>
      </c>
      <c r="F7" s="2557"/>
      <c r="G7" s="2523" t="str">
        <f>COVER!T23</f>
        <v>066-005100</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Mack &amp; Associates, P.C.</v>
      </c>
      <c r="H9" s="2530"/>
      <c r="I9" s="2530"/>
      <c r="J9" s="2530"/>
      <c r="K9" s="2530"/>
      <c r="L9" s="2531"/>
    </row>
    <row r="10" spans="1:29" ht="13.5" customHeight="1" x14ac:dyDescent="0.2">
      <c r="A10" s="2513" t="str">
        <f>COVER!A38</f>
        <v>Gary Doughan</v>
      </c>
      <c r="B10" s="2514"/>
      <c r="C10" s="2514"/>
      <c r="D10" s="2514"/>
      <c r="E10" s="2514"/>
      <c r="F10" s="2515"/>
      <c r="G10" s="2529" t="str">
        <f>COVER!T17</f>
        <v>116 E Washington St., Suite One</v>
      </c>
      <c r="H10" s="2542"/>
      <c r="I10" s="2542"/>
      <c r="J10" s="2542"/>
      <c r="K10" s="2542"/>
      <c r="L10" s="2543"/>
    </row>
    <row r="11" spans="1:29" ht="13.5" customHeight="1" x14ac:dyDescent="0.2">
      <c r="A11" s="963" t="s">
        <v>1502</v>
      </c>
      <c r="B11" s="964"/>
      <c r="C11" s="965"/>
      <c r="D11" s="970"/>
      <c r="E11" s="965"/>
      <c r="F11" s="969"/>
      <c r="G11" s="2529" t="str">
        <f>COVER!T19</f>
        <v>Morris</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tmack@mackcpas.com</v>
      </c>
      <c r="J13" s="2551"/>
      <c r="K13" s="2551"/>
      <c r="L13" s="2552"/>
    </row>
    <row r="14" spans="1:29" ht="13.5" customHeight="1" x14ac:dyDescent="0.2">
      <c r="A14" s="2529" t="str">
        <f>COVER!A19</f>
        <v>PO Box 290, 39 Main Street</v>
      </c>
      <c r="B14" s="2542"/>
      <c r="C14" s="2542"/>
      <c r="D14" s="2542"/>
      <c r="E14" s="2542"/>
      <c r="F14" s="2543"/>
      <c r="G14" s="974" t="s">
        <v>1175</v>
      </c>
      <c r="H14" s="972"/>
      <c r="I14" s="972"/>
      <c r="J14" s="972"/>
      <c r="K14" s="972"/>
      <c r="L14" s="973"/>
    </row>
    <row r="15" spans="1:29" ht="13.5" customHeight="1" x14ac:dyDescent="0.2">
      <c r="A15" s="2529" t="str">
        <f>COVER!A21</f>
        <v>Saunemin, Illinois</v>
      </c>
      <c r="B15" s="2542"/>
      <c r="C15" s="2542"/>
      <c r="D15" s="2542"/>
      <c r="E15" s="2542"/>
      <c r="F15" s="2543"/>
      <c r="G15" s="2539" t="str">
        <f>COVER!T15</f>
        <v>Tawnya Mack, CPA</v>
      </c>
      <c r="H15" s="2540"/>
      <c r="I15" s="2540"/>
      <c r="J15" s="2540"/>
      <c r="K15" s="2540"/>
      <c r="L15" s="2541"/>
    </row>
    <row r="16" spans="1:29" ht="12.2" customHeight="1" x14ac:dyDescent="0.2">
      <c r="A16" s="2519">
        <f>COVER!A25</f>
        <v>61769</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815-942-3306</v>
      </c>
      <c r="H18" s="2517"/>
      <c r="I18" s="2517"/>
      <c r="J18" s="2517"/>
      <c r="K18" s="2516" t="str">
        <f>COVER!X21</f>
        <v>815-942-9430</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Saunemin CCSD 438</v>
      </c>
      <c r="B1" s="2559"/>
      <c r="C1" s="2559"/>
      <c r="D1" s="2559"/>
    </row>
    <row r="2" spans="1:11" s="991" customFormat="1" ht="12.75" x14ac:dyDescent="0.2">
      <c r="A2" s="2560">
        <f>'Single Audit Cover'!E7</f>
        <v>17053438004</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Saunemin CCSD 438</v>
      </c>
      <c r="B1" s="2563"/>
      <c r="C1" s="2563"/>
      <c r="D1" s="2563"/>
      <c r="E1" s="2563"/>
    </row>
    <row r="2" spans="1:5" x14ac:dyDescent="0.2">
      <c r="A2" s="2564">
        <f>'Single Audit Cover'!E7</f>
        <v>17053438004</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65078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4445</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69523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69523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69523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Saunemin CCSD 438</v>
      </c>
      <c r="C1" s="2567"/>
      <c r="D1" s="2567"/>
      <c r="E1" s="2567"/>
      <c r="F1" s="2567"/>
      <c r="G1" s="2567"/>
      <c r="H1" s="2567"/>
      <c r="I1" s="2567"/>
      <c r="J1" s="2567"/>
      <c r="K1" s="2567"/>
      <c r="L1" s="2567"/>
      <c r="M1" s="2567"/>
    </row>
    <row r="2" spans="2:14" ht="15" x14ac:dyDescent="0.2">
      <c r="B2" s="2568">
        <f>'Single Audit Cover'!E7</f>
        <v>17053438004</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Saunemin CCSD 438</v>
      </c>
      <c r="B1" s="2572"/>
      <c r="C1" s="2572"/>
      <c r="D1" s="2572"/>
      <c r="E1" s="2572"/>
      <c r="F1" s="2572"/>
    </row>
    <row r="2" spans="1:7" ht="13.5" customHeight="1" x14ac:dyDescent="0.2">
      <c r="A2" s="2568">
        <f>'Single Audit Cover'!E7</f>
        <v>17053438004</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36251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2093</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t="s">
        <v>2067</v>
      </c>
      <c r="E118" s="300"/>
      <c r="F118" s="2035">
        <v>44117</v>
      </c>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Saunemin CCSD 438</v>
      </c>
      <c r="C1" s="2588"/>
      <c r="D1" s="2588"/>
      <c r="E1" s="2588"/>
      <c r="F1" s="2588"/>
      <c r="G1" s="2588"/>
      <c r="H1" s="2588"/>
      <c r="I1" s="2588"/>
      <c r="J1" s="1178"/>
    </row>
    <row r="2" spans="2:10" s="295" customFormat="1" ht="12.75" customHeight="1" x14ac:dyDescent="0.2">
      <c r="B2" s="2589">
        <f>'Single Audit Cover'!E7</f>
        <v>17053438004</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Saunemin CCSD 438</v>
      </c>
      <c r="C1" s="2587"/>
      <c r="D1" s="2587"/>
      <c r="E1" s="2587"/>
      <c r="F1" s="2587"/>
      <c r="G1" s="2587"/>
      <c r="H1" s="2587"/>
      <c r="I1" s="2587"/>
      <c r="J1" s="2587"/>
      <c r="K1" s="2587"/>
      <c r="L1" s="1144"/>
      <c r="M1" s="1144"/>
    </row>
    <row r="2" spans="1:13" ht="12" customHeight="1" x14ac:dyDescent="0.2">
      <c r="B2" s="2589">
        <f>'Single Audit Cover'!E7</f>
        <v>17053438004</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Saunemin CCSD 438</v>
      </c>
      <c r="C1" s="2614"/>
      <c r="D1" s="2614"/>
      <c r="E1" s="2614"/>
      <c r="F1" s="2614"/>
      <c r="G1" s="2614"/>
      <c r="H1" s="2614"/>
      <c r="I1" s="2614"/>
      <c r="J1" s="2614"/>
      <c r="K1" s="2614"/>
      <c r="L1" s="1221"/>
    </row>
    <row r="2" spans="1:12" ht="12.75" customHeight="1" x14ac:dyDescent="0.2">
      <c r="B2" s="2615">
        <f>'Single Audit Cover'!E7</f>
        <v>17053438004</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Saunemin CCSD 438</v>
      </c>
      <c r="C1" s="2587"/>
      <c r="D1" s="2587"/>
      <c r="E1" s="1240"/>
    </row>
    <row r="2" spans="2:5" s="1058" customFormat="1" ht="12.75" customHeight="1" x14ac:dyDescent="0.2">
      <c r="B2" s="2589">
        <f>'Single Audit Cover'!E7</f>
        <v>17053438004</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R44" sqref="R4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27700258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2.9576000000000002E-2</v>
      </c>
      <c r="E10" s="333" t="s">
        <v>998</v>
      </c>
      <c r="F10" s="332">
        <v>3.2850000000000002E-3</v>
      </c>
      <c r="G10" s="333" t="s">
        <v>998</v>
      </c>
      <c r="H10" s="332">
        <v>5.4199999999999995E-4</v>
      </c>
      <c r="I10" s="333" t="s">
        <v>999</v>
      </c>
      <c r="J10" s="1424">
        <f>ROUND(D10+F10+H10,5)</f>
        <v>3.3399999999999999E-2</v>
      </c>
      <c r="K10" s="217"/>
      <c r="L10" s="332">
        <v>2.8899999999999998E-4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2048891</v>
      </c>
      <c r="E16" s="1547"/>
      <c r="F16" s="1546">
        <f>SUM('Acct Summary 7-8'!C17,'Acct Summary 7-8'!D17,'Acct Summary 7-8'!F17)</f>
        <v>2121317</v>
      </c>
      <c r="G16" s="1547"/>
      <c r="H16" s="1546">
        <f>SUM(D16-F16)</f>
        <v>-72426</v>
      </c>
      <c r="I16" s="1548"/>
      <c r="J16" s="1546">
        <f>SUM('Acct Summary 7-8'!C81,'Acct Summary 7-8'!D81,'Acct Summary 7-8'!F81,'Acct Summary 7-8'!I81)</f>
        <v>3500041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1911317.8020000001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36175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Saunemin CCSD 438</v>
      </c>
      <c r="E7" s="368"/>
      <c r="G7" s="247"/>
      <c r="H7" s="364"/>
      <c r="I7" s="364"/>
      <c r="J7" s="364"/>
      <c r="K7" s="364"/>
      <c r="L7" s="307"/>
      <c r="M7" s="307"/>
      <c r="N7" s="307"/>
      <c r="O7" s="307"/>
      <c r="P7" s="307"/>
    </row>
    <row r="8" spans="1:18" ht="12.75" x14ac:dyDescent="0.2">
      <c r="A8" s="307"/>
      <c r="B8" s="307"/>
      <c r="C8" s="366" t="s">
        <v>1115</v>
      </c>
      <c r="D8" s="369">
        <f>COVER!A13</f>
        <v>17053438004</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3500041</v>
      </c>
      <c r="I12" s="380"/>
      <c r="J12" s="380"/>
      <c r="K12" s="1559">
        <f>TRUNC((H12/H13*100000),5)/100000</f>
        <v>1.7082612008</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2048891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2121317</v>
      </c>
      <c r="I17" s="380"/>
      <c r="J17" s="389"/>
      <c r="K17" s="1559">
        <f>TRUNC((H17/H18*100000),5)/100000</f>
        <v>1.0353488789</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2048891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45.496809200000001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3500041</v>
      </c>
      <c r="I24" s="394"/>
      <c r="J24" s="394"/>
      <c r="K24" s="1555">
        <f>TRUNC(((H24/H25*100000)/100000),2)</f>
        <v>593.97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5892.5472200000004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786410.32461999997</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36175</v>
      </c>
      <c r="I32" s="392"/>
      <c r="J32" s="392"/>
      <c r="K32" s="1555">
        <f>TRUNC(100-((((H32/H33*100))*100)/100),2)</f>
        <v>98.1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1911317.8020000001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G27" sqref="G2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1982079</v>
      </c>
      <c r="D4" s="1573">
        <v>595101</v>
      </c>
      <c r="E4" s="1573"/>
      <c r="F4" s="1573">
        <v>596159</v>
      </c>
      <c r="G4" s="1573">
        <v>22961</v>
      </c>
      <c r="H4" s="1573">
        <v>232879</v>
      </c>
      <c r="I4" s="1573">
        <v>136706</v>
      </c>
      <c r="J4" s="1574">
        <v>135903</v>
      </c>
      <c r="K4" s="1573">
        <v>0</v>
      </c>
      <c r="L4" s="1573">
        <v>37774</v>
      </c>
      <c r="M4" s="1575"/>
      <c r="N4" s="1576"/>
    </row>
    <row r="5" spans="1:14" x14ac:dyDescent="0.2">
      <c r="A5" s="427" t="s">
        <v>985</v>
      </c>
      <c r="B5" s="429">
        <v>120</v>
      </c>
      <c r="C5" s="1572">
        <v>100000</v>
      </c>
      <c r="D5" s="1573"/>
      <c r="E5" s="1573"/>
      <c r="F5" s="1573">
        <v>72000</v>
      </c>
      <c r="G5" s="1573">
        <v>79332</v>
      </c>
      <c r="H5" s="1573"/>
      <c r="I5" s="1573">
        <v>17996</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2082079</v>
      </c>
      <c r="D13" s="1587">
        <f t="shared" ref="D13:L13" si="0">SUM(D4:D12)</f>
        <v>595101</v>
      </c>
      <c r="E13" s="1587">
        <f t="shared" si="0"/>
        <v>0</v>
      </c>
      <c r="F13" s="1587">
        <f t="shared" si="0"/>
        <v>668159</v>
      </c>
      <c r="G13" s="1587">
        <f t="shared" si="0"/>
        <v>102293</v>
      </c>
      <c r="H13" s="1587">
        <f t="shared" si="0"/>
        <v>232879</v>
      </c>
      <c r="I13" s="1587">
        <f t="shared" si="0"/>
        <v>154702</v>
      </c>
      <c r="J13" s="1587">
        <f t="shared" si="0"/>
        <v>135903</v>
      </c>
      <c r="K13" s="1587">
        <f t="shared" si="0"/>
        <v>0</v>
      </c>
      <c r="L13" s="1587">
        <f t="shared" si="0"/>
        <v>37774</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166496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1999892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38085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45170+131342</f>
        <v>176512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36175</v>
      </c>
    </row>
    <row r="23" spans="1:14" ht="13.5" customHeight="1" thickBot="1" x14ac:dyDescent="0.25">
      <c r="A23" s="1426" t="s">
        <v>638</v>
      </c>
      <c r="B23" s="1429"/>
      <c r="C23" s="1575"/>
      <c r="D23" s="1575"/>
      <c r="E23" s="1575"/>
      <c r="F23" s="1575"/>
      <c r="G23" s="1575"/>
      <c r="H23" s="1575"/>
      <c r="I23" s="1575"/>
      <c r="J23" s="1575"/>
      <c r="K23" s="1575"/>
      <c r="L23" s="1575"/>
      <c r="M23" s="1594">
        <f>SUM(M15:M22)</f>
        <v>2380985</v>
      </c>
      <c r="N23" s="1594">
        <f>SUM(N21:N22)</f>
        <v>36175</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v>74731</v>
      </c>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37774</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74731</v>
      </c>
      <c r="H34" s="1600">
        <f t="shared" si="1"/>
        <v>0</v>
      </c>
      <c r="I34" s="1600">
        <f t="shared" si="1"/>
        <v>0</v>
      </c>
      <c r="J34" s="1600">
        <f t="shared" si="1"/>
        <v>0</v>
      </c>
      <c r="K34" s="1600">
        <f t="shared" si="1"/>
        <v>0</v>
      </c>
      <c r="L34" s="1601">
        <f>SUM(L33)</f>
        <v>37774</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36175</v>
      </c>
    </row>
    <row r="37" spans="1:14" ht="13.5" thickBot="1" x14ac:dyDescent="0.25">
      <c r="A37" s="1426" t="s">
        <v>648</v>
      </c>
      <c r="B37" s="1429"/>
      <c r="C37" s="1582"/>
      <c r="D37" s="1582"/>
      <c r="E37" s="1582"/>
      <c r="F37" s="1582"/>
      <c r="G37" s="1582"/>
      <c r="H37" s="1582"/>
      <c r="I37" s="1582"/>
      <c r="J37" s="1582"/>
      <c r="K37" s="1582"/>
      <c r="L37" s="1585"/>
      <c r="M37" s="1575"/>
      <c r="N37" s="1594">
        <f>SUM(N36:N36)</f>
        <v>36175</v>
      </c>
    </row>
    <row r="38" spans="1:14" s="307" customFormat="1" ht="13.5" customHeight="1" thickTop="1" x14ac:dyDescent="0.2">
      <c r="A38" s="438" t="s">
        <v>417</v>
      </c>
      <c r="B38" s="432">
        <v>714</v>
      </c>
      <c r="C38" s="1573">
        <v>105068</v>
      </c>
      <c r="D38" s="1573"/>
      <c r="E38" s="1573"/>
      <c r="F38" s="1573"/>
      <c r="G38" s="1573">
        <v>27562</v>
      </c>
      <c r="H38" s="1573"/>
      <c r="I38" s="1573"/>
      <c r="J38" s="1574"/>
      <c r="K38" s="1573"/>
      <c r="L38" s="1586"/>
      <c r="M38" s="1604"/>
      <c r="N38" s="1604"/>
    </row>
    <row r="39" spans="1:14" s="307" customFormat="1" ht="13.5" customHeight="1" x14ac:dyDescent="0.2">
      <c r="A39" s="438" t="s">
        <v>339</v>
      </c>
      <c r="B39" s="432">
        <v>730</v>
      </c>
      <c r="C39" s="1573">
        <v>1977011</v>
      </c>
      <c r="D39" s="1573">
        <v>595101</v>
      </c>
      <c r="E39" s="1573"/>
      <c r="F39" s="1573">
        <v>668159</v>
      </c>
      <c r="G39" s="1573"/>
      <c r="H39" s="1573">
        <v>232879</v>
      </c>
      <c r="I39" s="1573">
        <v>154702</v>
      </c>
      <c r="J39" s="1574">
        <v>135903</v>
      </c>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2380985</v>
      </c>
      <c r="N40" s="1604"/>
    </row>
    <row r="41" spans="1:14" ht="13.5" customHeight="1" thickBot="1" x14ac:dyDescent="0.25">
      <c r="A41" s="1426" t="s">
        <v>650</v>
      </c>
      <c r="B41" s="1405"/>
      <c r="C41" s="1594">
        <f>(SUM(C34,C37,C38,C39))</f>
        <v>2082079</v>
      </c>
      <c r="D41" s="1594">
        <f t="shared" ref="D41:L41" si="2">SUM(D34,D37,D38:D39)</f>
        <v>595101</v>
      </c>
      <c r="E41" s="1594">
        <f t="shared" si="2"/>
        <v>0</v>
      </c>
      <c r="F41" s="1594">
        <f t="shared" si="2"/>
        <v>668159</v>
      </c>
      <c r="G41" s="1594">
        <f t="shared" si="2"/>
        <v>102293</v>
      </c>
      <c r="H41" s="1594">
        <f t="shared" si="2"/>
        <v>232879</v>
      </c>
      <c r="I41" s="1594">
        <f t="shared" si="2"/>
        <v>154702</v>
      </c>
      <c r="J41" s="1594">
        <f t="shared" si="2"/>
        <v>135903</v>
      </c>
      <c r="K41" s="1594">
        <f t="shared" si="2"/>
        <v>0</v>
      </c>
      <c r="L41" s="1594">
        <f t="shared" si="2"/>
        <v>37774</v>
      </c>
      <c r="M41" s="1594">
        <f>SUM(M40)</f>
        <v>2380985</v>
      </c>
      <c r="N41" s="1594">
        <f>SUM(N37)</f>
        <v>36175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D79" sqref="D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1121696</v>
      </c>
      <c r="D4" s="1606">
        <f>'Revenues 9-14'!D109</f>
        <v>165096</v>
      </c>
      <c r="E4" s="1606">
        <f>'Revenues 9-14'!E109</f>
        <v>0</v>
      </c>
      <c r="F4" s="1606">
        <f>'Revenues 9-14'!F109</f>
        <v>36677</v>
      </c>
      <c r="G4" s="1606">
        <f>'Revenues 9-14'!G109</f>
        <v>22354</v>
      </c>
      <c r="H4" s="1606">
        <f>'Revenues 9-14'!H109</f>
        <v>69424</v>
      </c>
      <c r="I4" s="1606">
        <f>'Revenues 9-14'!I109</f>
        <v>13385</v>
      </c>
      <c r="J4" s="1606">
        <f>'Revenues 9-14'!J109</f>
        <v>13955</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413520</v>
      </c>
      <c r="D6" s="1607">
        <f>'Revenues 9-14'!D170</f>
        <v>82000</v>
      </c>
      <c r="E6" s="1607">
        <f>'Revenues 9-14'!E170</f>
        <v>0</v>
      </c>
      <c r="F6" s="1607">
        <f>'Revenues 9-14'!F170</f>
        <v>151439</v>
      </c>
      <c r="G6" s="1607">
        <f>'Revenues 9-14'!G170</f>
        <v>0</v>
      </c>
      <c r="H6" s="1607">
        <f>'Revenues 9-14'!H170</f>
        <v>50000</v>
      </c>
      <c r="I6" s="1607">
        <f>'Revenues 9-14'!I170</f>
        <v>0</v>
      </c>
      <c r="J6" s="1607">
        <f>'Revenues 9-14'!J170</f>
        <v>90343</v>
      </c>
      <c r="K6" s="1607">
        <f>'Revenues 9-14'!K170</f>
        <v>0</v>
      </c>
      <c r="L6" s="325"/>
      <c r="M6" s="448"/>
    </row>
    <row r="7" spans="1:13" ht="15.75" customHeight="1" x14ac:dyDescent="0.2">
      <c r="A7" s="1314" t="s">
        <v>1485</v>
      </c>
      <c r="B7" s="1316">
        <v>4000</v>
      </c>
      <c r="C7" s="1607">
        <f>'Revenues 9-14'!C267</f>
        <v>65078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1600294</v>
      </c>
      <c r="D8" s="1594">
        <f t="shared" ref="D8:K8" si="0">SUM(D4:D7)</f>
        <v>247096</v>
      </c>
      <c r="E8" s="1594">
        <f t="shared" si="0"/>
        <v>0</v>
      </c>
      <c r="F8" s="1594">
        <f t="shared" si="0"/>
        <v>188116</v>
      </c>
      <c r="G8" s="1594">
        <f t="shared" si="0"/>
        <v>22354</v>
      </c>
      <c r="H8" s="1594">
        <f t="shared" si="0"/>
        <v>119424</v>
      </c>
      <c r="I8" s="1594">
        <f t="shared" si="0"/>
        <v>13385</v>
      </c>
      <c r="J8" s="1594">
        <f t="shared" si="0"/>
        <v>104298</v>
      </c>
      <c r="K8" s="1594">
        <f t="shared" si="0"/>
        <v>0</v>
      </c>
      <c r="L8" s="325"/>
    </row>
    <row r="9" spans="1:13" ht="15.75" thickTop="1" x14ac:dyDescent="0.2">
      <c r="A9" s="449" t="s">
        <v>1634</v>
      </c>
      <c r="B9" s="450">
        <v>3998</v>
      </c>
      <c r="C9" s="1586">
        <v>101465</v>
      </c>
      <c r="D9" s="1613"/>
      <c r="E9" s="1586"/>
      <c r="F9" s="1586"/>
      <c r="G9" s="1614"/>
      <c r="H9" s="1586"/>
      <c r="I9" s="1609" t="s">
        <v>1159</v>
      </c>
      <c r="J9" s="1583"/>
      <c r="K9" s="1586"/>
      <c r="L9" s="325"/>
    </row>
    <row r="10" spans="1:13" s="452" customFormat="1" ht="13.5" thickBot="1" x14ac:dyDescent="0.25">
      <c r="A10" s="1426" t="s">
        <v>1163</v>
      </c>
      <c r="B10" s="1407"/>
      <c r="C10" s="1594">
        <f>SUM(C8:C9)</f>
        <v>1701759</v>
      </c>
      <c r="D10" s="1594">
        <f t="shared" ref="D10:K10" si="1">SUM(D8:D9)</f>
        <v>247096</v>
      </c>
      <c r="E10" s="1594">
        <f t="shared" si="1"/>
        <v>0</v>
      </c>
      <c r="F10" s="1594">
        <f t="shared" si="1"/>
        <v>188116</v>
      </c>
      <c r="G10" s="1594">
        <f t="shared" si="1"/>
        <v>22354</v>
      </c>
      <c r="H10" s="1594">
        <f t="shared" si="1"/>
        <v>119424</v>
      </c>
      <c r="I10" s="1594">
        <f t="shared" si="1"/>
        <v>13385</v>
      </c>
      <c r="J10" s="1594">
        <f t="shared" si="1"/>
        <v>104298</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1080167</v>
      </c>
      <c r="D12" s="1616" t="s">
        <v>1159</v>
      </c>
      <c r="E12" s="1575" t="s">
        <v>1159</v>
      </c>
      <c r="F12" s="1575" t="s">
        <v>1159</v>
      </c>
      <c r="G12" s="1606">
        <f>'Expenditures 15-22'!K229</f>
        <v>23715</v>
      </c>
      <c r="H12" s="1617"/>
      <c r="I12" s="1575" t="s">
        <v>1159</v>
      </c>
      <c r="J12" s="1575" t="s">
        <v>1159</v>
      </c>
      <c r="K12" s="1617" t="s">
        <v>1159</v>
      </c>
      <c r="L12" s="325"/>
    </row>
    <row r="13" spans="1:13" ht="15.75" customHeight="1" x14ac:dyDescent="0.2">
      <c r="A13" s="1314" t="s">
        <v>454</v>
      </c>
      <c r="B13" s="1316">
        <v>2000</v>
      </c>
      <c r="C13" s="1607">
        <f>'Expenditures 15-22'!K74</f>
        <v>670284</v>
      </c>
      <c r="D13" s="1607">
        <f>'Expenditures 15-22'!K129</f>
        <v>215218</v>
      </c>
      <c r="E13" s="1576" t="s">
        <v>1159</v>
      </c>
      <c r="F13" s="1607">
        <f>'Expenditures 15-22'!K184</f>
        <v>99179</v>
      </c>
      <c r="G13" s="1607">
        <f>'Expenditures 15-22'!K279</f>
        <v>33670</v>
      </c>
      <c r="H13" s="1607">
        <f>'Expenditures 15-22'!K303</f>
        <v>35000</v>
      </c>
      <c r="I13" s="1575" t="s">
        <v>1159</v>
      </c>
      <c r="J13" s="1607">
        <f>'Expenditures 15-22'!K330</f>
        <v>72889</v>
      </c>
      <c r="K13" s="1618">
        <f>'Expenditures 15-22'!K352</f>
        <v>0</v>
      </c>
      <c r="L13" s="325"/>
    </row>
    <row r="14" spans="1:13" ht="15.75" customHeight="1" x14ac:dyDescent="0.2">
      <c r="A14" s="1314" t="s">
        <v>446</v>
      </c>
      <c r="B14" s="1316">
        <v>3000</v>
      </c>
      <c r="C14" s="1607">
        <f>'Expenditures 15-22'!K75</f>
        <v>0</v>
      </c>
      <c r="D14" s="1607">
        <f>'Expenditures 15-22'!K130</f>
        <v>24008</v>
      </c>
      <c r="E14" s="1616" t="s">
        <v>1159</v>
      </c>
      <c r="F14" s="1607">
        <f>'Expenditures 15-22'!K185</f>
        <v>0</v>
      </c>
      <c r="G14" s="1607">
        <f>'Expenditures 15-22'!K280</f>
        <v>2387</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24771</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7690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1750451</v>
      </c>
      <c r="D17" s="1594">
        <f t="shared" si="2"/>
        <v>263997</v>
      </c>
      <c r="E17" s="1594">
        <f t="shared" si="2"/>
        <v>0</v>
      </c>
      <c r="F17" s="1594">
        <f t="shared" si="2"/>
        <v>106869</v>
      </c>
      <c r="G17" s="1594">
        <f t="shared" si="2"/>
        <v>59772</v>
      </c>
      <c r="H17" s="1594">
        <f t="shared" si="2"/>
        <v>35000</v>
      </c>
      <c r="I17" s="1575"/>
      <c r="J17" s="1594">
        <f>SUM(J12:J16)</f>
        <v>72889</v>
      </c>
      <c r="K17" s="1594">
        <f>SUM(K12:K16)</f>
        <v>0</v>
      </c>
      <c r="L17" s="325"/>
    </row>
    <row r="18" spans="1:12" ht="15" customHeight="1" thickTop="1" x14ac:dyDescent="0.2">
      <c r="A18" s="1430" t="s">
        <v>1635</v>
      </c>
      <c r="B18" s="1431">
        <v>4180</v>
      </c>
      <c r="C18" s="1606">
        <f t="shared" ref="C18:H18" si="3">C9</f>
        <v>101465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1851916</v>
      </c>
      <c r="D19" s="1594">
        <f t="shared" si="4"/>
        <v>263997</v>
      </c>
      <c r="E19" s="1594">
        <f t="shared" si="4"/>
        <v>0</v>
      </c>
      <c r="F19" s="1594">
        <f t="shared" si="4"/>
        <v>106869</v>
      </c>
      <c r="G19" s="1594">
        <f t="shared" si="4"/>
        <v>59772</v>
      </c>
      <c r="H19" s="1594">
        <f t="shared" si="4"/>
        <v>35000</v>
      </c>
      <c r="I19" s="1575"/>
      <c r="J19" s="1594">
        <f>SUM(J17:J18)</f>
        <v>72889</v>
      </c>
      <c r="K19" s="1594">
        <f>SUM(K17:K18)</f>
        <v>0</v>
      </c>
      <c r="L19" s="325"/>
    </row>
    <row r="20" spans="1:12" ht="16.5" thickTop="1" thickBot="1" x14ac:dyDescent="0.25">
      <c r="A20" s="2232" t="s">
        <v>1636</v>
      </c>
      <c r="B20" s="2233"/>
      <c r="C20" s="1622">
        <f>C8-C17</f>
        <v>-150157</v>
      </c>
      <c r="D20" s="1622">
        <f t="shared" ref="D20:K20" si="5">D8-D17</f>
        <v>-16901</v>
      </c>
      <c r="E20" s="1622">
        <f t="shared" si="5"/>
        <v>0</v>
      </c>
      <c r="F20" s="1622">
        <f t="shared" si="5"/>
        <v>81247</v>
      </c>
      <c r="G20" s="1622">
        <f t="shared" si="5"/>
        <v>-37418</v>
      </c>
      <c r="H20" s="1622">
        <f t="shared" si="5"/>
        <v>84424</v>
      </c>
      <c r="I20" s="1622">
        <f t="shared" si="5"/>
        <v>13385</v>
      </c>
      <c r="J20" s="1622">
        <f t="shared" si="5"/>
        <v>31409</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-150157</v>
      </c>
      <c r="D78" s="1629">
        <f t="shared" si="9"/>
        <v>-16901</v>
      </c>
      <c r="E78" s="1629">
        <f t="shared" si="9"/>
        <v>0</v>
      </c>
      <c r="F78" s="1629">
        <f t="shared" si="9"/>
        <v>81247</v>
      </c>
      <c r="G78" s="1629">
        <f t="shared" si="9"/>
        <v>-37418</v>
      </c>
      <c r="H78" s="1629">
        <f t="shared" si="9"/>
        <v>84424</v>
      </c>
      <c r="I78" s="1629">
        <f t="shared" si="9"/>
        <v>13385</v>
      </c>
      <c r="J78" s="1629">
        <f t="shared" si="9"/>
        <v>31409</v>
      </c>
      <c r="K78" s="1629">
        <f t="shared" si="9"/>
        <v>0</v>
      </c>
      <c r="L78" s="457"/>
    </row>
    <row r="79" spans="1:12" ht="13.5" thickTop="1" x14ac:dyDescent="0.2">
      <c r="A79" s="1844" t="str">
        <f>"Fund Balances - July 1, "&amp;'AFR20'!E2-1</f>
        <v>Fund Balances - July 1, 2019</v>
      </c>
      <c r="B79" s="458"/>
      <c r="C79" s="1583">
        <v>2232236</v>
      </c>
      <c r="D79" s="1630">
        <v>612002</v>
      </c>
      <c r="E79" s="1630">
        <v>0</v>
      </c>
      <c r="F79" s="1630">
        <v>586912</v>
      </c>
      <c r="G79" s="1630">
        <v>64980</v>
      </c>
      <c r="H79" s="1630">
        <v>148455</v>
      </c>
      <c r="I79" s="1630">
        <v>141317</v>
      </c>
      <c r="J79" s="1630">
        <v>104494</v>
      </c>
      <c r="K79" s="1630"/>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2082079</v>
      </c>
      <c r="D81" s="1594">
        <f>SUM(D78:D80)</f>
        <v>595101</v>
      </c>
      <c r="E81" s="1594">
        <f t="shared" ref="E81:K81" si="10">SUM(E78:E80)</f>
        <v>0</v>
      </c>
      <c r="F81" s="1594">
        <f t="shared" si="10"/>
        <v>668159</v>
      </c>
      <c r="G81" s="1594">
        <f t="shared" si="10"/>
        <v>27562</v>
      </c>
      <c r="H81" s="1594">
        <f t="shared" si="10"/>
        <v>232879</v>
      </c>
      <c r="I81" s="1594">
        <f t="shared" si="10"/>
        <v>154702</v>
      </c>
      <c r="J81" s="1594">
        <f t="shared" si="10"/>
        <v>135903</v>
      </c>
      <c r="K81" s="1594">
        <f t="shared" si="10"/>
        <v>0</v>
      </c>
      <c r="L81" s="325"/>
    </row>
    <row r="82" spans="1:12" ht="0.75" customHeight="1" thickTop="1" thickBot="1" x14ac:dyDescent="0.25">
      <c r="A82" s="459" t="s">
        <v>340</v>
      </c>
      <c r="B82" s="460"/>
      <c r="C82" s="461">
        <f>(C81-C79)</f>
        <v>-150157</v>
      </c>
      <c r="D82" s="461">
        <f t="shared" ref="D82:K82" si="11">(D81-D79)</f>
        <v>-16901</v>
      </c>
      <c r="E82" s="461">
        <f t="shared" si="11"/>
        <v>0</v>
      </c>
      <c r="F82" s="461">
        <f t="shared" si="11"/>
        <v>81247</v>
      </c>
      <c r="G82" s="461">
        <f t="shared" si="11"/>
        <v>-37418</v>
      </c>
      <c r="H82" s="461">
        <f t="shared" si="11"/>
        <v>84424</v>
      </c>
      <c r="I82" s="461">
        <f t="shared" si="11"/>
        <v>13385</v>
      </c>
      <c r="J82" s="461">
        <f t="shared" si="11"/>
        <v>31409</v>
      </c>
      <c r="K82" s="461">
        <f t="shared" si="11"/>
        <v>0</v>
      </c>
    </row>
    <row r="83" spans="1:12" ht="14.25" hidden="1" thickTop="1" thickBot="1" x14ac:dyDescent="0.25">
      <c r="A83" s="462" t="s">
        <v>341</v>
      </c>
      <c r="B83" s="428"/>
      <c r="C83" s="463">
        <f>C82/C81</f>
        <v>-7.2118781275830546E-2</v>
      </c>
      <c r="D83" s="463">
        <f t="shared" ref="D83:K83" si="12">D82/D81</f>
        <v>-2.8400221138932719E-2</v>
      </c>
      <c r="E83" s="463" t="e">
        <f t="shared" si="12"/>
        <v>#DIV/0!</v>
      </c>
      <c r="F83" s="463">
        <f t="shared" si="12"/>
        <v>0.12159830220052413</v>
      </c>
      <c r="G83" s="463">
        <f t="shared" si="12"/>
        <v>-1.3575937885494522</v>
      </c>
      <c r="H83" s="463">
        <f t="shared" si="12"/>
        <v>0.36252302697967614</v>
      </c>
      <c r="I83" s="463">
        <f t="shared" si="12"/>
        <v>8.6521182660857648E-2</v>
      </c>
      <c r="J83" s="463">
        <f t="shared" si="12"/>
        <v>0.23111336762249546</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4" activePane="bottomLeft" state="frozen"/>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817416</v>
      </c>
      <c r="D5" s="1586">
        <v>104641</v>
      </c>
      <c r="E5" s="1573"/>
      <c r="F5" s="1631">
        <v>19933</v>
      </c>
      <c r="G5" s="1573">
        <v>6977</v>
      </c>
      <c r="H5" s="1573"/>
      <c r="I5" s="1573">
        <v>13095</v>
      </c>
      <c r="J5" s="1574">
        <v>13955</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31892</v>
      </c>
      <c r="D7" s="1573"/>
      <c r="E7" s="1575"/>
      <c r="F7" s="1574"/>
      <c r="G7" s="1574"/>
      <c r="H7" s="1574"/>
      <c r="I7" s="1575"/>
      <c r="J7" s="1575"/>
      <c r="K7" s="1575"/>
    </row>
    <row r="8" spans="1:12" x14ac:dyDescent="0.2">
      <c r="A8" s="427" t="s">
        <v>410</v>
      </c>
      <c r="B8" s="429">
        <v>1150</v>
      </c>
      <c r="C8" s="1580"/>
      <c r="D8" s="1580"/>
      <c r="E8" s="1582"/>
      <c r="F8" s="1582"/>
      <c r="G8" s="1586">
        <v>6977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849308</v>
      </c>
      <c r="D12" s="1633">
        <f t="shared" si="0"/>
        <v>104641</v>
      </c>
      <c r="E12" s="1633">
        <f t="shared" si="0"/>
        <v>0</v>
      </c>
      <c r="F12" s="1633">
        <f t="shared" si="0"/>
        <v>19933</v>
      </c>
      <c r="G12" s="1633">
        <f t="shared" si="0"/>
        <v>13954</v>
      </c>
      <c r="H12" s="1633">
        <f t="shared" si="0"/>
        <v>0</v>
      </c>
      <c r="I12" s="1633">
        <f t="shared" si="0"/>
        <v>13095</v>
      </c>
      <c r="J12" s="1633">
        <f t="shared" si="0"/>
        <v>13955</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42492</v>
      </c>
      <c r="D16" s="1573">
        <v>47469</v>
      </c>
      <c r="E16" s="1573"/>
      <c r="F16" s="1573">
        <v>15000</v>
      </c>
      <c r="G16" s="1573">
        <v>7800</v>
      </c>
      <c r="H16" s="1573"/>
      <c r="I16" s="1573"/>
      <c r="J16" s="1574"/>
      <c r="K16" s="1573"/>
    </row>
    <row r="17" spans="1:11" ht="12.75" customHeight="1" x14ac:dyDescent="0.2">
      <c r="A17" s="427" t="s">
        <v>802</v>
      </c>
      <c r="B17" s="429">
        <v>1290</v>
      </c>
      <c r="C17" s="1632">
        <v>202814</v>
      </c>
      <c r="D17" s="1573"/>
      <c r="E17" s="1573"/>
      <c r="F17" s="1573"/>
      <c r="G17" s="1573"/>
      <c r="H17" s="1573"/>
      <c r="I17" s="1573"/>
      <c r="J17" s="1574"/>
      <c r="K17" s="1573"/>
    </row>
    <row r="18" spans="1:11" ht="12.75" customHeight="1" thickBot="1" x14ac:dyDescent="0.25">
      <c r="A18" s="1406" t="s">
        <v>534</v>
      </c>
      <c r="B18" s="1407"/>
      <c r="C18" s="1635">
        <f>SUM(C14:C17)</f>
        <v>245306</v>
      </c>
      <c r="D18" s="1635">
        <f t="shared" ref="D18:K18" si="1">SUM(D14:D17)</f>
        <v>47469</v>
      </c>
      <c r="E18" s="1635">
        <f t="shared" si="1"/>
        <v>0</v>
      </c>
      <c r="F18" s="1635">
        <f t="shared" si="1"/>
        <v>15000</v>
      </c>
      <c r="G18" s="1635">
        <f t="shared" si="1"/>
        <v>7800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5791</v>
      </c>
      <c r="D65" s="1573"/>
      <c r="E65" s="1573"/>
      <c r="F65" s="1574">
        <v>1744</v>
      </c>
      <c r="G65" s="1573">
        <v>600</v>
      </c>
      <c r="H65" s="1573"/>
      <c r="I65" s="1573">
        <v>290</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5791</v>
      </c>
      <c r="D67" s="1594">
        <f t="shared" ref="D67:K67" si="2">SUM(D65:D66)</f>
        <v>0</v>
      </c>
      <c r="E67" s="1594">
        <f t="shared" si="2"/>
        <v>0</v>
      </c>
      <c r="F67" s="1594">
        <f t="shared" si="2"/>
        <v>1744</v>
      </c>
      <c r="G67" s="1594">
        <f t="shared" si="2"/>
        <v>600</v>
      </c>
      <c r="H67" s="1594">
        <f t="shared" si="2"/>
        <v>0</v>
      </c>
      <c r="I67" s="1594">
        <f t="shared" si="2"/>
        <v>290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3518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1004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4522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12094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v>3575</v>
      </c>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12094</v>
      </c>
      <c r="D82" s="1594">
        <f>SUM(D77:D81)</f>
        <v>3575</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2271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2271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v>9000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69424</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2404</v>
      </c>
      <c r="D107" s="1573">
        <v>411</v>
      </c>
      <c r="E107" s="1573"/>
      <c r="F107" s="1573"/>
      <c r="G107" s="1573"/>
      <c r="H107" s="1573"/>
      <c r="I107" s="1573"/>
      <c r="J107" s="1574"/>
      <c r="K107" s="1573"/>
    </row>
    <row r="108" spans="1:12" ht="12.75" customHeight="1" thickBot="1" x14ac:dyDescent="0.25">
      <c r="A108" s="1406" t="s">
        <v>484</v>
      </c>
      <c r="B108" s="1408"/>
      <c r="C108" s="1633">
        <f>SUM(C95:C107)</f>
        <v>2404</v>
      </c>
      <c r="D108" s="1633">
        <f t="shared" ref="D108:K108" si="3">SUM(D95:D107)</f>
        <v>9411</v>
      </c>
      <c r="E108" s="1633">
        <f t="shared" si="3"/>
        <v>0</v>
      </c>
      <c r="F108" s="1633">
        <f t="shared" si="3"/>
        <v>0</v>
      </c>
      <c r="G108" s="1633">
        <f t="shared" si="3"/>
        <v>0</v>
      </c>
      <c r="H108" s="1633">
        <f t="shared" si="3"/>
        <v>69424</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1121696</v>
      </c>
      <c r="D109" s="1641">
        <f t="shared" si="4"/>
        <v>165096</v>
      </c>
      <c r="E109" s="1641">
        <f t="shared" si="4"/>
        <v>0</v>
      </c>
      <c r="F109" s="1641">
        <f t="shared" si="4"/>
        <v>36677</v>
      </c>
      <c r="G109" s="1641">
        <f t="shared" si="4"/>
        <v>22354</v>
      </c>
      <c r="H109" s="1641">
        <f t="shared" si="4"/>
        <v>69424</v>
      </c>
      <c r="I109" s="1641">
        <f t="shared" si="4"/>
        <v>13385</v>
      </c>
      <c r="J109" s="1641">
        <f t="shared" si="4"/>
        <v>13955</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340000</v>
      </c>
      <c r="D117" s="1586">
        <v>82000</v>
      </c>
      <c r="E117" s="1573"/>
      <c r="F117" s="1586">
        <v>94000</v>
      </c>
      <c r="G117" s="1586"/>
      <c r="H117" s="1573"/>
      <c r="I117" s="1575"/>
      <c r="J117" s="1574">
        <v>90343</v>
      </c>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340000</v>
      </c>
      <c r="D122" s="1633">
        <f t="shared" si="5"/>
        <v>82000</v>
      </c>
      <c r="E122" s="1633">
        <f t="shared" si="5"/>
        <v>0</v>
      </c>
      <c r="F122" s="1633">
        <f t="shared" si="5"/>
        <v>94000</v>
      </c>
      <c r="G122" s="1633">
        <f t="shared" si="5"/>
        <v>0</v>
      </c>
      <c r="H122" s="1633">
        <f t="shared" si="5"/>
        <v>0</v>
      </c>
      <c r="I122" s="1575"/>
      <c r="J122" s="1633">
        <f>SUM(J117:J121)</f>
        <v>90343</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344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44227</v>
      </c>
      <c r="G152" s="1574"/>
      <c r="H152" s="1575"/>
      <c r="I152" s="1575"/>
      <c r="J152" s="1575"/>
      <c r="K152" s="1575"/>
    </row>
    <row r="153" spans="1:11" ht="12.75" customHeight="1" x14ac:dyDescent="0.2">
      <c r="A153" s="427" t="s">
        <v>1048</v>
      </c>
      <c r="B153" s="478">
        <v>3510</v>
      </c>
      <c r="C153" s="1632"/>
      <c r="D153" s="1573"/>
      <c r="E153" s="1640"/>
      <c r="F153" s="1573">
        <v>13212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57439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73176</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73520</v>
      </c>
      <c r="D169" s="1658">
        <f t="shared" si="6"/>
        <v>0</v>
      </c>
      <c r="E169" s="1658">
        <f t="shared" si="6"/>
        <v>0</v>
      </c>
      <c r="F169" s="1658">
        <f t="shared" si="6"/>
        <v>57439</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413520</v>
      </c>
      <c r="D170" s="1641">
        <f t="shared" si="7"/>
        <v>82000</v>
      </c>
      <c r="E170" s="1641">
        <f t="shared" si="7"/>
        <v>0</v>
      </c>
      <c r="F170" s="1641">
        <f t="shared" si="7"/>
        <v>151439</v>
      </c>
      <c r="G170" s="1641">
        <f t="shared" si="7"/>
        <v>0</v>
      </c>
      <c r="H170" s="1641">
        <f t="shared" si="7"/>
        <v>50000</v>
      </c>
      <c r="I170" s="1641">
        <f t="shared" si="7"/>
        <v>0</v>
      </c>
      <c r="J170" s="1641">
        <f t="shared" si="7"/>
        <v>90343</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20580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5827</v>
      </c>
      <c r="D193" s="1575"/>
      <c r="E193" s="1640"/>
      <c r="F193" s="1575"/>
      <c r="G193" s="1664"/>
      <c r="H193" s="1575"/>
      <c r="I193" s="1575"/>
      <c r="J193" s="1575"/>
      <c r="K193" s="1575"/>
    </row>
    <row r="194" spans="1:11" ht="12.75" customHeight="1" x14ac:dyDescent="0.2">
      <c r="A194" s="427" t="s">
        <v>1434</v>
      </c>
      <c r="B194" s="429">
        <v>4225</v>
      </c>
      <c r="C194" s="1632">
        <v>14464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40871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20382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20382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3825</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3825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65078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65078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1600294</v>
      </c>
      <c r="D268" s="1641">
        <f t="shared" si="12"/>
        <v>247096</v>
      </c>
      <c r="E268" s="1641">
        <f t="shared" si="12"/>
        <v>0</v>
      </c>
      <c r="F268" s="1641">
        <f t="shared" si="12"/>
        <v>188116</v>
      </c>
      <c r="G268" s="1641">
        <f t="shared" si="12"/>
        <v>22354</v>
      </c>
      <c r="H268" s="1641">
        <f t="shared" si="12"/>
        <v>119424</v>
      </c>
      <c r="I268" s="1641">
        <f t="shared" si="12"/>
        <v>13385</v>
      </c>
      <c r="J268" s="1641">
        <f t="shared" si="12"/>
        <v>104298</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6" activePane="bottomLeft" state="frozen"/>
      <selection pane="bottomLeft" activeCell="H206" sqref="H20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574948</v>
      </c>
      <c r="D5" s="1573">
        <v>76886</v>
      </c>
      <c r="E5" s="1573">
        <v>22297</v>
      </c>
      <c r="F5" s="1573">
        <v>42571</v>
      </c>
      <c r="G5" s="1573">
        <v>16455</v>
      </c>
      <c r="H5" s="1573">
        <v>5296</v>
      </c>
      <c r="I5" s="1574"/>
      <c r="J5" s="1574"/>
      <c r="K5" s="1672">
        <f>SUM(C5:J5)</f>
        <v>738453</v>
      </c>
      <c r="L5" s="1573">
        <v>794422</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74385</v>
      </c>
      <c r="D7" s="1574">
        <v>13541</v>
      </c>
      <c r="E7" s="1574"/>
      <c r="F7" s="1574">
        <v>2784</v>
      </c>
      <c r="G7" s="1574"/>
      <c r="H7" s="1574"/>
      <c r="I7" s="1574"/>
      <c r="J7" s="1574"/>
      <c r="K7" s="1672">
        <f t="shared" ref="K7:K32" si="0">SUM(C7:J7)</f>
        <v>90710</v>
      </c>
      <c r="L7" s="1573">
        <v>87355</v>
      </c>
    </row>
    <row r="8" spans="1:14" x14ac:dyDescent="0.2">
      <c r="A8" s="1274" t="s">
        <v>163</v>
      </c>
      <c r="B8" s="503">
        <v>1200</v>
      </c>
      <c r="C8" s="1573">
        <v>54244</v>
      </c>
      <c r="D8" s="1573">
        <v>12372</v>
      </c>
      <c r="E8" s="1573">
        <v>38919</v>
      </c>
      <c r="F8" s="1573"/>
      <c r="G8" s="1573"/>
      <c r="H8" s="1573">
        <v>46936</v>
      </c>
      <c r="I8" s="1574"/>
      <c r="J8" s="1574"/>
      <c r="K8" s="1672">
        <f t="shared" si="0"/>
        <v>152471</v>
      </c>
      <c r="L8" s="1573">
        <v>125487</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50613</v>
      </c>
      <c r="D10" s="1573">
        <v>7255</v>
      </c>
      <c r="E10" s="1573"/>
      <c r="F10" s="1573">
        <v>1046</v>
      </c>
      <c r="G10" s="1573"/>
      <c r="H10" s="1573"/>
      <c r="I10" s="1574"/>
      <c r="J10" s="1574"/>
      <c r="K10" s="1672">
        <f t="shared" si="0"/>
        <v>58914</v>
      </c>
      <c r="L10" s="1573">
        <v>55693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20965</v>
      </c>
      <c r="D14" s="1573">
        <v>52</v>
      </c>
      <c r="E14" s="1573">
        <v>6735</v>
      </c>
      <c r="F14" s="1573">
        <v>7262</v>
      </c>
      <c r="G14" s="1573">
        <v>445</v>
      </c>
      <c r="H14" s="1573">
        <v>4160</v>
      </c>
      <c r="I14" s="1574"/>
      <c r="J14" s="1574"/>
      <c r="K14" s="1672">
        <f t="shared" si="0"/>
        <v>39619</v>
      </c>
      <c r="L14" s="1573">
        <v>42182</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775155</v>
      </c>
      <c r="D33" s="1674">
        <f t="shared" ref="D33:L33" si="1">SUM(D5:D32)</f>
        <v>110106</v>
      </c>
      <c r="E33" s="1674">
        <f t="shared" si="1"/>
        <v>67951</v>
      </c>
      <c r="F33" s="1674">
        <f t="shared" si="1"/>
        <v>53663</v>
      </c>
      <c r="G33" s="1674">
        <f t="shared" si="1"/>
        <v>16900</v>
      </c>
      <c r="H33" s="1674">
        <f t="shared" si="1"/>
        <v>56392</v>
      </c>
      <c r="I33" s="1674">
        <f t="shared" si="1"/>
        <v>0</v>
      </c>
      <c r="J33" s="1674">
        <f t="shared" si="1"/>
        <v>0</v>
      </c>
      <c r="K33" s="1674">
        <f t="shared" si="1"/>
        <v>1080167</v>
      </c>
      <c r="L33" s="1674">
        <f t="shared" si="1"/>
        <v>1105139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69467</v>
      </c>
      <c r="F40" s="1573"/>
      <c r="G40" s="1573"/>
      <c r="H40" s="1573"/>
      <c r="I40" s="1574"/>
      <c r="J40" s="1574"/>
      <c r="K40" s="1672">
        <f t="shared" si="2"/>
        <v>69467</v>
      </c>
      <c r="L40" s="1573">
        <v>63000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69467</v>
      </c>
      <c r="F42" s="1674">
        <f t="shared" si="3"/>
        <v>0</v>
      </c>
      <c r="G42" s="1674">
        <f t="shared" si="3"/>
        <v>0</v>
      </c>
      <c r="H42" s="1674">
        <f t="shared" si="3"/>
        <v>0</v>
      </c>
      <c r="I42" s="1674">
        <f t="shared" si="3"/>
        <v>0</v>
      </c>
      <c r="J42" s="1674">
        <f t="shared" si="3"/>
        <v>0</v>
      </c>
      <c r="K42" s="1674">
        <f t="shared" si="3"/>
        <v>69467</v>
      </c>
      <c r="L42" s="1674">
        <f t="shared" si="3"/>
        <v>63000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195</v>
      </c>
      <c r="F44" s="1586"/>
      <c r="G44" s="1586"/>
      <c r="H44" s="1586"/>
      <c r="I44" s="1574"/>
      <c r="J44" s="1574"/>
      <c r="K44" s="1678">
        <f>SUM(C44:J44)</f>
        <v>195</v>
      </c>
      <c r="L44" s="1586">
        <v>3265</v>
      </c>
    </row>
    <row r="45" spans="1:14" x14ac:dyDescent="0.2">
      <c r="A45" s="1274" t="s">
        <v>810</v>
      </c>
      <c r="B45" s="503">
        <v>2220</v>
      </c>
      <c r="C45" s="1573">
        <v>883</v>
      </c>
      <c r="D45" s="1573"/>
      <c r="E45" s="1573"/>
      <c r="F45" s="1573">
        <v>176</v>
      </c>
      <c r="G45" s="1573"/>
      <c r="H45" s="1573"/>
      <c r="I45" s="1574"/>
      <c r="J45" s="1574"/>
      <c r="K45" s="1678">
        <f>SUM(C45:J45)</f>
        <v>1059</v>
      </c>
      <c r="L45" s="1573">
        <v>14000</v>
      </c>
    </row>
    <row r="46" spans="1:14" x14ac:dyDescent="0.2">
      <c r="A46" s="1274" t="s">
        <v>811</v>
      </c>
      <c r="B46" s="503">
        <v>2230</v>
      </c>
      <c r="C46" s="1573"/>
      <c r="D46" s="1573"/>
      <c r="E46" s="1573">
        <v>10160</v>
      </c>
      <c r="F46" s="1573">
        <v>1725</v>
      </c>
      <c r="G46" s="1573"/>
      <c r="H46" s="1573"/>
      <c r="I46" s="1574"/>
      <c r="J46" s="1574"/>
      <c r="K46" s="1678">
        <f>SUM(C46:J46)</f>
        <v>11885</v>
      </c>
      <c r="L46" s="1573">
        <v>5000</v>
      </c>
    </row>
    <row r="47" spans="1:14" ht="12.75" customHeight="1" thickBot="1" x14ac:dyDescent="0.25">
      <c r="A47" s="1380" t="s">
        <v>557</v>
      </c>
      <c r="B47" s="1381" t="s">
        <v>32</v>
      </c>
      <c r="C47" s="1674">
        <f>SUM(C44:C46)</f>
        <v>883</v>
      </c>
      <c r="D47" s="1674">
        <f t="shared" ref="D47:K47" si="4">SUM(D44:D46)</f>
        <v>0</v>
      </c>
      <c r="E47" s="1674">
        <f t="shared" si="4"/>
        <v>10355</v>
      </c>
      <c r="F47" s="1674">
        <f t="shared" si="4"/>
        <v>1901</v>
      </c>
      <c r="G47" s="1674">
        <f t="shared" si="4"/>
        <v>0</v>
      </c>
      <c r="H47" s="1674">
        <f t="shared" si="4"/>
        <v>0</v>
      </c>
      <c r="I47" s="1674">
        <f t="shared" si="4"/>
        <v>0</v>
      </c>
      <c r="J47" s="1674">
        <f t="shared" si="4"/>
        <v>0</v>
      </c>
      <c r="K47" s="1674">
        <f t="shared" si="4"/>
        <v>13139</v>
      </c>
      <c r="L47" s="1674">
        <f>SUM(L44:L46)</f>
        <v>22265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6241</v>
      </c>
      <c r="D49" s="1586">
        <v>2148</v>
      </c>
      <c r="E49" s="1586">
        <v>7101</v>
      </c>
      <c r="F49" s="1586">
        <v>1114</v>
      </c>
      <c r="G49" s="1586"/>
      <c r="H49" s="1586">
        <v>7804</v>
      </c>
      <c r="I49" s="1574"/>
      <c r="J49" s="1574"/>
      <c r="K49" s="1678">
        <f>SUM(C49:J49)</f>
        <v>24408</v>
      </c>
      <c r="L49" s="1586">
        <v>26050</v>
      </c>
    </row>
    <row r="50" spans="1:14" x14ac:dyDescent="0.2">
      <c r="A50" s="1274" t="s">
        <v>813</v>
      </c>
      <c r="B50" s="503">
        <v>2320</v>
      </c>
      <c r="C50" s="1573">
        <v>248973</v>
      </c>
      <c r="D50" s="1573">
        <v>30055</v>
      </c>
      <c r="E50" s="1573">
        <v>1166</v>
      </c>
      <c r="F50" s="1573">
        <v>2989</v>
      </c>
      <c r="G50" s="1573">
        <v>7454</v>
      </c>
      <c r="H50" s="1573">
        <v>3882</v>
      </c>
      <c r="I50" s="1574"/>
      <c r="J50" s="1574"/>
      <c r="K50" s="1678">
        <f>SUM(C50:J50)</f>
        <v>294519</v>
      </c>
      <c r="L50" s="1573">
        <v>283127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255214</v>
      </c>
      <c r="D53" s="1674">
        <f t="shared" ref="D53:L53" si="5">SUM(D49:D52)</f>
        <v>32203</v>
      </c>
      <c r="E53" s="1674">
        <f t="shared" si="5"/>
        <v>8267</v>
      </c>
      <c r="F53" s="1674">
        <f t="shared" si="5"/>
        <v>4103</v>
      </c>
      <c r="G53" s="1674">
        <f t="shared" si="5"/>
        <v>7454</v>
      </c>
      <c r="H53" s="1674">
        <f t="shared" si="5"/>
        <v>11686</v>
      </c>
      <c r="I53" s="1674">
        <f t="shared" si="5"/>
        <v>0</v>
      </c>
      <c r="J53" s="1674">
        <f t="shared" si="5"/>
        <v>0</v>
      </c>
      <c r="K53" s="1674">
        <f t="shared" si="5"/>
        <v>318927</v>
      </c>
      <c r="L53" s="1674">
        <f t="shared" si="5"/>
        <v>309177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106545</v>
      </c>
      <c r="D55" s="1586">
        <v>22779</v>
      </c>
      <c r="E55" s="1586"/>
      <c r="F55" s="1586"/>
      <c r="G55" s="1586"/>
      <c r="H55" s="1586"/>
      <c r="I55" s="1574"/>
      <c r="J55" s="1574"/>
      <c r="K55" s="1678">
        <f>SUM(C55:J55)</f>
        <v>129324</v>
      </c>
      <c r="L55" s="1586">
        <v>109323</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106545</v>
      </c>
      <c r="D57" s="1679">
        <f t="shared" ref="D57:K57" si="6">SUM(D55:D56)</f>
        <v>22779</v>
      </c>
      <c r="E57" s="1679">
        <f t="shared" si="6"/>
        <v>0</v>
      </c>
      <c r="F57" s="1679">
        <f t="shared" si="6"/>
        <v>0</v>
      </c>
      <c r="G57" s="1679">
        <f t="shared" si="6"/>
        <v>0</v>
      </c>
      <c r="H57" s="1679">
        <f t="shared" si="6"/>
        <v>0</v>
      </c>
      <c r="I57" s="1679">
        <f t="shared" si="6"/>
        <v>0</v>
      </c>
      <c r="J57" s="1679">
        <f t="shared" si="6"/>
        <v>0</v>
      </c>
      <c r="K57" s="1679">
        <f t="shared" si="6"/>
        <v>129324</v>
      </c>
      <c r="L57" s="1674">
        <f>SUM(L55:L56)</f>
        <v>109323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48582</v>
      </c>
      <c r="D60" s="1573">
        <v>6226</v>
      </c>
      <c r="E60" s="1573">
        <v>150</v>
      </c>
      <c r="F60" s="1573">
        <v>24190</v>
      </c>
      <c r="G60" s="1573"/>
      <c r="H60" s="1573">
        <v>320</v>
      </c>
      <c r="I60" s="1574"/>
      <c r="J60" s="1574"/>
      <c r="K60" s="1678">
        <f t="shared" si="7"/>
        <v>79468</v>
      </c>
      <c r="L60" s="1573">
        <v>30700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27766</v>
      </c>
      <c r="D63" s="1573">
        <v>32</v>
      </c>
      <c r="E63" s="1573"/>
      <c r="F63" s="1573">
        <v>32054</v>
      </c>
      <c r="G63" s="1573"/>
      <c r="H63" s="1573">
        <v>107</v>
      </c>
      <c r="I63" s="1574"/>
      <c r="J63" s="1574"/>
      <c r="K63" s="1678">
        <f t="shared" si="7"/>
        <v>59959</v>
      </c>
      <c r="L63" s="1573">
        <v>67548</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76348</v>
      </c>
      <c r="D65" s="1674">
        <f t="shared" ref="D65:L65" si="8">SUM(D59:D64)</f>
        <v>6258</v>
      </c>
      <c r="E65" s="1674">
        <f t="shared" si="8"/>
        <v>150</v>
      </c>
      <c r="F65" s="1674">
        <f t="shared" si="8"/>
        <v>56244</v>
      </c>
      <c r="G65" s="1674">
        <f t="shared" si="8"/>
        <v>0</v>
      </c>
      <c r="H65" s="1674">
        <f t="shared" si="8"/>
        <v>427</v>
      </c>
      <c r="I65" s="1674">
        <f t="shared" si="8"/>
        <v>0</v>
      </c>
      <c r="J65" s="1674">
        <f t="shared" si="8"/>
        <v>0</v>
      </c>
      <c r="K65" s="1674">
        <f t="shared" si="8"/>
        <v>139427</v>
      </c>
      <c r="L65" s="1674">
        <f t="shared" si="8"/>
        <v>98248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438990</v>
      </c>
      <c r="D74" s="1681">
        <f t="shared" ref="D74:K74" si="10">SUM(D42,D47,D53,D57,D65,D72,D73)</f>
        <v>61240</v>
      </c>
      <c r="E74" s="1681">
        <f t="shared" si="10"/>
        <v>88239</v>
      </c>
      <c r="F74" s="1681">
        <f t="shared" si="10"/>
        <v>62248</v>
      </c>
      <c r="G74" s="1681">
        <f t="shared" si="10"/>
        <v>7454</v>
      </c>
      <c r="H74" s="1681">
        <f t="shared" si="10"/>
        <v>12113</v>
      </c>
      <c r="I74" s="1681">
        <f t="shared" si="10"/>
        <v>0</v>
      </c>
      <c r="J74" s="1681">
        <f t="shared" si="10"/>
        <v>0</v>
      </c>
      <c r="K74" s="1681">
        <f t="shared" si="10"/>
        <v>670284</v>
      </c>
      <c r="L74" s="1681">
        <f>SUM(L42,L47,L53,L57,L65,L72,L73)</f>
        <v>602013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500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1214145</v>
      </c>
      <c r="D114" s="1674">
        <f t="shared" ref="D114:K114" si="13">SUM(D33,D74,D75,D102,D112,D113)</f>
        <v>171346</v>
      </c>
      <c r="E114" s="1674">
        <f t="shared" si="13"/>
        <v>156190</v>
      </c>
      <c r="F114" s="1674">
        <f t="shared" si="13"/>
        <v>115911</v>
      </c>
      <c r="G114" s="1674">
        <f t="shared" si="13"/>
        <v>24354</v>
      </c>
      <c r="H114" s="1674">
        <f>SUM(H33,H74,H75,H102,H112,H113)</f>
        <v>68505</v>
      </c>
      <c r="I114" s="1674">
        <f t="shared" si="13"/>
        <v>0</v>
      </c>
      <c r="J114" s="1674">
        <f t="shared" si="13"/>
        <v>0</v>
      </c>
      <c r="K114" s="1674">
        <f t="shared" si="13"/>
        <v>1750451</v>
      </c>
      <c r="L114" s="1674">
        <f>SUM(L33,L74,L75,L102,L112,L113)</f>
        <v>1707652</v>
      </c>
    </row>
    <row r="115" spans="1:14" ht="13.5" thickTop="1" x14ac:dyDescent="0.2">
      <c r="A115" s="2262" t="s">
        <v>989</v>
      </c>
      <c r="B115" s="2263"/>
      <c r="C115" s="1675"/>
      <c r="D115" s="1675"/>
      <c r="E115" s="1675"/>
      <c r="F115" s="1675"/>
      <c r="G115" s="1675"/>
      <c r="H115" s="1675"/>
      <c r="I115" s="1675"/>
      <c r="J115" s="1675"/>
      <c r="K115" s="1689">
        <f>'Revenues 9-14'!C268-'Expenditures 15-22'!K114</f>
        <v>-150157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24771</v>
      </c>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72486</v>
      </c>
      <c r="D124" s="1573">
        <v>5969</v>
      </c>
      <c r="E124" s="1573">
        <v>77180</v>
      </c>
      <c r="F124" s="1573">
        <v>37998</v>
      </c>
      <c r="G124" s="1573">
        <v>18165</v>
      </c>
      <c r="H124" s="1573">
        <v>3420</v>
      </c>
      <c r="I124" s="1574"/>
      <c r="J124" s="1574"/>
      <c r="K124" s="1674">
        <f>SUM(C124:J124)</f>
        <v>215218</v>
      </c>
      <c r="L124" s="1573">
        <v>204424</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72486</v>
      </c>
      <c r="D127" s="1674">
        <f t="shared" ref="D127:L127" si="14">SUM(D122:D126)</f>
        <v>5969</v>
      </c>
      <c r="E127" s="1674">
        <f t="shared" si="14"/>
        <v>77180</v>
      </c>
      <c r="F127" s="1674">
        <f t="shared" si="14"/>
        <v>37998</v>
      </c>
      <c r="G127" s="1674">
        <f t="shared" si="14"/>
        <v>18165</v>
      </c>
      <c r="H127" s="1674">
        <f t="shared" si="14"/>
        <v>3420</v>
      </c>
      <c r="I127" s="1674">
        <f t="shared" si="14"/>
        <v>0</v>
      </c>
      <c r="J127" s="1674">
        <f t="shared" si="14"/>
        <v>0</v>
      </c>
      <c r="K127" s="1674">
        <f t="shared" si="14"/>
        <v>215218</v>
      </c>
      <c r="L127" s="1674">
        <f t="shared" si="14"/>
        <v>229195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72486</v>
      </c>
      <c r="D129" s="1681">
        <f t="shared" ref="D129:L129" si="15">SUM(D120,D127,D128)</f>
        <v>5969</v>
      </c>
      <c r="E129" s="1681">
        <f t="shared" si="15"/>
        <v>77180</v>
      </c>
      <c r="F129" s="1681">
        <f t="shared" si="15"/>
        <v>37998</v>
      </c>
      <c r="G129" s="1681">
        <f t="shared" si="15"/>
        <v>18165</v>
      </c>
      <c r="H129" s="1681">
        <f t="shared" si="15"/>
        <v>3420</v>
      </c>
      <c r="I129" s="1681">
        <f t="shared" si="15"/>
        <v>0</v>
      </c>
      <c r="J129" s="1681">
        <f t="shared" si="15"/>
        <v>0</v>
      </c>
      <c r="K129" s="1681">
        <f t="shared" si="15"/>
        <v>215218</v>
      </c>
      <c r="L129" s="1681">
        <f t="shared" si="15"/>
        <v>229195</v>
      </c>
    </row>
    <row r="130" spans="1:14" ht="15.75" customHeight="1" thickTop="1" thickBot="1" x14ac:dyDescent="0.25">
      <c r="A130" s="1348" t="s">
        <v>1029</v>
      </c>
      <c r="B130" s="1349" t="s">
        <v>571</v>
      </c>
      <c r="C130" s="1651">
        <v>24008</v>
      </c>
      <c r="D130" s="1651"/>
      <c r="E130" s="1651"/>
      <c r="F130" s="1651"/>
      <c r="G130" s="1651"/>
      <c r="H130" s="1651"/>
      <c r="I130" s="1627"/>
      <c r="J130" s="1627"/>
      <c r="K130" s="1674">
        <f>SUM(C130:J130)</f>
        <v>24008</v>
      </c>
      <c r="L130" s="1651">
        <v>22000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v>24771</v>
      </c>
      <c r="F136" s="1673"/>
      <c r="G136" s="1673"/>
      <c r="H136" s="1573"/>
      <c r="I136" s="1582"/>
      <c r="J136" s="1673"/>
      <c r="K136" s="1678">
        <f>SUM(E136,H136)</f>
        <v>24771</v>
      </c>
      <c r="L136" s="1573"/>
    </row>
    <row r="137" spans="1:14" ht="12.75" customHeight="1" thickBot="1" x14ac:dyDescent="0.25">
      <c r="A137" s="1380" t="s">
        <v>477</v>
      </c>
      <c r="B137" s="1385">
        <v>4100</v>
      </c>
      <c r="C137" s="1673"/>
      <c r="D137" s="1673"/>
      <c r="E137" s="1674">
        <f>SUM(E133:E136)</f>
        <v>24771</v>
      </c>
      <c r="F137" s="1673"/>
      <c r="G137" s="1673"/>
      <c r="H137" s="1674">
        <f>SUM(H133:H136)</f>
        <v>0</v>
      </c>
      <c r="I137" s="1582"/>
      <c r="J137" s="1673"/>
      <c r="K137" s="1674">
        <f>SUM(K133:K136)</f>
        <v>24771</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24771</v>
      </c>
      <c r="F139" s="1673"/>
      <c r="G139" s="1673"/>
      <c r="H139" s="1687">
        <f>SUM(H137:H138)</f>
        <v>0</v>
      </c>
      <c r="I139" s="1582"/>
      <c r="J139" s="1673"/>
      <c r="K139" s="1678">
        <f>SUM(K137,K138)</f>
        <v>24771</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96494</v>
      </c>
      <c r="D151" s="1674">
        <f t="shared" ref="D151:K151" si="16">SUM(D129,D130,D139,D149,D150)</f>
        <v>5969</v>
      </c>
      <c r="E151" s="1674">
        <f t="shared" si="16"/>
        <v>101951</v>
      </c>
      <c r="F151" s="1674">
        <f t="shared" si="16"/>
        <v>37998</v>
      </c>
      <c r="G151" s="1674">
        <f t="shared" si="16"/>
        <v>18165</v>
      </c>
      <c r="H151" s="1674">
        <f t="shared" si="16"/>
        <v>3420</v>
      </c>
      <c r="I151" s="1674">
        <f t="shared" si="16"/>
        <v>0</v>
      </c>
      <c r="J151" s="1674">
        <f t="shared" si="16"/>
        <v>0</v>
      </c>
      <c r="K151" s="1674">
        <f t="shared" si="16"/>
        <v>263997</v>
      </c>
      <c r="L151" s="1674">
        <f>SUM(L129,L130,L139,L149,L150)</f>
        <v>251195</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-16901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2" t="s">
        <v>989</v>
      </c>
      <c r="B175" s="2263"/>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v>0</v>
      </c>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26939</v>
      </c>
      <c r="D182" s="1573">
        <v>4309</v>
      </c>
      <c r="E182" s="1573">
        <v>55090</v>
      </c>
      <c r="F182" s="1573">
        <v>12841</v>
      </c>
      <c r="G182" s="1573"/>
      <c r="H182" s="1573"/>
      <c r="I182" s="1574"/>
      <c r="J182" s="1574"/>
      <c r="K182" s="1672">
        <f>SUM(C182:J182)</f>
        <v>99179</v>
      </c>
      <c r="L182" s="1573">
        <v>189524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26939</v>
      </c>
      <c r="D184" s="1681">
        <f t="shared" ref="D184:J184" si="17">SUM(D180,D182,D183)</f>
        <v>4309</v>
      </c>
      <c r="E184" s="1681">
        <f t="shared" si="17"/>
        <v>55090</v>
      </c>
      <c r="F184" s="1681">
        <f t="shared" si="17"/>
        <v>12841</v>
      </c>
      <c r="G184" s="1681">
        <f t="shared" si="17"/>
        <v>0</v>
      </c>
      <c r="H184" s="1681">
        <f t="shared" si="17"/>
        <v>0</v>
      </c>
      <c r="I184" s="1681">
        <f t="shared" si="17"/>
        <v>0</v>
      </c>
      <c r="J184" s="1681">
        <f t="shared" si="17"/>
        <v>0</v>
      </c>
      <c r="K184" s="1681">
        <f>SUM(K180,K182,K183)</f>
        <v>99179</v>
      </c>
      <c r="L184" s="1681">
        <f>SUM(L180, L182:L183)</f>
        <v>189524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v>7690</v>
      </c>
      <c r="I206" s="1673"/>
      <c r="J206" s="1673"/>
      <c r="K206" s="1672">
        <f>SUM(H206)</f>
        <v>7690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7690</v>
      </c>
      <c r="I208" s="1673"/>
      <c r="J208" s="1673"/>
      <c r="K208" s="1681">
        <f>SUM(K204,K205,K206,K207)</f>
        <v>7690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26939</v>
      </c>
      <c r="D210" s="1674">
        <f>SUM(D184,D185)</f>
        <v>4309</v>
      </c>
      <c r="E210" s="1674">
        <f>SUM(E184,E185,E196)</f>
        <v>55090</v>
      </c>
      <c r="F210" s="1674">
        <f>SUM(F184,F185)</f>
        <v>12841</v>
      </c>
      <c r="G210" s="1674">
        <f>SUM(G184,G185)</f>
        <v>0</v>
      </c>
      <c r="H210" s="1674">
        <f>SUM(H184,H185,H196,H208,H209)</f>
        <v>7690</v>
      </c>
      <c r="I210" s="1674">
        <f>SUM(I184,I185)</f>
        <v>0</v>
      </c>
      <c r="J210" s="1674">
        <f>SUM(J184,J185)</f>
        <v>0</v>
      </c>
      <c r="K210" s="1672">
        <f>SUM(K184,K185,K196,K208,K209)</f>
        <v>106869</v>
      </c>
      <c r="L210" s="1674">
        <f>SUM(L184,L185,L196,L208,L209)</f>
        <v>189524</v>
      </c>
    </row>
    <row r="211" spans="1:14" ht="13.5" thickTop="1" x14ac:dyDescent="0.2">
      <c r="A211" s="2262" t="s">
        <v>989</v>
      </c>
      <c r="B211" s="2263"/>
      <c r="C211" s="1675"/>
      <c r="D211" s="1675"/>
      <c r="E211" s="1675"/>
      <c r="F211" s="1675"/>
      <c r="G211" s="1675"/>
      <c r="H211" s="1675"/>
      <c r="I211" s="1673"/>
      <c r="J211" s="1673"/>
      <c r="K211" s="1689">
        <f>'Revenues 9-14'!F268-'Expenditures 15-22'!K210</f>
        <v>81247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8109</v>
      </c>
      <c r="E215" s="1673"/>
      <c r="F215" s="1673"/>
      <c r="G215" s="1673"/>
      <c r="H215" s="1673"/>
      <c r="I215" s="1673"/>
      <c r="J215" s="1673"/>
      <c r="K215" s="1672">
        <f>D215</f>
        <v>8109</v>
      </c>
      <c r="L215" s="1573">
        <v>8100</v>
      </c>
    </row>
    <row r="216" spans="1:14" x14ac:dyDescent="0.2">
      <c r="A216" s="1274" t="s">
        <v>162</v>
      </c>
      <c r="B216" s="503" t="s">
        <v>961</v>
      </c>
      <c r="C216" s="1673"/>
      <c r="D216" s="1574">
        <v>3708</v>
      </c>
      <c r="E216" s="1673"/>
      <c r="F216" s="1673"/>
      <c r="G216" s="1673"/>
      <c r="H216" s="1673"/>
      <c r="I216" s="1673"/>
      <c r="J216" s="1673"/>
      <c r="K216" s="1672">
        <f t="shared" ref="K216:K228" si="19">D216</f>
        <v>3708</v>
      </c>
      <c r="L216" s="1573">
        <v>3300</v>
      </c>
    </row>
    <row r="217" spans="1:14" x14ac:dyDescent="0.2">
      <c r="A217" s="1274" t="s">
        <v>163</v>
      </c>
      <c r="B217" s="503">
        <v>1200</v>
      </c>
      <c r="C217" s="1673"/>
      <c r="D217" s="1573">
        <v>3097</v>
      </c>
      <c r="E217" s="1673"/>
      <c r="F217" s="1673"/>
      <c r="G217" s="1673"/>
      <c r="H217" s="1673"/>
      <c r="I217" s="1673"/>
      <c r="J217" s="1673"/>
      <c r="K217" s="1672">
        <f t="shared" si="19"/>
        <v>3097</v>
      </c>
      <c r="L217" s="1573">
        <v>11100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7183</v>
      </c>
      <c r="E219" s="1673"/>
      <c r="F219" s="1673"/>
      <c r="G219" s="1673"/>
      <c r="H219" s="1673"/>
      <c r="I219" s="1673"/>
      <c r="J219" s="1673"/>
      <c r="K219" s="1672">
        <f t="shared" si="19"/>
        <v>7183</v>
      </c>
      <c r="L219" s="1573">
        <v>5150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1618</v>
      </c>
      <c r="E223" s="1673"/>
      <c r="F223" s="1673"/>
      <c r="G223" s="1673"/>
      <c r="H223" s="1673"/>
      <c r="I223" s="1673"/>
      <c r="J223" s="1673"/>
      <c r="K223" s="1672">
        <f t="shared" si="19"/>
        <v>1618</v>
      </c>
      <c r="L223" s="1573">
        <v>950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23715</v>
      </c>
      <c r="E229" s="1673"/>
      <c r="F229" s="1673"/>
      <c r="G229" s="1673"/>
      <c r="H229" s="1673"/>
      <c r="I229" s="1673"/>
      <c r="J229" s="1673"/>
      <c r="K229" s="1674">
        <f>SUM(K215:K228)</f>
        <v>23715</v>
      </c>
      <c r="L229" s="1674">
        <f>SUM(L215:L228)</f>
        <v>28600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68</v>
      </c>
      <c r="E241" s="1673"/>
      <c r="F241" s="1673"/>
      <c r="G241" s="1673"/>
      <c r="H241" s="1673"/>
      <c r="I241" s="1673"/>
      <c r="J241" s="1673"/>
      <c r="K241" s="1678">
        <f>D241</f>
        <v>68</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68</v>
      </c>
      <c r="E243" s="1673"/>
      <c r="F243" s="1673"/>
      <c r="G243" s="1673"/>
      <c r="H243" s="1673"/>
      <c r="I243" s="1673"/>
      <c r="J243" s="1673"/>
      <c r="K243" s="1674">
        <f>SUM(K240:K242)</f>
        <v>68</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814</v>
      </c>
      <c r="E245" s="1673"/>
      <c r="F245" s="1673"/>
      <c r="G245" s="1673"/>
      <c r="H245" s="1673"/>
      <c r="I245" s="1673"/>
      <c r="J245" s="1673"/>
      <c r="K245" s="1678">
        <f>D245</f>
        <v>814</v>
      </c>
      <c r="L245" s="1586">
        <v>380</v>
      </c>
    </row>
    <row r="246" spans="1:12" x14ac:dyDescent="0.2">
      <c r="A246" s="1274" t="s">
        <v>813</v>
      </c>
      <c r="B246" s="503">
        <v>2320</v>
      </c>
      <c r="C246" s="1673"/>
      <c r="D246" s="1573">
        <v>3852</v>
      </c>
      <c r="E246" s="1673"/>
      <c r="F246" s="1673"/>
      <c r="G246" s="1673"/>
      <c r="H246" s="1673"/>
      <c r="I246" s="1673"/>
      <c r="J246" s="1673"/>
      <c r="K246" s="1678">
        <f t="shared" ref="K246:K256" si="21">D246</f>
        <v>3852</v>
      </c>
      <c r="L246" s="1573">
        <v>1400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v>1425</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4666</v>
      </c>
      <c r="E257" s="1673"/>
      <c r="F257" s="1673"/>
      <c r="G257" s="1673"/>
      <c r="H257" s="1673"/>
      <c r="I257" s="1673"/>
      <c r="J257" s="1673"/>
      <c r="K257" s="1674">
        <f>SUM(K245:K256)</f>
        <v>4666</v>
      </c>
      <c r="L257" s="1674">
        <f>SUM(L245:L256)</f>
        <v>3205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4179</v>
      </c>
      <c r="E259" s="1673"/>
      <c r="F259" s="1673"/>
      <c r="G259" s="1673"/>
      <c r="H259" s="1673"/>
      <c r="I259" s="1673"/>
      <c r="J259" s="1673"/>
      <c r="K259" s="1678">
        <f>D259</f>
        <v>4179</v>
      </c>
      <c r="L259" s="1586">
        <v>6995</v>
      </c>
    </row>
    <row r="260" spans="1:14" s="493" customFormat="1" x14ac:dyDescent="0.2">
      <c r="A260" s="1292" t="s">
        <v>1781</v>
      </c>
      <c r="B260" s="512">
        <v>2490</v>
      </c>
      <c r="C260" s="1673"/>
      <c r="D260" s="1573"/>
      <c r="E260" s="1673"/>
      <c r="F260" s="1673"/>
      <c r="G260" s="1673"/>
      <c r="H260" s="1673"/>
      <c r="I260" s="1673"/>
      <c r="J260" s="1673"/>
      <c r="K260" s="1678">
        <f>D260</f>
        <v>0</v>
      </c>
      <c r="L260" s="1573">
        <v>1500</v>
      </c>
      <c r="M260" s="205"/>
      <c r="N260" s="205"/>
    </row>
    <row r="261" spans="1:14" ht="12.75" customHeight="1" thickBot="1" x14ac:dyDescent="0.25">
      <c r="A261" s="1394" t="s">
        <v>261</v>
      </c>
      <c r="B261" s="1399" t="s">
        <v>34</v>
      </c>
      <c r="C261" s="1673"/>
      <c r="D261" s="1674">
        <f>SUM(D259:D260)</f>
        <v>4179</v>
      </c>
      <c r="E261" s="1673"/>
      <c r="F261" s="1673"/>
      <c r="G261" s="1673"/>
      <c r="H261" s="1673"/>
      <c r="I261" s="1673"/>
      <c r="J261" s="1673"/>
      <c r="K261" s="1674">
        <f>SUM(K259:K260)</f>
        <v>4179</v>
      </c>
      <c r="L261" s="1674">
        <f>SUM(L259:L260)</f>
        <v>8495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7002</v>
      </c>
      <c r="E264" s="1673"/>
      <c r="F264" s="1673"/>
      <c r="G264" s="1673"/>
      <c r="H264" s="1673"/>
      <c r="I264" s="1673"/>
      <c r="J264" s="1673"/>
      <c r="K264" s="1678">
        <f t="shared" ref="K264:K269" si="22">D264</f>
        <v>7002</v>
      </c>
      <c r="L264" s="1573">
        <v>3900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10577</v>
      </c>
      <c r="E266" s="1673"/>
      <c r="F266" s="1673"/>
      <c r="G266" s="1673"/>
      <c r="H266" s="1673"/>
      <c r="I266" s="1673"/>
      <c r="J266" s="1673"/>
      <c r="K266" s="1678">
        <f t="shared" si="22"/>
        <v>10577</v>
      </c>
      <c r="L266" s="1573">
        <v>10400</v>
      </c>
    </row>
    <row r="267" spans="1:14" x14ac:dyDescent="0.2">
      <c r="A267" s="1274" t="s">
        <v>947</v>
      </c>
      <c r="B267" s="503">
        <v>2550</v>
      </c>
      <c r="C267" s="1673"/>
      <c r="D267" s="1573">
        <v>2500</v>
      </c>
      <c r="E267" s="1673"/>
      <c r="F267" s="1673"/>
      <c r="G267" s="1673"/>
      <c r="H267" s="1673"/>
      <c r="I267" s="1673"/>
      <c r="J267" s="1673"/>
      <c r="K267" s="1678">
        <f t="shared" si="22"/>
        <v>2500</v>
      </c>
      <c r="L267" s="1573">
        <v>3875</v>
      </c>
    </row>
    <row r="268" spans="1:14" x14ac:dyDescent="0.2">
      <c r="A268" s="1274" t="s">
        <v>100</v>
      </c>
      <c r="B268" s="503">
        <v>2560</v>
      </c>
      <c r="C268" s="1673"/>
      <c r="D268" s="1573">
        <v>4678</v>
      </c>
      <c r="E268" s="1673"/>
      <c r="F268" s="1673"/>
      <c r="G268" s="1673"/>
      <c r="H268" s="1673"/>
      <c r="I268" s="1673"/>
      <c r="J268" s="1673"/>
      <c r="K268" s="1678">
        <f t="shared" si="22"/>
        <v>4678</v>
      </c>
      <c r="L268" s="1573">
        <v>5050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24757</v>
      </c>
      <c r="E270" s="1673"/>
      <c r="F270" s="1673"/>
      <c r="G270" s="1673"/>
      <c r="H270" s="1673"/>
      <c r="I270" s="1673"/>
      <c r="J270" s="1673"/>
      <c r="K270" s="1674">
        <f>SUM(K263:K269)</f>
        <v>24757</v>
      </c>
      <c r="L270" s="1674">
        <f>SUM(L263:L269)</f>
        <v>23225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33670</v>
      </c>
      <c r="E279" s="1673"/>
      <c r="F279" s="1673"/>
      <c r="G279" s="1673"/>
      <c r="H279" s="1673"/>
      <c r="I279" s="1673"/>
      <c r="J279" s="1673"/>
      <c r="K279" s="1681">
        <f>SUM(K238,K243,K257,K261,K270,K277,K278)</f>
        <v>33670</v>
      </c>
      <c r="L279" s="1681">
        <f>SUM(L238,L243,L257,L261,L270,L277,L278)</f>
        <v>34925</v>
      </c>
    </row>
    <row r="280" spans="1:12" ht="15.75" customHeight="1" thickTop="1" thickBot="1" x14ac:dyDescent="0.25">
      <c r="A280" s="1362" t="s">
        <v>870</v>
      </c>
      <c r="B280" s="1351">
        <v>3000</v>
      </c>
      <c r="C280" s="1673"/>
      <c r="D280" s="1651">
        <v>2387</v>
      </c>
      <c r="E280" s="1673"/>
      <c r="F280" s="1673"/>
      <c r="G280" s="1673"/>
      <c r="H280" s="1673"/>
      <c r="I280" s="1673"/>
      <c r="J280" s="1673"/>
      <c r="K280" s="1687">
        <f>D280</f>
        <v>2387</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59772</v>
      </c>
      <c r="E295" s="1673"/>
      <c r="F295" s="1673"/>
      <c r="G295" s="1673"/>
      <c r="H295" s="1674">
        <f>H293</f>
        <v>0</v>
      </c>
      <c r="I295" s="1673"/>
      <c r="J295" s="1673"/>
      <c r="K295" s="1674">
        <f>SUM(K229,K279,K280,K285,K293,K294)</f>
        <v>59772</v>
      </c>
      <c r="L295" s="1674">
        <f>SUM(L229,L279,L280,L285,L293,L294)</f>
        <v>63525</v>
      </c>
    </row>
    <row r="296" spans="1:14" ht="13.5" thickTop="1" x14ac:dyDescent="0.2">
      <c r="A296" s="2262" t="s">
        <v>989</v>
      </c>
      <c r="B296" s="2263"/>
      <c r="C296" s="1673"/>
      <c r="D296" s="1675"/>
      <c r="E296" s="1673"/>
      <c r="F296" s="1673"/>
      <c r="G296" s="1673"/>
      <c r="H296" s="1707"/>
      <c r="I296" s="1673"/>
      <c r="J296" s="1673"/>
      <c r="K296" s="1689">
        <f>'Revenues 9-14'!G268-'Expenditures 15-22'!K295</f>
        <v>-37418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0</v>
      </c>
      <c r="F301" s="1573"/>
      <c r="G301" s="1573">
        <v>35000</v>
      </c>
      <c r="H301" s="1573"/>
      <c r="I301" s="1574"/>
      <c r="J301" s="1574"/>
      <c r="K301" s="1672">
        <f>SUM(C301:J301)</f>
        <v>35000</v>
      </c>
      <c r="L301" s="1574">
        <v>35000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35000</v>
      </c>
      <c r="H303" s="1681">
        <f t="shared" si="23"/>
        <v>0</v>
      </c>
      <c r="I303" s="1681">
        <f t="shared" si="23"/>
        <v>0</v>
      </c>
      <c r="J303" s="1681">
        <f t="shared" si="23"/>
        <v>0</v>
      </c>
      <c r="K303" s="1681">
        <f t="shared" si="23"/>
        <v>35000</v>
      </c>
      <c r="L303" s="1681">
        <f t="shared" si="23"/>
        <v>35000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35000</v>
      </c>
      <c r="H312" s="1674">
        <f>SUM(H303,H310)</f>
        <v>0</v>
      </c>
      <c r="I312" s="1674">
        <f>SUM(I303)</f>
        <v>0</v>
      </c>
      <c r="J312" s="1674">
        <f>SUM(J303)</f>
        <v>0</v>
      </c>
      <c r="K312" s="1674">
        <f>SUM(K303,K310,K311)</f>
        <v>35000</v>
      </c>
      <c r="L312" s="1674">
        <f>SUM(L303,L310,L311)</f>
        <v>35000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84424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1008</v>
      </c>
      <c r="F320" s="1574"/>
      <c r="G320" s="1574"/>
      <c r="H320" s="1574"/>
      <c r="I320" s="1574"/>
      <c r="J320" s="1574"/>
      <c r="K320" s="1672">
        <f t="shared" ref="K320:K327" si="24">SUM(C320:J320)</f>
        <v>1008</v>
      </c>
      <c r="L320" s="1574">
        <v>8000</v>
      </c>
      <c r="M320" s="539"/>
      <c r="N320" s="539"/>
    </row>
    <row r="321" spans="1:14" s="548" customFormat="1" x14ac:dyDescent="0.2">
      <c r="A321" s="1289" t="s">
        <v>297</v>
      </c>
      <c r="B321" s="567" t="s">
        <v>281</v>
      </c>
      <c r="C321" s="1574"/>
      <c r="D321" s="1574"/>
      <c r="E321" s="1574">
        <v>3652</v>
      </c>
      <c r="F321" s="1574"/>
      <c r="G321" s="1574"/>
      <c r="H321" s="1574"/>
      <c r="I321" s="1574"/>
      <c r="J321" s="1574"/>
      <c r="K321" s="1672">
        <f t="shared" si="24"/>
        <v>3652</v>
      </c>
      <c r="L321" s="1574"/>
      <c r="M321" s="539"/>
      <c r="N321" s="539"/>
    </row>
    <row r="322" spans="1:14" s="548" customFormat="1" x14ac:dyDescent="0.2">
      <c r="A322" s="1289" t="s">
        <v>236</v>
      </c>
      <c r="B322" s="567" t="s">
        <v>282</v>
      </c>
      <c r="C322" s="1574"/>
      <c r="D322" s="1574"/>
      <c r="E322" s="1574">
        <v>24265</v>
      </c>
      <c r="F322" s="1574"/>
      <c r="G322" s="1574"/>
      <c r="H322" s="1574"/>
      <c r="I322" s="1574"/>
      <c r="J322" s="1574"/>
      <c r="K322" s="1672">
        <f t="shared" si="24"/>
        <v>24265</v>
      </c>
      <c r="L322" s="1574">
        <v>22000</v>
      </c>
      <c r="M322" s="539"/>
      <c r="N322" s="539"/>
    </row>
    <row r="323" spans="1:14" s="548" customFormat="1" x14ac:dyDescent="0.2">
      <c r="A323" s="1289" t="s">
        <v>697</v>
      </c>
      <c r="B323" s="567" t="s">
        <v>283</v>
      </c>
      <c r="C323" s="1574">
        <v>5826</v>
      </c>
      <c r="D323" s="1574"/>
      <c r="E323" s="1574">
        <v>18288</v>
      </c>
      <c r="F323" s="1574"/>
      <c r="G323" s="1574"/>
      <c r="H323" s="1574"/>
      <c r="I323" s="1574"/>
      <c r="J323" s="1574"/>
      <c r="K323" s="1672">
        <f t="shared" si="24"/>
        <v>24114</v>
      </c>
      <c r="L323" s="1574">
        <f>63000</f>
        <v>63000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10051</v>
      </c>
      <c r="D325" s="1574">
        <v>1137</v>
      </c>
      <c r="E325" s="1574">
        <v>8662</v>
      </c>
      <c r="F325" s="1574"/>
      <c r="G325" s="1574"/>
      <c r="H325" s="1574"/>
      <c r="I325" s="1574"/>
      <c r="J325" s="1574"/>
      <c r="K325" s="1672">
        <f t="shared" si="24"/>
        <v>19850</v>
      </c>
      <c r="L325" s="1574">
        <v>26800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15877</v>
      </c>
      <c r="D330" s="1674">
        <f t="shared" ref="D330:J330" si="25">SUM(D319:D329)</f>
        <v>1137</v>
      </c>
      <c r="E330" s="1674">
        <f t="shared" si="25"/>
        <v>55875</v>
      </c>
      <c r="F330" s="1674">
        <f t="shared" si="25"/>
        <v>0</v>
      </c>
      <c r="G330" s="1674">
        <f t="shared" si="25"/>
        <v>0</v>
      </c>
      <c r="H330" s="1674">
        <f t="shared" si="25"/>
        <v>0</v>
      </c>
      <c r="I330" s="1674">
        <f t="shared" si="25"/>
        <v>0</v>
      </c>
      <c r="J330" s="1674">
        <f t="shared" si="25"/>
        <v>0</v>
      </c>
      <c r="K330" s="1674">
        <f>SUM(K319:K329)</f>
        <v>72889</v>
      </c>
      <c r="L330" s="1674">
        <f>SUM(L319:L329)</f>
        <v>119800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15877</v>
      </c>
      <c r="D342" s="1674">
        <f>SUM(D330)</f>
        <v>1137</v>
      </c>
      <c r="E342" s="1674">
        <f>SUM(E330)</f>
        <v>55875</v>
      </c>
      <c r="F342" s="1674">
        <f>SUM(F330)</f>
        <v>0</v>
      </c>
      <c r="G342" s="1674">
        <f>SUM(G330)</f>
        <v>0</v>
      </c>
      <c r="H342" s="1674">
        <f>SUM(H330,H334,H340)</f>
        <v>0</v>
      </c>
      <c r="I342" s="1674">
        <f>SUM(I330)</f>
        <v>0</v>
      </c>
      <c r="J342" s="1674">
        <f>SUM(J330)</f>
        <v>0</v>
      </c>
      <c r="K342" s="1674">
        <f>SUM(K330,K334,K340)</f>
        <v>72889</v>
      </c>
      <c r="L342" s="1681">
        <f>SUM(L330,L334,L340,L341)</f>
        <v>119800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31409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elements/1.1/"/>
    <ds:schemaRef ds:uri="http://purl.org/dc/dcmitype/"/>
    <ds:schemaRef ds:uri="http://schemas.microsoft.com/office/infopath/2007/PartnerControls"/>
    <ds:schemaRef ds:uri="http://schemas.microsoft.com/office/2006/documentManagement/types"/>
    <ds:schemaRef ds:uri="http://www.w3.org/XML/1998/namespace"/>
    <ds:schemaRef ds:uri="http://purl.org/dc/terms/"/>
    <ds:schemaRef ds:uri="http://schemas.openxmlformats.org/package/2006/metadata/core-properties"/>
    <ds:schemaRef ds:uri="4d435f69-8686-490b-bd6d-b153bf22ab50"/>
    <ds:schemaRef ds:uri="d21dc803-237d-4c68-8692-8d731fd29118"/>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2020-10-05T18:06:42Z</cp:lastPrinted>
  <dcterms:created xsi:type="dcterms:W3CDTF">2003-10-29T19:06:34Z</dcterms:created>
  <dcterms:modified xsi:type="dcterms:W3CDTF">2020-10-14T14:40:02Z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