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00E5B35-9FB9-4F59-BE4E-4427CDBC0B12}"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2" i="11" l="1"/>
  <c r="C12" i="11"/>
  <c r="J18" i="12"/>
  <c r="J31" i="8"/>
  <c r="M19" i="3"/>
  <c r="N57" i="184" l="1"/>
  <c r="N67" i="184"/>
  <c r="N66" i="184"/>
  <c r="N65" i="184"/>
  <c r="N64" i="184"/>
  <c r="N63" i="184"/>
  <c r="N62" i="184"/>
  <c r="N61" i="184"/>
  <c r="E67" i="184" l="1"/>
  <c r="E66" i="184"/>
  <c r="E65" i="184"/>
  <c r="E64" i="184"/>
  <c r="E63" i="184"/>
  <c r="E62" i="184"/>
  <c r="E61" i="184"/>
  <c r="E57" i="184"/>
  <c r="F15" i="184" l="1"/>
  <c r="F19" i="184" s="1"/>
  <c r="E17" i="184"/>
  <c r="E16" i="184"/>
  <c r="E15" i="184"/>
  <c r="E14"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5" i="184"/>
  <c r="H14"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80" i="34"/>
  <c r="F76" i="34"/>
  <c r="F75" i="34"/>
  <c r="B3674" i="106" l="1"/>
  <c r="B3635" i="106"/>
  <c r="B7885" i="106"/>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53" i="106" l="1"/>
  <c r="D7153" i="106" s="1"/>
  <c r="E60" i="184"/>
  <c r="N60" i="184" s="1"/>
  <c r="B7135" i="106"/>
  <c r="D7135" i="106" s="1"/>
  <c r="E58" i="184"/>
  <c r="G30" i="108"/>
  <c r="E19" i="184"/>
  <c r="H12" i="184"/>
  <c r="H19" i="184" s="1"/>
  <c r="L20" i="184" s="1"/>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K342" i="29"/>
  <c r="F13" i="34" s="1"/>
  <c r="N58" i="184"/>
  <c r="N68" i="184" s="1"/>
  <c r="E68" i="184"/>
  <c r="B1381" i="106"/>
  <c r="D1381" i="106" s="1"/>
  <c r="F41" i="108"/>
  <c r="G43" i="108" s="1"/>
  <c r="L114" i="29"/>
  <c r="B5527" i="106"/>
  <c r="D5527" i="106"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77" i="34"/>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8" i="4" l="1"/>
  <c r="F10" i="4" s="1"/>
  <c r="B4125" i="106" s="1"/>
  <c r="D4125" i="106" s="1"/>
  <c r="J20" i="4"/>
  <c r="B6230" i="106" s="1"/>
  <c r="D6230"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<sst xmlns="http://schemas.openxmlformats.org/spreadsheetml/2006/main" count="5155" uniqueCount="2086">
  <si>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</si>
  <si>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</si>
  <si>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</si>
  <si>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</si>
  <si>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</si>
  <si>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</si>
  <si>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</si>
  <si>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</si>
  <si>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</si>
  <si>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</si>
  <si>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</si>
  <si>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</si>
  <si>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</si>
  <si>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</si>
  <si>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</si>
  <si>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</si>
  <si>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</si>
  <si>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</si>
  <si>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</si>
  <si>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</si>
  <si>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</si>
  <si>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</si>
  <si>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</si>
  <si>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</si>
  <si>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</si>
  <si>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</si>
  <si>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</si>
  <si>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</si>
  <si>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</si>
  <si>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</si>
  <si>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</si>
  <si>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</si>
  <si>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</si>
  <si>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</si>
  <si>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</si>
  <si>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</si>
  <si>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</si>
  <si>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</si>
  <si>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</si>
  <si>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</si>
  <si>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</si>
  <si>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</si>
  <si>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</si>
  <si>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</si>
  <si>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</si>
  <si>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</si>
  <si>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</si>
  <si>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</si>
  <si>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</si>
  <si>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</si>
  <si>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</si>
  <si>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</si>
  <si>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</si>
  <si>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</si>
  <si>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</si>
  <si>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</si>
  <si>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</si>
  <si>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</si>
  <si>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</si>
  <si>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</si>
  <si>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</si>
  <si>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</si>
  <si>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</si>
  <si>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</si>
  <si>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</si>
  <si>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</si>
  <si>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</si>
  <si>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</si>
  <si>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</si>
  <si>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</si>
  <si>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</si>
  <si>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</si>
  <si>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</si>
  <si>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</si>
  <si>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</si>
  <si>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</si>
  <si>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</si>
  <si>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</si>
  <si>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</si>
  <si>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</si>
  <si>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</si>
  <si>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</si>
  <si>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</si>
  <si>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</si>
  <si>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</si>
  <si>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</si>
  <si>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</si>
  <si>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</si>
  <si>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</si>
  <si>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</si>
  <si>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</si>
  <si>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</si>
  <si>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</si>
  <si>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</si>
  <si>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</si>
  <si>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</si>
  <si>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</si>
  <si>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</si>
  <si>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</si>
  <si>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</si>
  <si>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</si>
  <si>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</si>
  <si>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</si>
  <si>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</si>
  <si>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</si>
  <si>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</si>
  <si>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</si>
  <si>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</si>
  <si>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</si>
  <si>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</si>
  <si>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</si>
  <si>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</si>
  <si>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</si>
  <si>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</si>
  <si>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</si>
  <si>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</si>
  <si>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</si>
  <si>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</si>
  <si>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</si>
  <si>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</si>
  <si>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</si>
  <si>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</si>
  <si>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</si>
  <si>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</si>
  <si>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</si>
  <si>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</si>
  <si>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</si>
  <si>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</si>
  <si>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</si>
  <si>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</si>
  <si>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</si>
  <si>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</si>
  <si>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</si>
  <si>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</si>
  <si>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</si>
  <si>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</si>
  <si>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</si>
  <si>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</si>
  <si>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</si>
  <si>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</si>
  <si>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</si>
  <si>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</si>
  <si>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</si>
  <si>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</si>
  <si>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</si>
  <si>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</si>
  <si>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</si>
  <si>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</si>
  <si>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</si>
  <si>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</si>
  <si>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</si>
  <si>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</si>
  <si>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</si>
  <si>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</si>
  <si>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</si>
  <si>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</si>
  <si>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</si>
  <si>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</si>
  <si>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</si>
  <si>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</si>
  <si>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</si>
  <si>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</si>
  <si>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</si>
  <si>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</si>
  <si>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</si>
  <si>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</si>
  <si>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</si>
  <si>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</si>
  <si>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</si>
  <si>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</si>
  <si>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</si>
  <si>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</si>
  <si>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</si>
  <si>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</si>
  <si>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</si>
  <si>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</si>
  <si>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</si>
  <si>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</si>
  <si>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</si>
  <si>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</si>
  <si>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</si>
  <si>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</si>
  <si>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</si>
  <si>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</si>
  <si>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</si>
  <si>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</si>
  <si>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</si>
  <si>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</si>
  <si>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</si>
  <si>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</si>
  <si>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</si>
  <si>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</si>
  <si>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</si>
  <si>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</si>
  <si>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</si>
  <si>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</si>
  <si>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</si>
  <si>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</si>
  <si>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</si>
  <si>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</si>
  <si>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</si>
  <si>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</si>
  <si>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</si>
  <si>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</si>
  <si>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</si>
  <si>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</si>
  <si>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</si>
  <si>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</si>
  <si>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</si>
  <si>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</si>
  <si>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</si>
  <si>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</si>
  <si>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</si>
  <si>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</si>
  <si>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</si>
  <si>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</si>
  <si>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</si>
  <si>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</si>
  <si>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</si>
  <si>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</si>
  <si>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</si>
  <si>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</si>
  <si>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</si>
  <si>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</si>
  <si>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</si>
  <si>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</si>
  <si>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</si>
  <si>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</si>
  <si>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</si>
  <si>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</si>
  <si>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</si>
  <si>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</si>
  <si>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</si>
  <si>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</si>
  <si>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</si>
  <si>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</si>
  <si>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</si>
  <si>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</si>
  <si>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</si>
  <si>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</si>
  <si>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</si>
  <si>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</si>
  <si>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</si>
  <si>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</si>
  <si>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</si>
  <si>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</si>
  <si>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</si>
  <si>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</si>
  <si>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</si>
  <si>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</si>
  <si>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</si>
  <si>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</si>
  <si>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</si>
  <si>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</si>
  <si>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</si>
  <si>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</si>
  <si>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</si>
  <si>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</si>
  <si>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</si>
  <si>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</si>
  <si>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</si>
  <si>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</si>
  <si>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</si>
  <si>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</si>
  <si>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</si>
  <si>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</si>
  <si>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</si>
  <si>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</si>
  <si>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</si>
  <si>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</si>
  <si>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</si>
  <si>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</si>
  <si>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</si>
  <si>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</si>
  <si>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</si>
  <si>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</si>
  <si>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</si>
  <si>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</si>
  <si>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</si>
  <si>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</si>
  <si>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</si>
  <si>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</si>
  <si>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</si>
  <si>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</si>
  <si>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</si>
  <si>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</si>
  <si>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</si>
  <si>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</si>
  <si>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</si>
  <si>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</si>
  <si>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</si>
  <si>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</si>
  <si>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</si>
  <si>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</si>
  <si>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</si>
  <si>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</si>
  <si>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</si>
  <si>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</si>
  <si>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</si>
  <si>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</si>
  <si>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</si>
  <si>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</si>
  <si>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</si>
  <si>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</si>
  <si>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</si>
  <si>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</si>
  <si>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</si>
  <si>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</si>
  <si>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</si>
  <si>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</si>
  <si>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</si>
  <si>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</si>
  <si>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</si>
  <si>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</si>
  <si>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</si>
  <si>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</si>
  <si>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</si>
  <si>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</si>
  <si>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</si>
  <si>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</si>
  <si>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</si>
  <si>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</si>
  <si>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</si>
  <si>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</si>
  <si>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</si>
  <si>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</si>
  <si>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</si>
  <si>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</si>
  <si>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</si>
  <si>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</si>
  <si>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</si>
  <si>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</si>
  <si>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</si>
  <si>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</si>
  <si>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</si>
  <si>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</si>
  <si>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</si>
  <si>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</si>
  <si>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</si>
  <si>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</si>
  <si>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</si>
  <si>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</si>
  <si>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</si>
  <si>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</si>
  <si>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</si>
  <si>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</si>
  <si>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</si>
  <si>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</si>
  <si>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</si>
  <si>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</si>
  <si>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</si>
  <si>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</si>
  <si>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</si>
  <si>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</si>
  <si>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</si>
  <si>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</si>
  <si>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</si>
  <si>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</si>
  <si>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</si>
  <si>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</si>
  <si>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</si>
  <si>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</si>
  <si>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</si>
  <si>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</si>
  <si>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</si>
  <si>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</si>
  <si>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</si>
  <si>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</si>
  <si>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</si>
  <si>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</si>
  <si>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</si>
  <si>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</si>
  <si>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</si>
  <si>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</si>
  <si>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</si>
  <si>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</si>
  <si>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</si>
  <si>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</si>
  <si>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</si>
  <si>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</si>
  <si>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</si>
  <si>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</si>
  <si>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</si>
  <si>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</si>
  <si>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</si>
  <si>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</si>
  <si>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</si>
  <si>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</si>
  <si>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</si>
  <si>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</si>
  <si>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</si>
  <si>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</si>
  <si>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</si>
  <si>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</si>
  <si>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</si>
  <si>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</si>
  <si>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</si>
  <si>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</si>
  <si>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</si>
  <si>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</si>
  <si>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</si>
  <si>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</si>
  <si>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</si>
  <si>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</si>
  <si>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</si>
  <si>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</si>
  <si>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</si>
  <si>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</si>
  <si>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</si>
  <si>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</si>
  <si>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</si>
  <si>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</si>
  <si>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</si>
  <si>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</si>
  <si>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</si>
  <si>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</si>
  <si>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</si>
  <si>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</si>
  <si>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</si>
  <si>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</si>
  <si>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</si>
  <si>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</si>
  <si>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</si>
  <si>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</si>
  <si>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</si>
  <si>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</si>
  <si>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</si>
  <si>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</si>
  <si>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</si>
  <si>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</si>
  <si>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</si>
  <si>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</si>
  <si>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</si>
  <si>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</si>
  <si>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</si>
  <si>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</si>
  <si>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</si>
  <si>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</si>
  <si>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</si>
  <si>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</si>
  <si>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</si>
  <si>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</si>
  <si>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</si>
  <si>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</si>
  <si>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</si>
  <si>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</si>
  <si>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</si>
  <si>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</si>
  <si>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</si>
  <si>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</si>
  <si>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</si>
  <si>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</si>
  <si>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</si>
  <si>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</si>
  <si>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</si>
  <si>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</si>
  <si>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</si>
  <si>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</si>
  <si>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</si>
  <si>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</si>
  <si>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</si>
  <si>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</si>
  <si>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</si>
  <si>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</si>
  <si>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</si>
  <si>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</si>
  <si>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</si>
  <si>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</si>
  <si>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</si>
  <si>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</si>
  <si>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</si>
  <si>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</si>
  <si>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</si>
  <si>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</si>
  <si>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</si>
  <si>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</si>
  <si>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</si>
  <si>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</si>
  <si>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</si>
  <si>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</si>
  <si>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</si>
  <si>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</si>
  <si>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</si>
  <si>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</si>
  <si>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</si>
  <si>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</si>
  <si>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</si>
  <si>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</si>
  <si>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</si>
  <si>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</si>
  <si>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</si>
  <si>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</si>
  <si>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</si>
  <si>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</si>
  <si>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</si>
  <si>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</si>
  <si>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</si>
  <si>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</si>
  <si>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</si>
  <si>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</si>
  <si>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</si>
  <si>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</si>
  <si>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</si>
  <si>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</si>
  <si>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</si>
  <si>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</si>
  <si>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</si>
  <si>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</si>
  <si>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</si>
  <si>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</si>
  <si>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</si>
  <si>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</si>
  <si>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</si>
  <si>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</si>
  <si>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</si>
  <si>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</si>
  <si>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</si>
  <si>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</si>
  <si>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</si>
  <si>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</si>
  <si>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</si>
  <si>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</si>
  <si>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</si>
  <si>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</si>
  <si>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</si>
  <si>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</si>
  <si>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</si>
  <si>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</si>
  <si>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</si>
  <si>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</si>
  <si>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</si>
  <si>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</si>
  <si>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</si>
  <si>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</si>
  <si>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</si>
  <si>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</si>
  <si>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</si>
  <si>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</si>
  <si>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</si>
  <si>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</si>
  <si>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</si>
  <si>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</si>
  <si>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</si>
  <si>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</si>
  <si>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</si>
  <si>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</si>
  <si>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</si>
  <si>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</si>
  <si>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</si>
  <si>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</si>
  <si>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</si>
  <si>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</si>
  <si>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</si>
  <si>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</si>
  <si>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</si>
  <si>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</si>
  <si>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</si>
  <si>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</si>
  <si>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</si>
  <si>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</si>
  <si>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</si>
  <si>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</si>
  <si>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</si>
  <si>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</si>
  <si>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</si>
  <si>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</si>
  <si>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</si>
  <si>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</si>
  <si>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</si>
  <si>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</si>
  <si>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</si>
  <si>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</si>
  <si>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</si>
  <si>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</si>
  <si>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</si>
  <si>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</si>
  <si>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</si>
  <si>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</si>
  <si>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</si>
  <si>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</si>
  <si>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</si>
  <si>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</si>
  <si>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</si>
  <si>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</si>
  <si>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</si>
  <si>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</si>
  <si>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</si>
  <si>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</si>
  <si>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</si>
  <si>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</si>
  <si>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</si>
  <si>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</si>
  <si>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</si>
  <si>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</si>
  <si>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</si>
  <si>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</si>
  <si>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</si>
  <si>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</si>
  <si>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</si>
  <si>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</si>
  <si>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</si>
  <si>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</si>
  <si>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</si>
  <si>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</si>
  <si>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</si>
  <si>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</si>
  <si>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</si>
  <si>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</si>
  <si>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</si>
  <si>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</si>
  <si>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</si>
  <si>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</si>
  <si>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</si>
  <si>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</si>
  <si>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</si>
  <si>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</si>
  <si>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</si>
  <si>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</si>
  <si>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</si>
  <si>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</si>
  <si>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</si>
  <si>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</si>
  <si>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</si>
  <si>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</si>
  <si>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</si>
  <si>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</si>
  <si>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</si>
  <si>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</si>
  <si>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</si>
  <si>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</si>
  <si>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</si>
  <si>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</si>
  <si>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</si>
  <si>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</si>
  <si>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</si>
  <si>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</si>
  <si>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</si>
  <si>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</si>
  <si>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</si>
  <si>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</si>
  <si>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</si>
  <si>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</si>
  <si>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</si>
  <si>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</si>
  <si>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</si>
  <si>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</si>
  <si>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</si>
  <si>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</si>
  <si>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</si>
  <si>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</si>
  <si>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</si>
  <si>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</si>
  <si>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</si>
  <si>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</si>
  <si>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</si>
  <si>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</si>
  <si>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</si>
  <si>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</si>
  <si>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</si>
  <si>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</si>
  <si>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</si>
  <si>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</si>
  <si>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</si>
  <si>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</si>
  <si>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</si>
  <si>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</si>
  <si>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</si>
  <si>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</si>
  <si>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</si>
  <si>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</si>
  <si>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</si>
  <si>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</si>
  <si>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</si>
  <si>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</si>
  <si>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</si>
  <si>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</si>
  <si>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</si>
  <si>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</si>
  <si>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</si>
  <si>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</si>
  <si>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</si>
  <si>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</si>
  <si>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</si>
  <si>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</si>
  <si>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</si>
  <si>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</si>
  <si>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</si>
  <si>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</si>
  <si>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</si>
  <si>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</si>
  <si>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</si>
  <si>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</si>
  <si>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</si>
  <si>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</si>
  <si>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</si>
  <si>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</si>
  <si>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</si>
  <si>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</si>
  <si>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</si>
  <si>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</si>
  <si>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</si>
  <si>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</si>
  <si>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</si>
  <si>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</si>
  <si>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</si>
  <si>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</si>
  <si>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</si>
  <si>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</si>
  <si>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</si>
  <si>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</si>
  <si>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</si>
  <si>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</si>
  <si>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</si>
  <si>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</si>
  <si>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</si>
  <si>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</si>
  <si>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</si>
  <si>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</si>
  <si>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</si>
  <si>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</si>
  <si>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</si>
  <si>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</si>
  <si>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</si>
  <si>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</si>
  <si>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</si>
  <si>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</si>
  <si>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</si>
  <si>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</si>
  <si>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</si>
  <si>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</si>
  <si>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</si>
  <si>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</si>
  <si>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</si>
  <si>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</si>
  <si>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</si>
  <si>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</si>
  <si>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</si>
  <si>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</si>
  <si>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</si>
  <si>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</si>
  <si>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</si>
  <si>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</si>
  <si>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</si>
  <si>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</si>
  <si>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</si>
  <si>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</si>
  <si>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</si>
  <si>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</si>
  <si>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</si>
  <si>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</si>
  <si>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</si>
  <si>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</si>
  <si>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</si>
  <si>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</si>
  <si>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</si>
  <si>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</si>
  <si>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</si>
  <si>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</si>
  <si>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</si>
  <si>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</si>
  <si>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</si>
  <si>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</si>
  <si>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</si>
  <si>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</si>
  <si>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</si>
  <si>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</si>
  <si>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</si>
  <si>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</si>
  <si>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</si>
  <si>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</si>
  <si>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</si>
  <si>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</si>
  <si>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</si>
  <si>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</si>
  <si>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</si>
  <si>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</si>
  <si>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</si>
  <si>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</si>
  <si>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</si>
  <si>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</si>
  <si>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</si>
  <si>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</si>
  <si>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</si>
  <si>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</si>
  <si>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</si>
  <si>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</si>
  <si>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</si>
  <si>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</si>
  <si>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</si>
  <si>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</si>
  <si>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</si>
  <si>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</si>
  <si>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</si>
  <si>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</si>
  <si>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</si>
  <si>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</si>
  <si>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</si>
  <si>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</si>
  <si>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</si>
  <si>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</si>
  <si>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</si>
  <si>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</si>
  <si>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</si>
  <si>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</si>
  <si>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</si>
  <si>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</si>
  <si>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</si>
  <si>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</si>
  <si>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</si>
  <si>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</si>
  <si>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</si>
  <si>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</si>
  <si>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</si>
  <si>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</si>
  <si>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</si>
  <si>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</si>
  <si>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</si>
  <si>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</si>
  <si>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</si>
  <si>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</si>
  <si>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</si>
  <si>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</si>
  <si>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</si>
  <si>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</si>
  <si>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</si>
  <si>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</si>
  <si>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</si>
  <si>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</si>
  <si>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</si>
  <si>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</si>
  <si>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</si>
  <si>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</si>
  <si>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</si>
  <si>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</si>
  <si>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</si>
  <si>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</si>
  <si>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</si>
  <si>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</si>
  <si>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</si>
  <si>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</si>
  <si>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</si>
  <si>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</si>
  <si>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</si>
  <si>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</si>
  <si>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</si>
  <si>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</si>
  <si>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</si>
  <si>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</si>
  <si>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</si>
  <si>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</si>
  <si>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</si>
  <si>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</si>
  <si>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</si>
  <si>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</si>
  <si>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</si>
  <si>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</si>
  <si>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</si>
  <si>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</si>
  <si>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</si>
  <si>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</si>
  <si>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</si>
  <si>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</si>
  <si>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</si>
  <si>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</si>
  <si>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</si>
  <si>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</si>
  <si>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</si>
  <si>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</si>
  <si>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</si>
  <si>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</si>
  <si>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</si>
  <si>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</si>
  <si>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</si>
  <si>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</si>
  <si>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</si>
  <si>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</si>
  <si>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</si>
  <si>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</si>
  <si>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</si>
  <si>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</si>
  <si>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</si>
  <si>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</si>
  <si>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</si>
  <si>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</si>
  <si>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</si>
  <si>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</si>
  <si>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</si>
  <si>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</si>
  <si>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</si>
  <si>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</si>
  <si>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</si>
  <si>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</si>
  <si>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</si>
  <si>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</si>
  <si>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</si>
  <si>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</si>
  <si>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</si>
  <si>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</si>
  <si>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</si>
  <si>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</si>
  <si>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</si>
  <si>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</si>
  <si>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</si>
  <si>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</si>
  <si>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</si>
  <si>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</si>
  <si>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</si>
  <si>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</si>
  <si>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</si>
  <si>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</si>
  <si>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</si>
  <si>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</si>
  <si>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</si>
  <si>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</si>
  <si>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</si>
  <si>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</si>
  <si>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</si>
  <si>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</si>
  <si>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</si>
  <si>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</si>
  <si>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</si>
  <si>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</si>
  <si>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</si>
  <si>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</si>
  <si>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</si>
  <si>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</si>
  <si>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</si>
  <si>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</si>
  <si>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</si>
  <si>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</si>
  <si>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</si>
  <si>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</si>
  <si>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</si>
  <si>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</si>
  <si>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</si>
  <si>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</si>
  <si>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</si>
  <si>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</si>
  <si>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</si>
  <si>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</si>
  <si>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</si>
  <si>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</si>
  <si>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</si>
  <si>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</si>
  <si>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</si>
  <si>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</si>
  <si>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</si>
  <si>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</si>
  <si>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</si>
  <si>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</si>
  <si>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</si>
  <si>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</si>
  <si>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</si>
  <si>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</si>
  <si>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</si>
  <si>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</si>
  <si>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</si>
  <si>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</si>
  <si>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</si>
  <si>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</si>
  <si>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</si>
  <si>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</si>
  <si>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</si>
  <si>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</si>
  <si>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</si>
  <si>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</si>
  <si>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</si>
  <si>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</si>
  <si>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</si>
  <si>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</si>
  <si>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</si>
  <si>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</si>
  <si>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</si>
  <si>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</si>
  <si>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</si>
  <si>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</si>
  <si>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</si>
  <si>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</si>
  <si>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</si>
  <si>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</si>
  <si>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</si>
  <si>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</si>
  <si>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</si>
  <si>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</si>
  <si>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</si>
  <si>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</si>
  <si>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</si>
  <si>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</si>
  <si>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</si>
  <si>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</si>
  <si>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</si>
  <si>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</si>
  <si>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</si>
  <si>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</si>
  <si>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</si>
  <si>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</si>
  <si>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</si>
  <si>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</si>
  <si>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</si>
  <si>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</si>
  <si>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</si>
  <si>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</si>
  <si>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</si>
  <si>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</si>
  <si>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</si>
  <si>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</si>
  <si>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</si>
  <si>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</si>
  <si>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</si>
  <si>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</si>
  <si>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</si>
  <si>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</si>
  <si>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</si>
  <si>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</si>
  <si>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</si>
  <si>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</si>
  <si>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</si>
  <si>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</si>
  <si>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</si>
  <si>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</si>
  <si>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</si>
  <si>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</si>
  <si>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</si>
  <si>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</si>
  <si>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</si>
  <si>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</si>
  <si>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</si>
  <si>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</si>
  <si>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</si>
  <si>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</si>
  <si>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</si>
  <si>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</si>
  <si>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</si>
  <si>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</si>
  <si>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</si>
  <si>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</si>
  <si>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</si>
  <si>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</si>
  <si>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</si>
  <si>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</si>
  <si>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</si>
  <si>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</si>
  <si>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</si>
  <si>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</si>
  <si>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</si>
  <si>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</si>
  <si>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</si>
  <si>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</si>
  <si>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</si>
  <si>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</si>
  <si>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</si>
  <si>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</si>
  <si>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</si>
  <si>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</si>
  <si>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</si>
  <si>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</si>
  <si>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</si>
  <si>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</si>
  <si>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</si>
  <si>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</si>
  <si>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</si>
  <si>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</si>
  <si>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</si>
  <si>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</si>
  <si>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</si>
  <si>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</si>
  <si>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</si>
  <si>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</si>
  <si>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</si>
  <si>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</si>
  <si>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</si>
  <si>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</si>
  <si>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</si>
  <si>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</si>
  <si>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</si>
  <si>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</si>
  <si>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</si>
  <si>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</si>
  <si>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</si>
  <si>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</si>
  <si>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</si>
  <si>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</si>
  <si>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</si>
  <si>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</si>
  <si>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</si>
  <si>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</si>
  <si>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</si>
  <si>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</si>
  <si>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</si>
  <si>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</si>
  <si>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</si>
  <si>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</si>
  <si>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</si>
  <si>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</si>
  <si>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</si>
  <si>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</si>
  <si>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</si>
  <si>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</si>
  <si>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</si>
  <si>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</si>
  <si>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</si>
  <si>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</si>
  <si>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</si>
  <si>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</si>
  <si>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</si>
  <si>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</si>
  <si>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</si>
  <si>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</si>
  <si>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</si>
  <si>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</si>
  <si>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</si>
  <si>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</si>
  <si>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</si>
  <si>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</si>
  <si>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</si>
  <si>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</si>
  <si>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</si>
  <si>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</si>
  <si>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</si>
  <si>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</si>
  <si>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</si>
  <si>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</si>
  <si>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</si>
  <si>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</si>
  <si>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</si>
  <si>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</si>
  <si>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</si>
  <si>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</si>
  <si>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</si>
  <si>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</si>
  <si>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</si>
  <si>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</si>
  <si>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</si>
  <si>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</si>
  <si>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</si>
  <si>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</si>
  <si>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</si>
  <si>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</si>
  <si>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</si>
  <si>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</si>
  <si>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</si>
  <si>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</si>
  <si>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</si>
  <si>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</si>
  <si>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</si>
  <si>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</si>
  <si>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</si>
  <si>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</si>
  <si>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</si>
  <si>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</si>
  <si>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</si>
  <si>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</si>
  <si>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</si>
  <si>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</si>
  <si>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</si>
  <si>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</si>
  <si>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</si>
  <si>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</si>
  <si>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</si>
  <si>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</si>
  <si>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</si>
  <si>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</si>
  <si>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</si>
  <si>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</si>
  <si>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</si>
  <si>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</si>
  <si>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</si>
  <si>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</si>
  <si>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</si>
  <si>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</si>
  <si>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</si>
  <si>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</si>
  <si>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</si>
  <si>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</si>
  <si>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</si>
  <si>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</si>
  <si>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</si>
  <si>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</si>
  <si>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</si>
  <si>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</si>
  <si>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</si>
  <si>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</si>
  <si>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</si>
  <si>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</si>
  <si>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</si>
  <si>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</si>
  <si>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</si>
  <si>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</si>
  <si>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</si>
  <si>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</si>
  <si>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</si>
  <si>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</si>
  <si>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</si>
  <si>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</si>
  <si>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</si>
  <si>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</si>
  <si>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</si>
  <si>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</si>
  <si>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</si>
  <si>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</si>
  <si>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</si>
  <si>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</si>
  <si>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</si>
  <si>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</si>
  <si>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</si>
  <si>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</si>
  <si>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</si>
  <si>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</si>
  <si>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</si>
  <si>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</si>
  <si>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</si>
  <si>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</si>
  <si>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</si>
  <si>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</si>
  <si>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</si>
  <si>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</si>
  <si>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</si>
  <si>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</si>
  <si>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</si>
  <si>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</si>
  <si>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</si>
  <si>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</si>
  <si>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</si>
  <si>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</si>
  <si>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</si>
  <si>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</si>
  <si>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</si>
  <si>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</si>
  <si>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</si>
  <si>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</si>
  <si>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</si>
  <si>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</si>
  <si>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</si>
  <si>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</si>
  <si>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</si>
  <si>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</si>
  <si>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</si>
  <si>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</si>
  <si>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</si>
  <si>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</si>
  <si>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</si>
  <si>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</si>
  <si>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</si>
  <si>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</si>
  <si>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</si>
  <si>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</si>
  <si>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</si>
  <si>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</si>
  <si>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</si>
  <si>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</si>
  <si>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</si>
  <si>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</si>
  <si>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</si>
  <si>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</si>
  <si>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</si>
  <si>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</si>
  <si>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</si>
  <si>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</si>
  <si>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</si>
  <si>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</si>
  <si>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</si>
  <si>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</si>
  <si>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</si>
  <si>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</si>
  <si>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</si>
  <si>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</si>
  <si>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</si>
  <si>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</si>
  <si>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</si>
  <si>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</si>
  <si>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</si>
  <si>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</si>
  <si>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</si>
  <si>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</si>
  <si>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</si>
  <si>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</si>
  <si>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</si>
  <si>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</si>
  <si>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</si>
  <si>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</si>
  <si>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</si>
  <si>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</si>
  <si>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</si>
  <si>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</si>
  <si>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</si>
  <si>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</si>
  <si>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</si>
  <si>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</si>
  <si>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</si>
  <si>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</si>
  <si>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</si>
  <si>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</si>
  <si>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</si>
  <si>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</si>
  <si>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</si>
  <si>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</si>
  <si>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</si>
  <si>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</si>
  <si>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</si>
  <si>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</si>
  <si>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</si>
  <si>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</si>
  <si>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</si>
  <si>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</si>
  <si>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</si>
  <si>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</si>
  <si>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</si>
  <si>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</si>
  <si>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</si>
  <si>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</si>
  <si>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</si>
  <si>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</si>
  <si>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</si>
  <si>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</si>
  <si>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</si>
  <si>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</si>
  <si>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</si>
  <si>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</si>
  <si>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</si>
  <si>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</si>
  <si>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</si>
  <si>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</si>
  <si>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</si>
  <si>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</si>
  <si>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</si>
  <si>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</si>
  <si>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</si>
  <si>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</si>
  <si>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</si>
  <si>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</si>
  <si>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</si>
  <si>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</si>
  <si>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</si>
  <si>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</si>
  <si>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</si>
  <si>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</si>
  <si>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</si>
  <si>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</si>
  <si>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</si>
  <si>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</si>
  <si>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</si>
  <si>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</si>
  <si>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</si>
  <si>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</si>
  <si>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</si>
  <si>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</si>
  <si>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</si>
  <si>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</si>
  <si>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</si>
  <si>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</si>
  <si>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</si>
  <si>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</si>
  <si>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</si>
  <si>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</si>
  <si>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</si>
  <si>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</si>
  <si>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</si>
  <si>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</si>
  <si>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</si>
  <si>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</si>
  <si>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</si>
  <si>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</si>
  <si>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</si>
  <si>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</si>
  <si>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</si>
  <si>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</si>
  <si>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</si>
  <si>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</si>
  <si>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</si>
  <si>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</si>
  <si>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</si>
  <si>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</si>
  <si>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</si>
  <si>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</si>
  <si>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</si>
  <si>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</si>
  <si>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</si>
  <si>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</si>
  <si>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</si>
  <si>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</si>
  <si>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</si>
  <si>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</si>
  <si>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</si>
  <si>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</si>
  <si>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</si>
  <si>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</si>
  <si>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</si>
  <si>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</si>
  <si>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</si>
  <si>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</si>
  <si>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</si>
  <si>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</si>
  <si>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</si>
  <si>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</si>
  <si>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</si>
  <si>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</si>
  <si>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</si>
  <si>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</si>
  <si>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</si>
  <si>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</si>
  <si>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</si>
  <si>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</si>
  <si>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</si>
  <si>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</si>
  <si>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</si>
  <si>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</si>
  <si>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</si>
  <si>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</si>
  <si>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</si>
  <si>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</si>
  <si>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</si>
  <si>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</si>
  <si>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</si>
  <si>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</si>
  <si>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</si>
  <si>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</si>
  <si>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</si>
  <si>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</si>
  <si>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</si>
  <si>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</si>
  <si>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</si>
  <si>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</si>
  <si>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</si>
  <si>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</si>
  <si>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</si>
  <si>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</si>
  <si>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</si>
  <si>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</si>
  <si>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</si>
  <si>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</si>
  <si>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</si>
  <si>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</si>
  <si>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</si>
  <si>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</si>
  <si>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</si>
  <si>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</si>
  <si>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</si>
  <si>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</si>
  <si>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</si>
  <si>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</si>
  <si>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</si>
  <si>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</si>
  <si>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</si>
  <si>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</si>
  <si>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</si>
  <si>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</si>
  <si>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</si>
  <si>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</si>
  <si>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</si>
  <si>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</si>
  <si>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</si>
  <si>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</si>
  <si>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</si>
  <si>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</si>
  <si>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</si>
  <si>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</si>
  <si>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</si>
  <si>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</si>
  <si>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</si>
  <si>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</si>
  <si>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</si>
  <si>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</si>
  <si>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</si>
  <si>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</si>
  <si>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</si>
  <si>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</si>
  <si>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</si>
  <si>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</si>
  <si>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</si>
  <si>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</si>
  <si>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</si>
  <si>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</si>
  <si>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</si>
  <si>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</si>
  <si>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</si>
  <si>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</si>
  <si>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</si>
  <si>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</si>
  <si>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</si>
  <si>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</si>
  <si>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</si>
  <si>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</si>
  <si>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</si>
  <si>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</si>
  <si>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</si>
  <si>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</si>
  <si>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</si>
  <si>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</si>
  <si>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</si>
  <si>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</si>
  <si>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</si>
  <si>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</si>
  <si>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</si>
  <si>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</si>
  <si>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</si>
  <si>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</si>
  <si>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</si>
  <si>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</si>
  <si>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</si>
  <si>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</si>
  <si>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</si>
  <si>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</si>
  <si>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</si>
  <si>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</si>
  <si>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</si>
  <si>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</si>
  <si>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</si>
  <si>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</si>
  <si>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</si>
  <si>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</si>
  <si>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</si>
  <si>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</si>
  <si>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</si>
  <si>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</si>
  <si>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</si>
  <si>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</si>
  <si>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</si>
  <si>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</si>
  <si>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</si>
  <si>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</si>
  <si>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</si>
  <si>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</si>
  <si>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</si>
  <si>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</si>
  <si>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</si>
  <si>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</si>
  <si>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</si>
  <si>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</si>
  <si>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</si>
  <si>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</si>
  <si>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</si>
  <si>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</si>
  <si>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</si>
  <si>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</si>
  <si>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</si>
  <si>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</si>
  <si>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</si>
  <si>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</si>
  <si>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</si>
  <si>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</si>
  <si>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</si>
  <si>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</si>
  <si>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</si>
  <si>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</si>
  <si>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</si>
  <si>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</si>
  <si>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</si>
  <si>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</si>
  <si>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</si>
  <si>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</si>
  <si>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</si>
  <si>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</si>
  <si>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</si>
  <si>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</si>
  <si>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</si>
  <si>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</si>
  <si>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</si>
  <si>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</si>
  <si>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</si>
  <si>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</si>
  <si>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</si>
  <si>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</si>
  <si>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</si>
  <si>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</si>
  <si>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</si>
  <si>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</si>
  <si>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</si>
  <si>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</si>
  <si>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</si>
  <si>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</si>
  <si>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</si>
  <si>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</si>
  <si>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</si>
  <si>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</si>
  <si>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</si>
  <si>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</si>
  <si>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</si>
  <si>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</si>
  <si>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</si>
  <si>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</si>
  <si>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</si>
  <si>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</si>
  <si>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</si>
  <si>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</si>
  <si>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</si>
  <si>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</si>
  <si>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</si>
  <si>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</si>
  <si>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</si>
  <si>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</si>
  <si>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</si>
  <si>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</si>
  <si>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</si>
  <si>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</si>
  <si>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</si>
  <si>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</si>
  <si>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</si>
  <si>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</si>
  <si>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</si>
  <si>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</si>
  <si>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</si>
  <si>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</si>
  <si>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</si>
  <si>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</si>
  <si>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</si>
  <si>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</si>
  <si>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</si>
  <si>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</si>
  <si>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</si>
  <si>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</si>
  <si>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</si>
  <si>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</si>
  <si>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</si>
  <si>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</si>
  <si>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</si>
  <si>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</si>
  <si>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</si>
  <si>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</si>
  <si>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</si>
  <si>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</si>
  <si>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</si>
  <si>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</si>
  <si>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</si>
  <si>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</si>
  <si>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</si>
  <si>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</si>
  <si>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</si>
  <si>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</si>
  <si>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</si>
  <si>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</si>
  <si>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</si>
  <si>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</si>
  <si>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</si>
  <si>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</si>
  <si>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</si>
  <si>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</si>
  <si>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</si>
  <si>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</si>
  <si>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</si>
  <si>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</si>
  <si>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</si>
  <si>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</si>
  <si>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</si>
  <si>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</si>
  <si>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</si>
  <si>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</si>
  <si>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</si>
  <si>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</si>
  <si>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</si>
  <si>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</si>
  <si>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</si>
  <si>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</si>
  <si>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</si>
  <si>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</si>
  <si>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</si>
  <si>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</si>
  <si>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</si>
  <si>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</si>
  <si>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</si>
  <si>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</si>
  <si>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</si>
  <si>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</si>
  <si>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</si>
  <si>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</si>
  <si>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</si>
  <si>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</si>
  <si>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</si>
  <si>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</si>
  <si>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</si>
  <si>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</si>
  <si>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</si>
  <si>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</si>
  <si>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</si>
  <si>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</si>
  <si>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</si>
  <si>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</si>
  <si>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</si>
  <si>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</si>
  <si>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</si>
  <si>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</si>
  <si>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</si>
  <si>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</si>
  <si>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</si>
  <si>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</si>
  <si>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</si>
  <si>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</si>
  <si>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</si>
  <si>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</si>
  <si>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</si>
  <si>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</si>
  <si>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</si>
  <si>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</si>
  <si>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</si>
  <si>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</si>
  <si>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</si>
  <si>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</si>
  <si>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</si>
  <si>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</si>
  <si>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</si>
  <si>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</si>
  <si>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</si>
  <si>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</si>
  <si>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</si>
  <si>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</si>
  <si>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</si>
  <si>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</si>
  <si>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</si>
  <si>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</si>
  <si>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</si>
  <si>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</si>
  <si>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</si>
  <si>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</si>
  <si>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</si>
  <si>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</si>
  <si>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</si>
  <si>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</si>
  <si>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</si>
  <si>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</si>
  <si>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</si>
  <si>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</si>
  <si>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</si>
  <si>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</si>
  <si>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</si>
  <si>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</si>
  <si>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</si>
  <si>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</si>
  <si>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</si>
  <si>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</si>
  <si>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</si>
  <si>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</si>
  <si>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</si>
  <si>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</si>
  <si>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</si>
  <si>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</si>
  <si>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</si>
  <si>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</si>
  <si>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</si>
  <si>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</si>
  <si>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</si>
  <si>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</si>
  <si>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</si>
  <si>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</si>
  <si>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</si>
  <si>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</si>
  <si>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</si>
  <si>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</si>
  <si>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</si>
  <si>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</si>
  <si>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</si>
  <si>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</si>
  <si>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</si>
  <si>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</si>
  <si>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</si>
  <si>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</si>
  <si>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</si>
  <si>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</si>
  <si>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</si>
  <si>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</si>
  <si>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</si>
  <si>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</si>
  <si>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</si>
  <si>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</si>
  <si>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</si>
  <si>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</si>
  <si>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</si>
  <si>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</si>
  <si>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</si>
  <si>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</si>
  <si>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</si>
  <si>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</si>
  <si>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</si>
  <si>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</si>
  <si>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</si>
  <si>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</si>
  <si>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</si>
  <si>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</si>
  <si>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</si>
  <si>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</si>
  <si>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</si>
  <si>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</si>
  <si>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</si>
  <si>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</si>
  <si>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</si>
  <si>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</si>
  <si>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</si>
  <si>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</si>
  <si>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</si>
  <si>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</si>
  <si>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</si>
  <si>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</si>
  <si>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</si>
  <si>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</si>
  <si>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</si>
  <si>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</si>
  <si>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</si>
  <si>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</si>
  <si>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</si>
  <si>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</si>
  <si>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</si>
  <si>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</si>
  <si>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</si>
  <si>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</si>
  <si>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</si>
  <si>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</si>
  <si>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</si>
  <si>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</si>
  <si>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</si>
  <si>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</si>
  <si>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</si>
  <si>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</si>
  <si>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</si>
  <si>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</si>
  <si>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</si>
  <si>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</si>
  <si>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</si>
  <si>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</si>
  <si>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</si>
  <si>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</si>
  <si>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</si>
  <si>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</si>
  <si>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</si>
  <si>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</si>
  <si>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</si>
  <si>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</si>
  <si>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</si>
  <si>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</si>
  <si>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</si>
  <si>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</si>
  <si>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</si>
  <si>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</si>
  <si>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</si>
  <si>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</si>
  <si>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</si>
  <si>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</si>
  <si>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</si>
  <si>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</si>
  <si>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</si>
  <si>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</si>
  <si>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</si>
  <si>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</si>
  <si>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</si>
  <si>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</si>
  <si>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</si>
  <si>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</si>
  <si>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</si>
  <si>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</si>
  <si>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</si>
  <si>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</si>
  <si>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</si>
  <si>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</si>
  <si>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</si>
  <si>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</si>
  <si>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</si>
  <si>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</si>
  <si>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</si>
  <si>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</si>
  <si>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</si>
  <si>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</si>
  <si>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</si>
  <si>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</si>
  <si>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</si>
  <si>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</si>
  <si>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</si>
  <si>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</si>
  <si>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</si>
  <si>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</si>
  <si>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</si>
  <si>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</si>
  <si>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</si>
  <si>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</si>
  <si>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</si>
  <si>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</si>
  <si>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</si>
  <si>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</si>
  <si>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</si>
  <si>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</si>
  <si>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</si>
  <si>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</si>
  <si>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</si>
  <si>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</si>
  <si>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</si>
  <si>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</si>
  <si>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</si>
  <si>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</si>
  <si>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</si>
  <si>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</si>
  <si>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</si>
  <si>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</si>
  <si>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</si>
  <si>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</si>
  <si>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</si>
  <si>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</si>
  <si>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</si>
  <si>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</si>
  <si>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</si>
  <si>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</si>
  <si>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</si>
  <si>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</si>
  <si>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</si>
  <si>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</si>
  <si>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</si>
  <si>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</si>
  <si>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</si>
  <si>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</si>
  <si>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</si>
  <si>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</si>
  <si>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</si>
  <si>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</si>
  <si>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</si>
  <si>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</si>
  <si>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</si>
  <si>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</si>
  <si>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</si>
  <si>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</si>
  <si>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</si>
  <si>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</si>
  <si>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</si>
  <si>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</si>
  <si>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</si>
  <si>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</si>
  <si>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</si>
  <si>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</si>
  <si>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</si>
  <si>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</si>
  <si>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</si>
  <si>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</si>
  <si>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</si>
  <si>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</si>
  <si>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</si>
  <si>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</si>
  <si>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</si>
  <si>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</si>
  <si>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</si>
  <si>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</si>
  <si>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</si>
  <si>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</si>
  <si>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</si>
  <si>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</si>
  <si>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</si>
  <si>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</si>
  <si>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</si>
  <si>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</si>
  <si>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</si>
  <si>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</si>
  <si>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</si>
  <si>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</si>
  <si>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</si>
  <si>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</si>
  <si>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</si>
  <si>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</si>
  <si>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</si>
  <si>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</si>
  <si>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</si>
  <si>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</si>
  <si>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</si>
  <si>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</si>
  <si>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</si>
  <si>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</si>
  <si>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</si>
  <si>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</si>
  <si>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</si>
  <si>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</si>
  <si>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</si>
  <si>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</si>
  <si>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</si>
  <si>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</si>
  <si>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</si>
  <si>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</si>
  <si>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</si>
  <si>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</si>
  <si>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</si>
  <si>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</si>
  <si>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</si>
  <si>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</si>
  <si>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</si>
  <si>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</si>
  <si>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</si>
  <si>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</si>
  <si>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</si>
  <si>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</si>
  <si>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</si>
  <si>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</si>
  <si>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</si>
  <si>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</si>
  <si>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</si>
  <si>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</si>
  <si>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</si>
  <si>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</si>
  <si>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</si>
  <si>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</si>
  <si>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</si>
  <si>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</si>
  <si>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</si>
  <si>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</si>
  <si>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</si>
  <si>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</si>
  <si>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</si>
  <si>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</si>
  <si>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</si>
  <si>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</si>
  <si>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</si>
  <si>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</si>
  <si>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</si>
  <si>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</si>
  <si>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</si>
  <si>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</si>
  <si>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</si>
  <si>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</si>
  <si>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</si>
  <si>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</si>
  <si>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</si>
  <si>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</si>
  <si>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</si>
  <si>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</si>
  <si>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</si>
  <si>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</si>
  <si>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</si>
  <si>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</si>
  <si>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</si>
  <si>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</si>
  <si>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</si>
  <si>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</si>
  <si>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</si>
  <si>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</si>
  <si>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</si>
  <si>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</si>
  <si>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</si>
  <si>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</si>
  <si>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</si>
  <si>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</si>
  <si>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</si>
  <si>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</si>
  <si>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</si>
  <si>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</si>
  <si>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</si>
  <si>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</si>
  <si>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</si>
  <si>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</si>
  <si>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</si>
  <si>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</si>
  <si>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</si>
  <si>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</si>
  <si>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</si>
  <si>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</si>
  <si>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</si>
  <si>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</si>
  <si>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</si>
  <si>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</si>
  <si>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</si>
  <si>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</si>
  <si>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</si>
  <si>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</si>
  <si>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Livingston</t>
  </si>
  <si>
    <t>Odell Community Consolidated Grade School</t>
  </si>
  <si>
    <t>2032 N. East Street</t>
  </si>
  <si>
    <t>markh@odell.k12.il.us</t>
  </si>
  <si>
    <t>Mark Hettmansberger</t>
  </si>
  <si>
    <t>815-998-2272</t>
  </si>
  <si>
    <t>815-998-2619</t>
  </si>
  <si>
    <t>Tawnya R. Mack, CPA</t>
  </si>
  <si>
    <t>Mack &amp; Associates, P.C.</t>
  </si>
  <si>
    <t>116 E. Washington St., Suite One</t>
  </si>
  <si>
    <t>Morris</t>
  </si>
  <si>
    <t>IL</t>
  </si>
  <si>
    <t>815-942-3306</t>
  </si>
  <si>
    <t>815-942-9430</t>
  </si>
  <si>
    <t>066-005100</t>
  </si>
  <si>
    <t>Signed audit report @ Opinion Page</t>
  </si>
  <si>
    <t>2013 Refunding Bonds</t>
  </si>
  <si>
    <t>O&amp;M -Operation and Maintenance of Plant services - Purchased services</t>
  </si>
  <si>
    <t>Ideal Environmental Eng</t>
  </si>
  <si>
    <t>Ed - Fiscal Services - Purchased Services</t>
  </si>
  <si>
    <t>Power School Group LLC</t>
  </si>
  <si>
    <t>Skyward Accounting Dept</t>
  </si>
  <si>
    <t>Stalker Sports Floors</t>
  </si>
  <si>
    <t>Prairie State Insurance Cooperation</t>
  </si>
  <si>
    <t>Livingston County Special Services Unit</t>
  </si>
  <si>
    <t>Regional Office Of ED. - DeWitt, Livingston, &amp; McLean Counties</t>
  </si>
  <si>
    <t>Page 10, Line 72 - Education Fund:  Milk money collected</t>
  </si>
  <si>
    <t>Page 10, Line 74 - Education Fund:  Refunds</t>
  </si>
  <si>
    <t>Page 14, Line 265 - Education Fund:  Other Non ISBE grant</t>
  </si>
  <si>
    <t>Page 10, Line 107 - Education Fund:  Wind Farm tax abatement reimbursement</t>
  </si>
  <si>
    <t>Page 10, Line 107 - Operation and Maintenance:  Wind Farm tax abatement reimbursement</t>
  </si>
  <si>
    <t>Page 10, Line 107 - Transportation Fund:  Prairie Central Transportation reimbursement</t>
  </si>
  <si>
    <t>Page 10, Line 107 - Tort - Wind Farm abatement reimbursement</t>
  </si>
  <si>
    <t>Odell CCSD 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</si>
</sst>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17053435004</v>
      </c>
      <c r="B13" s="2101"/>
      <c r="C13" s="2101"/>
      <c r="D13" s="2101"/>
      <c r="E13" s="2101"/>
      <c r="F13" s="2101"/>
      <c r="G13" s="2101"/>
      <c r="H13" s="2102"/>
      <c r="I13" s="31"/>
      <c r="J13" s="30"/>
      <c r="K13" s="28"/>
      <c r="L13" s="30"/>
      <c r="M13" s="30"/>
      <c r="N13" s="30"/>
      <c r="O13" s="30"/>
      <c r="P13" s="30"/>
      <c r="Q13" s="30"/>
      <c r="R13" s="30"/>
      <c r="S13" s="30"/>
      <c r="T13" s="2106" t="s">
        <v>2060</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2059</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2085</v>
      </c>
      <c r="B17" s="2074"/>
      <c r="C17" s="2074"/>
      <c r="D17" s="2074"/>
      <c r="E17" s="2074"/>
      <c r="F17" s="2074"/>
      <c r="G17" s="2074"/>
      <c r="H17" s="2099"/>
      <c r="T17" s="2117" t="s">
        <v>2061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2054</v>
      </c>
      <c r="B19" s="2059"/>
      <c r="C19" s="2059"/>
      <c r="D19" s="2059"/>
      <c r="E19" s="2059"/>
      <c r="F19" s="2059"/>
      <c r="G19" s="2059"/>
      <c r="H19" s="2039"/>
      <c r="I19" s="30"/>
      <c r="J19" s="96"/>
      <c r="K19" s="40"/>
      <c r="L19" s="38"/>
      <c r="M19" s="109" t="s">
        <v>312</v>
      </c>
      <c r="P19" s="27"/>
      <c r="Q19" s="27"/>
      <c r="R19" s="27"/>
      <c r="S19" s="31"/>
      <c r="T19" s="2103" t="s">
        <v>2062</v>
      </c>
      <c r="U19" s="2038"/>
      <c r="V19" s="2038"/>
      <c r="W19" s="2039"/>
      <c r="X19" s="2115" t="s">
        <v>2063</v>
      </c>
      <c r="Y19" s="2116"/>
      <c r="Z19" s="2113">
        <v>60450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2053</v>
      </c>
      <c r="B21" s="2038"/>
      <c r="C21" s="2038"/>
      <c r="D21" s="2038"/>
      <c r="E21" s="2038"/>
      <c r="F21" s="2038"/>
      <c r="G21" s="2038"/>
      <c r="H21" s="2039"/>
      <c r="I21" s="2093" t="s">
        <v>673</v>
      </c>
      <c r="J21" s="2088"/>
      <c r="K21" s="2088"/>
      <c r="L21" s="2088"/>
      <c r="M21" s="2088"/>
      <c r="N21" s="2088"/>
      <c r="O21" s="2088"/>
      <c r="P21" s="2088"/>
      <c r="Q21" s="2088"/>
      <c r="R21" s="2088"/>
      <c r="S21" s="2094"/>
      <c r="T21" s="2128" t="s">
        <v>2064</v>
      </c>
      <c r="U21" s="2129"/>
      <c r="V21" s="2129"/>
      <c r="W21" s="2129"/>
      <c r="X21" s="2134" t="s">
        <v>2065</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2066</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60460</v>
      </c>
      <c r="B25" s="2038"/>
      <c r="C25" s="2038"/>
      <c r="D25" s="2038"/>
      <c r="E25" s="2038"/>
      <c r="F25" s="2038"/>
      <c r="G25" s="2038"/>
      <c r="H25" s="2039"/>
      <c r="I25" s="110"/>
      <c r="J25" s="2062"/>
      <c r="K25" s="2062"/>
      <c r="L25" s="2062"/>
      <c r="M25" s="2062"/>
      <c r="N25" s="2062"/>
      <c r="O25" s="2062"/>
      <c r="P25" s="2062"/>
      <c r="Q25" s="2062"/>
      <c r="R25" s="2062"/>
      <c r="S25" s="2063"/>
      <c r="T25" s="2124"/>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2057</v>
      </c>
      <c r="B42" s="2057"/>
      <c r="C42" s="2058"/>
      <c r="D42" s="2056" t="s">
        <v>2058</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5" sqref="C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734344</v>
      </c>
      <c r="C4" s="1722"/>
      <c r="D4" s="1723">
        <f>B4-C4</f>
        <v>734344</v>
      </c>
      <c r="E4" s="1722">
        <v>759937</v>
      </c>
      <c r="F4" s="1723">
        <f>E4-C4</f>
        <v>759937</v>
      </c>
    </row>
    <row r="5" spans="1:8" ht="13.7" customHeight="1" x14ac:dyDescent="0.2">
      <c r="A5" s="579" t="s">
        <v>865</v>
      </c>
      <c r="B5" s="1724">
        <f>'Revenues 9-14'!D5</f>
        <v>94916</v>
      </c>
      <c r="C5" s="1664"/>
      <c r="D5" s="1725">
        <f t="shared" ref="D5:D18" si="0">B5-C5</f>
        <v>94916</v>
      </c>
      <c r="E5" s="1664">
        <v>117962</v>
      </c>
      <c r="F5" s="1725">
        <f>E5-C5</f>
        <v>117962</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18486</v>
      </c>
      <c r="C7" s="1664"/>
      <c r="D7" s="1725">
        <f t="shared" si="0"/>
        <v>18486</v>
      </c>
      <c r="E7" s="1664">
        <v>18499</v>
      </c>
      <c r="F7" s="1725">
        <f t="shared" si="1"/>
        <v>18499</v>
      </c>
    </row>
    <row r="8" spans="1:8" ht="13.7" customHeight="1" x14ac:dyDescent="0.2">
      <c r="A8" s="579" t="s">
        <v>1169</v>
      </c>
      <c r="B8" s="1724">
        <f>'Revenues 9-14'!G5</f>
        <v>28477</v>
      </c>
      <c r="C8" s="1664"/>
      <c r="D8" s="1725">
        <f t="shared" si="0"/>
        <v>28477</v>
      </c>
      <c r="E8" s="1664">
        <v>28495</v>
      </c>
      <c r="F8" s="1725">
        <f t="shared" si="1"/>
        <v>28495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10992</v>
      </c>
      <c r="C10" s="1664"/>
      <c r="D10" s="1725">
        <f t="shared" si="0"/>
        <v>10992</v>
      </c>
      <c r="E10" s="1664">
        <v>10999</v>
      </c>
      <c r="F10" s="1725">
        <f t="shared" si="1"/>
        <v>10999</v>
      </c>
    </row>
    <row r="11" spans="1:8" x14ac:dyDescent="0.2">
      <c r="A11" s="579" t="s">
        <v>406</v>
      </c>
      <c r="B11" s="1724">
        <f>'Revenues 9-14'!J5</f>
        <v>35971</v>
      </c>
      <c r="C11" s="1664"/>
      <c r="D11" s="1725">
        <f t="shared" si="0"/>
        <v>35971</v>
      </c>
      <c r="E11" s="1664">
        <v>35992</v>
      </c>
      <c r="F11" s="1725">
        <f t="shared" si="1"/>
        <v>35992</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10992</v>
      </c>
      <c r="C14" s="1664"/>
      <c r="D14" s="1725">
        <f t="shared" si="0"/>
        <v>10992</v>
      </c>
      <c r="E14" s="1664">
        <v>10999</v>
      </c>
      <c r="F14" s="1725">
        <f t="shared" si="1"/>
        <v>10999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29974</v>
      </c>
      <c r="C16" s="1664"/>
      <c r="D16" s="1725">
        <f t="shared" si="0"/>
        <v>29974</v>
      </c>
      <c r="E16" s="1664">
        <v>29992</v>
      </c>
      <c r="F16" s="1725">
        <f t="shared" si="1"/>
        <v>29992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964152</v>
      </c>
      <c r="C19" s="1726">
        <f>SUM(C4:C18)</f>
        <v>0</v>
      </c>
      <c r="D19" s="1726">
        <f>SUM(D4:D18)</f>
        <v>964152</v>
      </c>
      <c r="E19" s="1726">
        <f>SUM(E4:E18)</f>
        <v>1012875</v>
      </c>
      <c r="F19" s="1726">
        <f>SUM(F4:F18)</f>
        <v>1012875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41548</v>
      </c>
      <c r="C31" s="1734">
        <v>522000</v>
      </c>
      <c r="D31" s="1735">
        <v>5</v>
      </c>
      <c r="E31" s="1734">
        <v>150000</v>
      </c>
      <c r="F31" s="1734"/>
      <c r="G31" s="1734"/>
      <c r="H31" s="1734">
        <v>85000</v>
      </c>
      <c r="I31" s="1736">
        <f>((E31+F31)-H31)+G31</f>
        <v>65000</v>
      </c>
      <c r="J31" s="1734">
        <f>I31-'Assets-Liab 5-6'!N21</f>
        <v>59037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522000</v>
      </c>
      <c r="D49" s="1742"/>
      <c r="E49" s="1736">
        <f t="shared" ref="E49:J49" si="2">SUM(E31:E48)</f>
        <v>150000</v>
      </c>
      <c r="F49" s="1736">
        <f t="shared" si="2"/>
        <v>0</v>
      </c>
      <c r="G49" s="1736">
        <f t="shared" si="2"/>
        <v>0</v>
      </c>
      <c r="H49" s="1736">
        <f t="shared" si="2"/>
        <v>85000</v>
      </c>
      <c r="I49" s="1736">
        <f t="shared" si="2"/>
        <v>65000</v>
      </c>
      <c r="J49" s="1736">
        <f t="shared" si="2"/>
        <v>59037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10992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75038</v>
      </c>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10992</v>
      </c>
      <c r="I12" s="1755">
        <f>SUM(I5:I11)</f>
        <v>0</v>
      </c>
      <c r="J12" s="1755">
        <f>SUM(J5:J11)</f>
        <v>75038</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10992</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f>'Expenditures 15-22'!H169</f>
        <v>3494</v>
      </c>
      <c r="K18" s="1763"/>
    </row>
    <row r="19" spans="1:15" ht="21.75" customHeight="1" x14ac:dyDescent="0.2">
      <c r="A19" s="2331" t="s">
        <v>1786</v>
      </c>
      <c r="B19" s="2331"/>
      <c r="C19" s="2331"/>
      <c r="D19" s="2331"/>
      <c r="E19" s="2332"/>
      <c r="F19" s="635" t="s">
        <v>927</v>
      </c>
      <c r="G19" s="1753"/>
      <c r="H19" s="1753"/>
      <c r="I19" s="1753"/>
      <c r="J19" s="1745">
        <v>71544</v>
      </c>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75038</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10992</v>
      </c>
      <c r="I23" s="1755">
        <f>SUM(I14:I16,I21,I22)</f>
        <v>0</v>
      </c>
      <c r="J23" s="1755">
        <f>SUM(J14:J16,J21,J22)</f>
        <v>75038</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9" sqref="H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61564</v>
      </c>
      <c r="D5" s="1770"/>
      <c r="E5" s="1770"/>
      <c r="F5" s="1765">
        <f>(C5+D5)-E5</f>
        <v>61564</v>
      </c>
      <c r="G5" s="676"/>
      <c r="H5" s="680"/>
      <c r="I5" s="680"/>
      <c r="J5" s="680"/>
      <c r="K5" s="637"/>
      <c r="L5" s="1442">
        <f>F5-K5</f>
        <v>61564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3332089</v>
      </c>
      <c r="D8" s="1771">
        <v>43880</v>
      </c>
      <c r="E8" s="1771"/>
      <c r="F8" s="1765">
        <f>(C8+D8)-E8</f>
        <v>3375969</v>
      </c>
      <c r="G8" s="681">
        <v>50</v>
      </c>
      <c r="H8" s="619">
        <v>1581077</v>
      </c>
      <c r="I8" s="619">
        <v>68978</v>
      </c>
      <c r="J8" s="619"/>
      <c r="K8" s="1442">
        <f>(H8+I8)-J8</f>
        <v>1650055</v>
      </c>
      <c r="L8" s="1442">
        <f>F8-K8</f>
        <v>1725914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66940</v>
      </c>
      <c r="D10" s="1772"/>
      <c r="E10" s="1772"/>
      <c r="F10" s="1773">
        <f>(C10+D10)-E10</f>
        <v>66940</v>
      </c>
      <c r="G10" s="681">
        <v>20</v>
      </c>
      <c r="H10" s="683">
        <v>47970</v>
      </c>
      <c r="I10" s="683">
        <v>1776</v>
      </c>
      <c r="J10" s="683"/>
      <c r="K10" s="1442">
        <f>(H10+I10)-J10</f>
        <v>49746</v>
      </c>
      <c r="L10" s="1442">
        <f>F10-K10</f>
        <v>17194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f>319407+21968</f>
        <v>341375</v>
      </c>
      <c r="D12" s="1771"/>
      <c r="E12" s="1771"/>
      <c r="F12" s="1765">
        <f>(C12+D12)-E12</f>
        <v>341375</v>
      </c>
      <c r="G12" s="681">
        <v>10</v>
      </c>
      <c r="H12" s="619">
        <f>212379+21968</f>
        <v>234347</v>
      </c>
      <c r="I12" s="619">
        <v>32108</v>
      </c>
      <c r="J12" s="619"/>
      <c r="K12" s="1442">
        <f>(H12+I12)-J12</f>
        <v>266455</v>
      </c>
      <c r="L12" s="1442">
        <f>F12-K12</f>
        <v>74920</v>
      </c>
    </row>
    <row r="13" spans="1:14" ht="14.25" thickTop="1" thickBot="1" x14ac:dyDescent="0.25">
      <c r="A13" s="684" t="s">
        <v>1112</v>
      </c>
      <c r="B13" s="679">
        <v>252</v>
      </c>
      <c r="C13" s="1771">
        <v>388978</v>
      </c>
      <c r="D13" s="1771">
        <v>2399</v>
      </c>
      <c r="E13" s="1771"/>
      <c r="F13" s="1765">
        <f>(C13+D13)-E13</f>
        <v>391377</v>
      </c>
      <c r="G13" s="681">
        <v>5</v>
      </c>
      <c r="H13" s="619">
        <v>359342</v>
      </c>
      <c r="I13" s="619">
        <v>3433</v>
      </c>
      <c r="J13" s="619"/>
      <c r="K13" s="1442">
        <f>(H13+I13)-J13</f>
        <v>362775</v>
      </c>
      <c r="L13" s="1442">
        <f>F13-K13</f>
        <v>28602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4190946</v>
      </c>
      <c r="D16" s="1765">
        <f>SUM(D3,D5:D6,D8:D10,D12:D15)</f>
        <v>46279</v>
      </c>
      <c r="E16" s="1765">
        <f>SUM(E3,E5:E6,E8:E10,E12:E15)</f>
        <v>0</v>
      </c>
      <c r="F16" s="1765">
        <f>SUM(F3,F5:F6,F8:F10,F12:F15)</f>
        <v>4237225</v>
      </c>
      <c r="G16" s="681"/>
      <c r="H16" s="1435">
        <f>SUM(H3,H6,H8:H10,H12:H14,)</f>
        <v>2222736</v>
      </c>
      <c r="I16" s="1435">
        <f>SUM(I3,I6,I8:I10,I12:I14,)</f>
        <v>106295</v>
      </c>
      <c r="J16" s="1435">
        <f>SUM(J3,J6,J8:J10,J12:J14,)</f>
        <v>0</v>
      </c>
      <c r="K16" s="1435">
        <f>(H16+I16)-J16</f>
        <v>2329031</v>
      </c>
      <c r="L16" s="1435">
        <f>F16-K16</f>
        <v>1908194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106295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1849469</v>
      </c>
      <c r="G8" s="701"/>
    </row>
    <row r="9" spans="1:9" x14ac:dyDescent="0.2">
      <c r="A9" s="705" t="s">
        <v>457</v>
      </c>
      <c r="B9" s="706" t="s">
        <v>1848</v>
      </c>
      <c r="C9" s="707"/>
      <c r="D9" s="705" t="s">
        <v>498</v>
      </c>
      <c r="E9" s="704"/>
      <c r="F9" s="1775">
        <f>'Expenditures 15-22'!K151</f>
        <v>198226</v>
      </c>
      <c r="G9" s="708"/>
    </row>
    <row r="10" spans="1:9" x14ac:dyDescent="0.2">
      <c r="A10" s="705" t="s">
        <v>496</v>
      </c>
      <c r="B10" s="706" t="s">
        <v>1849</v>
      </c>
      <c r="C10" s="707"/>
      <c r="D10" s="705" t="s">
        <v>498</v>
      </c>
      <c r="E10" s="704"/>
      <c r="F10" s="1775">
        <f>'Expenditures 15-22'!K174</f>
        <v>88494</v>
      </c>
      <c r="G10" s="708"/>
    </row>
    <row r="11" spans="1:9" x14ac:dyDescent="0.2">
      <c r="A11" s="705" t="s">
        <v>458</v>
      </c>
      <c r="B11" s="706" t="s">
        <v>1850</v>
      </c>
      <c r="C11" s="707"/>
      <c r="D11" s="705" t="s">
        <v>498</v>
      </c>
      <c r="E11" s="704"/>
      <c r="F11" s="1775">
        <f>'Expenditures 15-22'!K210</f>
        <v>130329</v>
      </c>
      <c r="G11" s="708"/>
    </row>
    <row r="12" spans="1:9" x14ac:dyDescent="0.2">
      <c r="A12" s="705" t="s">
        <v>459</v>
      </c>
      <c r="B12" s="706" t="s">
        <v>1851</v>
      </c>
      <c r="C12" s="707"/>
      <c r="D12" s="705" t="s">
        <v>498</v>
      </c>
      <c r="E12" s="704"/>
      <c r="F12" s="1775">
        <f>'Expenditures 15-22'!K295</f>
        <v>54548</v>
      </c>
      <c r="G12" s="708"/>
    </row>
    <row r="13" spans="1:9" x14ac:dyDescent="0.2">
      <c r="A13" s="705" t="s">
        <v>106</v>
      </c>
      <c r="B13" s="706" t="s">
        <v>1852</v>
      </c>
      <c r="C13" s="707"/>
      <c r="D13" s="705" t="s">
        <v>498</v>
      </c>
      <c r="E13" s="704"/>
      <c r="F13" s="1775">
        <f>'Expenditures 15-22'!K342</f>
        <v>33049</v>
      </c>
      <c r="G13" s="709"/>
    </row>
    <row r="14" spans="1:9" ht="12" customHeight="1" thickBot="1" x14ac:dyDescent="0.25">
      <c r="A14" s="1443"/>
      <c r="B14" s="1444"/>
      <c r="C14" s="1445"/>
      <c r="D14" s="1446" t="s">
        <v>498</v>
      </c>
      <c r="E14" s="1447" t="s">
        <v>952</v>
      </c>
      <c r="F14" s="1776">
        <f>SUM(F8:F13)</f>
        <v>2354115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102468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546</v>
      </c>
      <c r="G52" s="701"/>
    </row>
    <row r="53" spans="1:7" x14ac:dyDescent="0.2">
      <c r="A53" s="705" t="s">
        <v>456</v>
      </c>
      <c r="B53" s="705" t="s">
        <v>1458</v>
      </c>
      <c r="C53" s="724">
        <f>'Expenditures 15-22'!B102</f>
        <v>4000</v>
      </c>
      <c r="D53" s="723" t="str">
        <f>'Expenditures 15-22'!A102</f>
        <v>Total Payments to Other Govt Units</v>
      </c>
      <c r="E53" s="704"/>
      <c r="F53" s="1782">
        <f>'Expenditures 15-22'!K102</f>
        <v>255373</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44023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2794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490204</v>
      </c>
      <c r="G77" s="701"/>
    </row>
    <row r="78" spans="1:9" s="728" customFormat="1" ht="12" customHeight="1" thickTop="1" thickBot="1" x14ac:dyDescent="0.25">
      <c r="A78" s="1450"/>
      <c r="B78" s="1448"/>
      <c r="C78" s="1445"/>
      <c r="D78" s="1449" t="s">
        <v>2012</v>
      </c>
      <c r="E78" s="1447"/>
      <c r="F78" s="1788">
        <f>(F14-F77)</f>
        <v>1863911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145.25</v>
      </c>
      <c r="G79" s="733"/>
      <c r="H79" s="705"/>
      <c r="I79" s="705"/>
    </row>
    <row r="80" spans="1:9" s="728" customFormat="1" ht="12" customHeight="1" thickBot="1" x14ac:dyDescent="0.25">
      <c r="A80" s="1452"/>
      <c r="B80" s="1448"/>
      <c r="C80" s="1445"/>
      <c r="D80" s="1449" t="s">
        <v>2013</v>
      </c>
      <c r="E80" s="1447" t="s">
        <v>952</v>
      </c>
      <c r="F80" s="1790">
        <f>IF(F79&gt;0,F78/F79," Complete Line 79")</f>
        <v>12832.433734939759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5483</v>
      </c>
      <c r="G95" s="745"/>
    </row>
    <row r="96" spans="1:7" x14ac:dyDescent="0.2">
      <c r="A96" s="741" t="s">
        <v>139</v>
      </c>
      <c r="B96" s="741" t="s">
        <v>174</v>
      </c>
      <c r="C96" s="743">
        <v>1700</v>
      </c>
      <c r="D96" s="751" t="str">
        <f>'Revenues 9-14'!A82</f>
        <v>Total District/School Activity Income</v>
      </c>
      <c r="E96" s="739"/>
      <c r="F96" s="1793">
        <f>SUM('Revenues 9-14'!C82,'Revenues 9-14'!D82)</f>
        <v>3140</v>
      </c>
      <c r="G96" s="745"/>
    </row>
    <row r="97" spans="1:7" x14ac:dyDescent="0.2">
      <c r="A97" s="741" t="s">
        <v>456</v>
      </c>
      <c r="B97" s="741" t="s">
        <v>175</v>
      </c>
      <c r="C97" s="743">
        <f>'Revenues 9-14'!B84</f>
        <v>1811</v>
      </c>
      <c r="D97" s="744" t="str">
        <f>'Revenues 9-14'!A84</f>
        <v>Rentals - Regular Textbooks</v>
      </c>
      <c r="E97" s="739"/>
      <c r="F97" s="1793">
        <f>'Revenues 9-14'!C84</f>
        <v>1339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4346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413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90798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799</v>
      </c>
      <c r="G125" s="763"/>
    </row>
    <row r="126" spans="1:7" x14ac:dyDescent="0.2">
      <c r="A126" s="760" t="s">
        <v>659</v>
      </c>
      <c r="B126" s="760" t="s">
        <v>1930</v>
      </c>
      <c r="C126" s="765">
        <v>4200</v>
      </c>
      <c r="D126" s="762" t="str">
        <f>'Revenues 9-14'!A198</f>
        <v>Total Food Service</v>
      </c>
      <c r="E126" s="739"/>
      <c r="F126" s="1793">
        <f>SUM('Revenues 9-14'!C198,'Revenues 9-14'!G198)</f>
        <v>46405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30229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5888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2084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8507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11459</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210890</v>
      </c>
    </row>
    <row r="176" spans="1:7" ht="12" customHeight="1" x14ac:dyDescent="0.2">
      <c r="A176" s="1443"/>
      <c r="B176" s="1453"/>
      <c r="C176" s="1454"/>
      <c r="D176" s="1455" t="s">
        <v>2014</v>
      </c>
      <c r="E176" s="1456"/>
      <c r="F176" s="1793">
        <f>'PCTC-OEPP 27-28'!F78-F175</f>
        <v>1653021</v>
      </c>
    </row>
    <row r="177" spans="1:9" ht="12" customHeight="1" x14ac:dyDescent="0.2">
      <c r="A177" s="1443"/>
      <c r="B177" s="1453"/>
      <c r="C177" s="1454"/>
      <c r="D177" s="1455" t="s">
        <v>1794</v>
      </c>
      <c r="E177" s="1456"/>
      <c r="F177" s="1793">
        <f>'Cap Outlay Deprec 26'!I18</f>
        <v>106295</v>
      </c>
    </row>
    <row r="178" spans="1:9" ht="12" customHeight="1" x14ac:dyDescent="0.2">
      <c r="A178" s="1443"/>
      <c r="B178" s="1453"/>
      <c r="C178" s="1454"/>
      <c r="D178" s="1455" t="s">
        <v>2015</v>
      </c>
      <c r="E178" s="1456"/>
      <c r="F178" s="1793">
        <f>F176+F177</f>
        <v>1759316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145.25</v>
      </c>
      <c r="G179" s="763"/>
      <c r="I179" s="701"/>
    </row>
    <row r="180" spans="1:9" ht="12" customHeight="1" thickBot="1" x14ac:dyDescent="0.25">
      <c r="A180" s="1443"/>
      <c r="B180" s="1457"/>
      <c r="C180" s="1454"/>
      <c r="D180" s="1455" t="s">
        <v>2017</v>
      </c>
      <c r="E180" s="1456" t="s">
        <v>1528</v>
      </c>
      <c r="F180" s="1798">
        <f>F178/F179</f>
        <v>12112.330464716008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22" sqref="D22"/>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5" t="s">
        <v>2069</v>
      </c>
      <c r="B18" s="1908">
        <v>202540300</v>
      </c>
      <c r="C18" s="2036" t="s">
        <v>2070</v>
      </c>
      <c r="D18" s="1886">
        <v>1044</v>
      </c>
      <c r="E18" s="1906">
        <f t="shared" ref="E18:E81" si="0">IF(D18&lt;25000,D18,"25,000")</f>
        <v>1044</v>
      </c>
      <c r="F18" s="1906" t="str">
        <f t="shared" ref="F18:F81" si="1">IF(D18&gt;=25000,(D18-E18),"0")</f>
        <v>0</v>
      </c>
      <c r="G18" s="1887"/>
    </row>
    <row r="19" spans="1:7" x14ac:dyDescent="0.25">
      <c r="A19" s="2035" t="s">
        <v>2071</v>
      </c>
      <c r="B19" s="1908">
        <v>102520300</v>
      </c>
      <c r="C19" s="2036" t="s">
        <v>2072</v>
      </c>
      <c r="D19" s="1886">
        <v>1267</v>
      </c>
      <c r="E19" s="1906">
        <f t="shared" si="0"/>
        <v>1267</v>
      </c>
      <c r="F19" s="1906" t="str">
        <f t="shared" si="1"/>
        <v>0</v>
      </c>
    </row>
    <row r="20" spans="1:7" x14ac:dyDescent="0.25">
      <c r="A20" s="2035" t="s">
        <v>2071</v>
      </c>
      <c r="B20" s="1908">
        <v>102520300</v>
      </c>
      <c r="C20" s="2036" t="s">
        <v>2073</v>
      </c>
      <c r="D20" s="1886">
        <v>17561</v>
      </c>
      <c r="E20" s="1906">
        <f t="shared" si="0"/>
        <v>17561</v>
      </c>
      <c r="F20" s="1906" t="str">
        <f t="shared" si="1"/>
        <v>0</v>
      </c>
    </row>
    <row r="21" spans="1:7" ht="30" x14ac:dyDescent="0.25">
      <c r="A21" s="2035" t="s">
        <v>2069</v>
      </c>
      <c r="B21" s="1908">
        <v>202540300</v>
      </c>
      <c r="C21" s="2036" t="s">
        <v>2074</v>
      </c>
      <c r="D21" s="1886">
        <v>1750</v>
      </c>
      <c r="E21" s="1906">
        <f t="shared" si="0"/>
        <v>1750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21622</v>
      </c>
      <c r="E142" s="1893">
        <f>SUM(E18:E141)</f>
        <v>21622</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1110682</v>
      </c>
      <c r="F19" s="1802"/>
      <c r="G19" s="1804">
        <f>'Expenditures 15-22'!K33-SUM('Expenditures 15-22'!G33,'Expenditures 15-22'!I33)+'Expenditures 15-22'!D229</f>
        <v>1110682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100941</v>
      </c>
      <c r="F21" s="1805"/>
      <c r="G21" s="1808">
        <f>'Expenditures 15-22'!K42-SUM('Expenditures 15-22'!G42,'Expenditures 15-22'!I42)+'Expenditures 15-22'!K120-SUM('Expenditures 15-22'!G120,'Expenditures 15-22'!I120)+'Expenditures 15-22'!K180-SUM('Expenditures 15-22'!G180,'Expenditures 15-22'!I180)+'Expenditures 15-22'!D238</f>
        <v>100941</v>
      </c>
      <c r="H21" s="817"/>
      <c r="I21" s="157"/>
    </row>
    <row r="22" spans="1:9" s="542" customFormat="1" ht="12" customHeight="1" x14ac:dyDescent="0.2">
      <c r="A22" s="824" t="s">
        <v>560</v>
      </c>
      <c r="B22" s="825"/>
      <c r="C22" s="823">
        <v>2200</v>
      </c>
      <c r="D22" s="1805"/>
      <c r="E22" s="1807">
        <f>'Expenditures 15-22'!K47-SUM('Expenditures 15-22'!G47,'Expenditures 15-22'!I47)+'Expenditures 15-22'!D243</f>
        <v>54699</v>
      </c>
      <c r="F22" s="1805"/>
      <c r="G22" s="1808">
        <f>'Expenditures 15-22'!K47-SUM('Expenditures 15-22'!G47,'Expenditures 15-22'!I47)+'Expenditures 15-22'!D243</f>
        <v>54699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223476</v>
      </c>
      <c r="F23" s="1805"/>
      <c r="G23" s="1807">
        <f>'Expenditures 15-22'!K53-SUM('Expenditures 15-22'!G53,'Expenditures 15-22'!I53)+'Expenditures 15-22'!D257+'Expenditures 15-22'!K330-SUM('Expenditures 15-22'!G330,'Expenditures 15-22'!I330)</f>
        <v>223476</v>
      </c>
      <c r="H23" s="817"/>
      <c r="I23" s="157"/>
    </row>
    <row r="24" spans="1:9" s="542" customFormat="1" ht="12" customHeight="1" x14ac:dyDescent="0.2">
      <c r="A24" s="824" t="s">
        <v>562</v>
      </c>
      <c r="B24" s="825"/>
      <c r="C24" s="823">
        <v>2400</v>
      </c>
      <c r="D24" s="1805"/>
      <c r="E24" s="1807">
        <f>'Expenditures 15-22'!K57-SUM('Expenditures 15-22'!G57,'Expenditures 15-22'!I57)+'Expenditures 15-22'!D261</f>
        <v>65230</v>
      </c>
      <c r="F24" s="1805"/>
      <c r="G24" s="1808">
        <f>'Expenditures 15-22'!K57-SUM('Expenditures 15-22'!G57,'Expenditures 15-22'!I57)+'Expenditures 15-22'!D261</f>
        <v>65230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57488</v>
      </c>
      <c r="E27" s="1807">
        <f>E8</f>
        <v>0</v>
      </c>
      <c r="F27" s="1807">
        <f>'Expenditures 15-22'!K60-SUM('Expenditures 15-22'!G60,'Expenditures 15-22'!I60)+'Expenditures 15-22'!D264-E8</f>
        <v>57488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160815</v>
      </c>
      <c r="F28" s="1809">
        <f>'Expenditures 15-22'!K61-SUM('Expenditures 15-22'!G61,'Expenditures 15-22'!I61)+'Expenditures 15-22'!K124-SUM('Expenditures 15-22'!G124,'Expenditures 15-22'!I124)+'Expenditures 15-22'!D266-E9</f>
        <v>160815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139909</v>
      </c>
      <c r="F29" s="1805"/>
      <c r="G29" s="1808">
        <f>'Expenditures 15-22'!K62-SUM('Expenditures 15-22'!G62,'Expenditures 15-22'!I62)+'Expenditures 15-22'!K125-SUM('Expenditures 15-22'!G125,'Expenditures 15-22'!I125)+'Expenditures 15-22'!K182-SUM('Expenditures 15-22'!G182,'Expenditures 15-22'!I182)+'Expenditures 15-22'!D267</f>
        <v>139909</v>
      </c>
      <c r="H29" s="815"/>
    </row>
    <row r="30" spans="1:9" ht="12" customHeight="1" x14ac:dyDescent="0.2">
      <c r="A30" s="824" t="s">
        <v>100</v>
      </c>
      <c r="B30" s="827"/>
      <c r="C30" s="823">
        <v>2560</v>
      </c>
      <c r="D30" s="1805"/>
      <c r="E30" s="1807">
        <f>'Expenditures 15-22'!K63-SUM('Expenditures 15-22'!G63,'Expenditures 15-22'!I63)+'Expenditures 15-22'!D268-E10</f>
        <v>52439</v>
      </c>
      <c r="F30" s="1805"/>
      <c r="G30" s="1807">
        <f>'Expenditures 15-22'!K63-SUM('Expenditures 15-22'!G63,'Expenditures 15-22'!I63)+'Expenditures 15-22'!D268-E10</f>
        <v>52439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546</v>
      </c>
      <c r="F39" s="1805"/>
      <c r="G39" s="1807">
        <f>'Expenditures 15-22'!K75-SUM('Expenditures 15-22'!G75,'Expenditures 15-22'!I75)+'Expenditures 15-22'!K130-SUM('Expenditures 15-22'!G130,'Expenditures 15-22'!I130)+'Expenditures 15-22'!K185-SUM('Expenditures 15-22'!G185,'Expenditures 15-22'!I185)+'Expenditures 15-22'!D280</f>
        <v>546</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57488</v>
      </c>
      <c r="E41" s="1809">
        <f>SUM(E19:E40)</f>
        <v>1908737</v>
      </c>
      <c r="F41" s="1809">
        <f>SUM(F19:F39)</f>
        <v>218303</v>
      </c>
      <c r="G41" s="1809">
        <f>SUM(G19:G40)</f>
        <v>1747922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57488</v>
      </c>
      <c r="F43" s="1458" t="s">
        <v>470</v>
      </c>
      <c r="G43" s="1810">
        <f>F41</f>
        <v>218303</v>
      </c>
    </row>
    <row r="44" spans="1:7" ht="12" customHeight="1" x14ac:dyDescent="0.2">
      <c r="A44" s="817"/>
      <c r="B44" s="157"/>
      <c r="C44" s="831"/>
      <c r="D44" s="1458" t="s">
        <v>471</v>
      </c>
      <c r="E44" s="1810">
        <f>E41</f>
        <v>1908737</v>
      </c>
      <c r="F44" s="1458" t="s">
        <v>471</v>
      </c>
      <c r="G44" s="1810">
        <f>G41</f>
        <v>1747922</v>
      </c>
    </row>
    <row r="45" spans="1:7" ht="12" customHeight="1" x14ac:dyDescent="0.2">
      <c r="A45" s="817"/>
      <c r="B45" s="157"/>
      <c r="C45" s="157"/>
      <c r="D45" s="1459" t="s">
        <v>999</v>
      </c>
      <c r="E45" s="1811">
        <f>(E43/E44)</f>
        <v>3.011834527229262E-2</v>
      </c>
      <c r="F45" s="1459" t="s">
        <v>999</v>
      </c>
      <c r="G45" s="1811">
        <f>(G43/G44)</f>
        <v>0.12489287279409493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9" sqref="F2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Odell CCSD 435</v>
      </c>
      <c r="D6" s="2415"/>
      <c r="E6" s="2415"/>
      <c r="F6" s="1482"/>
      <c r="G6" s="1507"/>
      <c r="L6" s="1507"/>
      <c r="M6" s="1855"/>
      <c r="N6" s="1855"/>
      <c r="O6" s="1855"/>
    </row>
    <row r="7" spans="1:15" ht="11.25" customHeight="1" thickBot="1" x14ac:dyDescent="0.3">
      <c r="A7" s="1480"/>
      <c r="B7" s="1481"/>
      <c r="C7" s="2416">
        <f>COVER!A13</f>
        <v>17053435004</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2075</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2077</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H59" sqref="H59"/>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Odell CCSD 435</v>
      </c>
      <c r="K6" s="2437"/>
      <c r="L6" s="2451"/>
      <c r="M6" s="838"/>
      <c r="N6" s="1998"/>
    </row>
    <row r="7" spans="1:14" x14ac:dyDescent="0.2">
      <c r="A7" s="2452" t="s">
        <v>864</v>
      </c>
      <c r="B7" s="2453"/>
      <c r="C7" s="2453"/>
      <c r="D7" s="2453"/>
      <c r="E7" s="2454"/>
      <c r="F7" s="839"/>
      <c r="G7" s="838"/>
      <c r="H7" s="838"/>
      <c r="I7" s="1924" t="s">
        <v>369</v>
      </c>
      <c r="J7" s="2439">
        <f>COVER!A13</f>
        <v>17053435004</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111586</v>
      </c>
      <c r="F12" s="1942"/>
      <c r="G12" s="1968">
        <f>G68</f>
        <v>33049</v>
      </c>
      <c r="H12" s="1944">
        <f t="shared" ref="H12:H18" si="0">SUM(E12:G12)</f>
        <v>144635</v>
      </c>
      <c r="I12" s="1943">
        <v>115940</v>
      </c>
      <c r="J12" s="1942"/>
      <c r="K12" s="1943"/>
      <c r="L12" s="1944">
        <f t="shared" ref="L12:L18" si="1">SUM(I12:K12)</f>
        <v>115940</v>
      </c>
      <c r="M12" s="838"/>
      <c r="N12" s="1998"/>
    </row>
    <row r="13" spans="1:14" x14ac:dyDescent="0.2">
      <c r="A13" s="2003">
        <v>2</v>
      </c>
      <c r="B13" s="1940" t="s">
        <v>42</v>
      </c>
      <c r="C13" s="842"/>
      <c r="D13" s="1941">
        <v>2330</v>
      </c>
      <c r="E13" s="1944">
        <f>'Expenditures 15-22'!K51</f>
        <v>11212</v>
      </c>
      <c r="F13" s="1942"/>
      <c r="G13" s="1968">
        <f>H68</f>
        <v>0</v>
      </c>
      <c r="H13" s="1944">
        <f t="shared" si="0"/>
        <v>11212</v>
      </c>
      <c r="I13" s="1943">
        <v>11275</v>
      </c>
      <c r="J13" s="1942"/>
      <c r="K13" s="1943"/>
      <c r="L13" s="1944">
        <f t="shared" si="1"/>
        <v>11275</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122798</v>
      </c>
      <c r="F19" s="1950">
        <f t="shared" si="2"/>
        <v>0</v>
      </c>
      <c r="G19" s="1950">
        <f t="shared" ref="G19" si="3">SUM(G12:G17)-G18</f>
        <v>33049</v>
      </c>
      <c r="H19" s="1950">
        <f t="shared" si="2"/>
        <v>155847</v>
      </c>
      <c r="I19" s="1950">
        <f t="shared" si="2"/>
        <v>127215</v>
      </c>
      <c r="J19" s="1950">
        <f t="shared" si="2"/>
        <v>0</v>
      </c>
      <c r="K19" s="1950">
        <f t="shared" si="2"/>
        <v>0</v>
      </c>
      <c r="L19" s="1950">
        <f t="shared" si="2"/>
        <v>127215</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-0.1837186471346898</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Odell CCSD 435</v>
      </c>
      <c r="M52" s="2437"/>
      <c r="N52" s="2438"/>
    </row>
    <row r="53" spans="1:14" x14ac:dyDescent="0.2">
      <c r="A53" s="1982"/>
      <c r="B53" s="1983"/>
      <c r="C53" s="1983"/>
      <c r="D53" s="1983"/>
      <c r="E53" s="1983"/>
      <c r="F53" s="1983"/>
      <c r="G53" s="1983"/>
      <c r="H53" s="1983"/>
      <c r="I53" s="1983"/>
      <c r="J53" s="1983"/>
      <c r="K53" s="1924" t="s">
        <v>369</v>
      </c>
      <c r="L53" s="2439">
        <f>J7</f>
        <v>17053435004</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7976</v>
      </c>
      <c r="F58" s="1972"/>
      <c r="G58" s="2031">
        <v>7976</v>
      </c>
      <c r="H58" s="2032"/>
      <c r="I58" s="2032"/>
      <c r="J58" s="2032"/>
      <c r="K58" s="2032"/>
      <c r="L58" s="2032"/>
      <c r="M58" s="2032"/>
      <c r="N58" s="1975">
        <f>IF((SUM(G58:M58))=E58,SUM(G58:M58),"Column N does not agree with Column E")</f>
        <v>7976</v>
      </c>
    </row>
    <row r="59" spans="1:14" ht="24.75" customHeight="1" x14ac:dyDescent="0.2">
      <c r="A59" s="2419" t="s">
        <v>297</v>
      </c>
      <c r="B59" s="2420"/>
      <c r="C59" s="2420"/>
      <c r="D59" s="1967">
        <v>2363</v>
      </c>
      <c r="E59" s="1977">
        <f>'Expenditures 15-22'!K321</f>
        <v>1843</v>
      </c>
      <c r="F59" s="1972"/>
      <c r="G59" s="2031">
        <v>1843</v>
      </c>
      <c r="H59" s="2032"/>
      <c r="I59" s="2032"/>
      <c r="J59" s="2032"/>
      <c r="K59" s="2032"/>
      <c r="L59" s="2032"/>
      <c r="M59" s="2032"/>
      <c r="N59" s="1975">
        <f>IF((SUM(G59:M59))=E59,SUM(G59:M59),"Column N does not agree with Column E")</f>
        <v>1843</v>
      </c>
    </row>
    <row r="60" spans="1:14" ht="24" customHeight="1" x14ac:dyDescent="0.2">
      <c r="A60" s="2419" t="s">
        <v>236</v>
      </c>
      <c r="B60" s="2420"/>
      <c r="C60" s="2420"/>
      <c r="D60" s="1967">
        <v>2364</v>
      </c>
      <c r="E60" s="1977">
        <f>'Expenditures 15-22'!K322</f>
        <v>23230</v>
      </c>
      <c r="F60" s="1972"/>
      <c r="G60" s="2031">
        <v>23230</v>
      </c>
      <c r="H60" s="2032"/>
      <c r="I60" s="2032"/>
      <c r="J60" s="2032"/>
      <c r="K60" s="2032"/>
      <c r="L60" s="2032"/>
      <c r="M60" s="2032"/>
      <c r="N60" s="1975">
        <f t="shared" ref="N60:N67" si="4">IF((SUM(G60:M60))=E60,SUM(G60:M60),"Column N does not agree with Column E")</f>
        <v>23230</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33049</v>
      </c>
      <c r="F68" s="1973"/>
      <c r="G68" s="1974">
        <f t="shared" ref="G68:N68" si="5">SUM(G57:G67)</f>
        <v>33049</v>
      </c>
      <c r="H68" s="1974">
        <f t="shared" si="5"/>
        <v>0</v>
      </c>
      <c r="I68" s="1974">
        <f t="shared" si="5"/>
        <v>0</v>
      </c>
      <c r="J68" s="1974">
        <f t="shared" si="5"/>
        <v>0</v>
      </c>
      <c r="K68" s="1974">
        <f t="shared" si="5"/>
        <v>0</v>
      </c>
      <c r="L68" s="1974">
        <f t="shared" si="5"/>
        <v>0</v>
      </c>
      <c r="M68" s="1974">
        <f t="shared" si="5"/>
        <v>0</v>
      </c>
      <c r="N68" s="1988">
        <f t="shared" si="5"/>
        <v>33049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6" sqref="B1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2078</v>
      </c>
    </row>
    <row r="6" spans="1:2" x14ac:dyDescent="0.2">
      <c r="A6" s="847">
        <v>2</v>
      </c>
      <c r="B6" s="307" t="s">
        <v>2079</v>
      </c>
    </row>
    <row r="7" spans="1:2" x14ac:dyDescent="0.2">
      <c r="A7" s="847">
        <v>3</v>
      </c>
      <c r="B7" s="307" t="s">
        <v>2081</v>
      </c>
    </row>
    <row r="8" spans="1:2" x14ac:dyDescent="0.2">
      <c r="A8" s="847">
        <v>4</v>
      </c>
      <c r="B8" s="307" t="s">
        <v>2082</v>
      </c>
    </row>
    <row r="9" spans="1:2" x14ac:dyDescent="0.2">
      <c r="A9" s="848">
        <v>5</v>
      </c>
      <c r="B9" s="307" t="s">
        <v>2083</v>
      </c>
    </row>
    <row r="10" spans="1:2" x14ac:dyDescent="0.2">
      <c r="A10" s="848">
        <v>6</v>
      </c>
      <c r="B10" s="307" t="s">
        <v>2080</v>
      </c>
    </row>
    <row r="11" spans="1:2" x14ac:dyDescent="0.2">
      <c r="A11" s="848">
        <v>7</v>
      </c>
      <c r="B11" s="307" t="s">
        <v>2084</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Odell CCSD 435</v>
      </c>
    </row>
    <row r="65" spans="2:2" x14ac:dyDescent="0.2">
      <c r="B65" s="849">
        <f>COVER!A13</f>
        <v>17053435004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3"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1721893</v>
      </c>
      <c r="C8" s="1813">
        <f>'Acct Summary 7-8'!D8</f>
        <v>169424</v>
      </c>
      <c r="D8" s="1813">
        <f>'Acct Summary 7-8'!F8</f>
        <v>131935</v>
      </c>
      <c r="E8" s="1813">
        <f>'Acct Summary 7-8'!I8</f>
        <v>12717</v>
      </c>
      <c r="F8" s="1813">
        <f>SUM(B8:E8)</f>
        <v>2035969</v>
      </c>
    </row>
    <row r="9" spans="1:8" s="858" customFormat="1" ht="14.25" customHeight="1" thickBot="1" x14ac:dyDescent="0.25">
      <c r="A9" s="857" t="s">
        <v>1353</v>
      </c>
      <c r="B9" s="1814">
        <f>'Acct Summary 7-8'!C17</f>
        <v>1849469</v>
      </c>
      <c r="C9" s="1814">
        <f>'Acct Summary 7-8'!D17</f>
        <v>198226</v>
      </c>
      <c r="D9" s="1814">
        <f>'Acct Summary 7-8'!F17</f>
        <v>130329</v>
      </c>
      <c r="E9" s="1813"/>
      <c r="F9" s="1813">
        <f>SUM(B9:E9)</f>
        <v>2178024</v>
      </c>
    </row>
    <row r="10" spans="1:8" s="858" customFormat="1" ht="14.25" thickTop="1" thickBot="1" x14ac:dyDescent="0.25">
      <c r="A10" s="859" t="s">
        <v>1354</v>
      </c>
      <c r="B10" s="1815">
        <f>(B8-B9)</f>
        <v>-127576</v>
      </c>
      <c r="C10" s="1815">
        <f>(C8-C9)</f>
        <v>-28802</v>
      </c>
      <c r="D10" s="1815">
        <f>(D8-D9)</f>
        <v>1606</v>
      </c>
      <c r="E10" s="1814">
        <f>(E8-E9)</f>
        <v>12717</v>
      </c>
      <c r="F10" s="1816">
        <f>SUM(F8-F9)</f>
        <v>-142055</v>
      </c>
    </row>
    <row r="11" spans="1:8" s="858" customFormat="1" ht="14.25" thickTop="1" thickBot="1" x14ac:dyDescent="0.25">
      <c r="A11" s="860" t="s">
        <v>1903</v>
      </c>
      <c r="B11" s="1817">
        <f>'Acct Summary 7-8'!C81</f>
        <v>349259</v>
      </c>
      <c r="C11" s="1817">
        <f>'Acct Summary 7-8'!D81</f>
        <v>34657</v>
      </c>
      <c r="D11" s="1817">
        <f>'Acct Summary 7-8'!F81</f>
        <v>49172</v>
      </c>
      <c r="E11" s="1817">
        <f>'Acct Summary 7-8'!I81</f>
        <v>271858</v>
      </c>
      <c r="F11" s="1818">
        <f>SUM(B11:E11)</f>
        <v>704946</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17053435004</v>
      </c>
      <c r="E2" s="1542">
        <v>2020</v>
      </c>
      <c r="F2" s="1542">
        <v>1</v>
      </c>
      <c r="G2" s="1899">
        <v>101000300</v>
      </c>
    </row>
    <row r="3" spans="1:7" ht="15" x14ac:dyDescent="0.25">
      <c r="A3" t="s">
        <v>950</v>
      </c>
      <c r="B3" s="135" t="str">
        <f>COVER!A15</f>
        <v>Livingston</v>
      </c>
      <c r="E3" s="1830" t="s">
        <v>1971</v>
      </c>
      <c r="F3" s="1830" t="s">
        <v>1970</v>
      </c>
      <c r="G3" s="1899">
        <v>101000400</v>
      </c>
    </row>
    <row r="4" spans="1:7" ht="15" x14ac:dyDescent="0.25">
      <c r="A4" t="s">
        <v>1000</v>
      </c>
      <c r="B4" s="135" t="str">
        <f>COVER!A17</f>
        <v>Odell CCSD 435</v>
      </c>
      <c r="E4" s="1828">
        <v>44119</v>
      </c>
      <c r="F4" s="1829">
        <v>44151</v>
      </c>
      <c r="G4" s="1899">
        <v>101000600</v>
      </c>
    </row>
    <row r="5" spans="1:7" ht="15" x14ac:dyDescent="0.25">
      <c r="A5" t="s">
        <v>699</v>
      </c>
      <c r="B5" s="135" t="str">
        <f>COVER!A38</f>
        <v>Mark Hettmansberger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R. Mack, CPA</v>
      </c>
      <c r="G17" s="1899">
        <v>402100800</v>
      </c>
    </row>
    <row r="18" spans="1:7" ht="15" x14ac:dyDescent="0.25">
      <c r="A18" t="s">
        <v>1140</v>
      </c>
      <c r="B18" s="135" t="str">
        <f>COVER!T17</f>
        <v>116 E. Washington St., Suite One</v>
      </c>
      <c r="G18" s="1899">
        <v>102200300</v>
      </c>
    </row>
    <row r="19" spans="1:7" ht="15" x14ac:dyDescent="0.25">
      <c r="A19" t="s">
        <v>880</v>
      </c>
      <c r="B19" s="135">
        <f>COVER!T25</f>
        <v>0</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36526</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349259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210152</v>
      </c>
      <c r="D92" s="2" t="str">
        <f t="shared" si="0"/>
        <v>Error?</v>
      </c>
      <c r="G92" s="1899">
        <v>102640600</v>
      </c>
    </row>
    <row r="93" spans="1:7" ht="15" x14ac:dyDescent="0.25">
      <c r="A93" s="5">
        <v>32</v>
      </c>
      <c r="B93" s="1832">
        <f>'Assets-Liab 5-6'!C41</f>
        <v>349259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34657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34657</v>
      </c>
      <c r="D123" s="2" t="str">
        <f t="shared" si="0"/>
        <v>Error?</v>
      </c>
      <c r="G123" s="1899">
        <v>203000400</v>
      </c>
    </row>
    <row r="124" spans="1:7" ht="15" x14ac:dyDescent="0.25">
      <c r="A124" s="5">
        <v>63</v>
      </c>
      <c r="B124" s="1832">
        <f>'Assets-Liab 5-6'!D41</f>
        <v>34657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5963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5963</v>
      </c>
      <c r="D140" s="2" t="str">
        <f t="shared" si="1"/>
        <v>Error?</v>
      </c>
    </row>
    <row r="141" spans="1:7" x14ac:dyDescent="0.2">
      <c r="A141" s="5">
        <v>80</v>
      </c>
      <c r="B141" s="1832">
        <f>'Assets-Liab 5-6'!E41</f>
        <v>5963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49172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49172</v>
      </c>
      <c r="D170" s="2" t="str">
        <f t="shared" si="1"/>
        <v>Error?</v>
      </c>
    </row>
    <row r="171" spans="1:4" x14ac:dyDescent="0.2">
      <c r="A171" s="5">
        <v>110</v>
      </c>
      <c r="B171" s="1832">
        <f>'Assets-Liab 5-6'!F41</f>
        <v>49172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26072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26072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865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865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61564</v>
      </c>
      <c r="D273" s="2" t="str">
        <f t="shared" si="3"/>
        <v>Error?</v>
      </c>
    </row>
    <row r="274" spans="1:4" x14ac:dyDescent="0.2">
      <c r="A274" s="5">
        <v>213</v>
      </c>
      <c r="B274" s="1832">
        <f>'Assets-Liab 5-6'!M17</f>
        <v>1725915</v>
      </c>
      <c r="D274" s="2" t="str">
        <f t="shared" si="3"/>
        <v>Error?</v>
      </c>
    </row>
    <row r="275" spans="1:4" x14ac:dyDescent="0.2">
      <c r="A275" s="5">
        <v>214</v>
      </c>
      <c r="B275" s="1832">
        <f>'Assets-Liab 5-6'!M18</f>
        <v>17195</v>
      </c>
      <c r="D275" s="2" t="str">
        <f t="shared" si="3"/>
        <v>Error?</v>
      </c>
    </row>
    <row r="276" spans="1:4" x14ac:dyDescent="0.2">
      <c r="A276" s="5">
        <v>215</v>
      </c>
      <c r="B276" s="1832">
        <f>'Assets-Liab 5-6'!M19</f>
        <v>103520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1908194</v>
      </c>
      <c r="C279" s="2" t="s">
        <v>569</v>
      </c>
      <c r="D279" s="2" t="str">
        <f t="shared" si="3"/>
        <v>Error?</v>
      </c>
    </row>
    <row r="280" spans="1:4" x14ac:dyDescent="0.2">
      <c r="A280" s="5">
        <v>219</v>
      </c>
      <c r="B280" s="1832">
        <f>'Assets-Liab 5-6'!M40</f>
        <v>1908194</v>
      </c>
      <c r="D280" s="2" t="str">
        <f t="shared" si="3"/>
        <v>Error?</v>
      </c>
    </row>
    <row r="281" spans="1:4" x14ac:dyDescent="0.2">
      <c r="A281" s="5">
        <v>220</v>
      </c>
      <c r="B281" s="1832">
        <f>'Assets-Liab 5-6'!M41</f>
        <v>1908194</v>
      </c>
      <c r="C281" s="2" t="s">
        <v>569</v>
      </c>
      <c r="D281" s="2" t="str">
        <f t="shared" si="3"/>
        <v>Error?</v>
      </c>
    </row>
    <row r="282" spans="1:4" x14ac:dyDescent="0.2">
      <c r="A282" s="5">
        <v>221</v>
      </c>
      <c r="B282" s="1832">
        <f>'Assets-Liab 5-6'!N21</f>
        <v>5963</v>
      </c>
      <c r="D282" s="2" t="str">
        <f t="shared" si="3"/>
        <v>Error?</v>
      </c>
    </row>
    <row r="283" spans="1:4" x14ac:dyDescent="0.2">
      <c r="A283" s="5">
        <v>222</v>
      </c>
      <c r="B283" s="1832">
        <f>'Assets-Liab 5-6'!N22</f>
        <v>59037</v>
      </c>
      <c r="D283" s="2" t="str">
        <f t="shared" si="3"/>
        <v>Error?</v>
      </c>
    </row>
    <row r="284" spans="1:4" x14ac:dyDescent="0.2">
      <c r="A284" s="5">
        <v>223</v>
      </c>
      <c r="B284" s="1832">
        <f>'Assets-Liab 5-6'!N23</f>
        <v>65000</v>
      </c>
      <c r="C284" s="2" t="s">
        <v>569</v>
      </c>
      <c r="D284" s="2" t="str">
        <f t="shared" si="3"/>
        <v>Error?</v>
      </c>
    </row>
    <row r="285" spans="1:4" x14ac:dyDescent="0.2">
      <c r="A285" s="5">
        <v>224</v>
      </c>
      <c r="B285" s="1832">
        <f>'Assets-Liab 5-6'!N36</f>
        <v>65000</v>
      </c>
      <c r="D285" s="2" t="str">
        <f t="shared" si="3"/>
        <v>Error?</v>
      </c>
    </row>
    <row r="286" spans="1:4" x14ac:dyDescent="0.2">
      <c r="A286" s="10">
        <v>225</v>
      </c>
      <c r="B286" s="1832"/>
      <c r="D286" s="2" t="str">
        <f t="shared" si="3"/>
        <v>OK</v>
      </c>
    </row>
    <row r="287" spans="1:4" x14ac:dyDescent="0.2">
      <c r="A287" s="5">
        <v>226</v>
      </c>
      <c r="B287" s="1832">
        <f>'Assets-Liab 5-6'!N37</f>
        <v>65000</v>
      </c>
      <c r="C287" s="2" t="s">
        <v>569</v>
      </c>
      <c r="D287" s="2" t="str">
        <f t="shared" si="3"/>
        <v>Error?</v>
      </c>
    </row>
    <row r="288" spans="1:4" x14ac:dyDescent="0.2">
      <c r="A288" s="5">
        <v>227</v>
      </c>
      <c r="B288" s="1832">
        <f>'Assets-Liab 5-6'!N41</f>
        <v>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579213</v>
      </c>
      <c r="D705" s="2" t="str">
        <f t="shared" si="10"/>
        <v>Error?</v>
      </c>
    </row>
    <row r="706" spans="1:4" x14ac:dyDescent="0.2">
      <c r="A706" s="5">
        <v>645</v>
      </c>
      <c r="B706" s="1832">
        <f>'Expenditures 15-22'!C16</f>
        <v>10125</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30623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888903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24803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55750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80553</v>
      </c>
      <c r="C727" s="2" t="s">
        <v>569</v>
      </c>
      <c r="D727" s="2" t="str">
        <f t="shared" si="10"/>
        <v>Error?</v>
      </c>
    </row>
    <row r="728" spans="1:4" x14ac:dyDescent="0.2">
      <c r="A728" s="5">
        <v>667</v>
      </c>
      <c r="B728" s="1832">
        <f>'Expenditures 15-22'!C44</f>
        <v>2284</v>
      </c>
      <c r="D728" s="2" t="str">
        <f t="shared" si="10"/>
        <v>Error?</v>
      </c>
    </row>
    <row r="729" spans="1:4" x14ac:dyDescent="0.2">
      <c r="A729" s="5">
        <v>668</v>
      </c>
      <c r="B729" s="1832">
        <f>'Expenditures 15-22'!C45</f>
        <v>14864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17148</v>
      </c>
      <c r="C731" s="2" t="s">
        <v>569</v>
      </c>
      <c r="D731" s="2" t="str">
        <f t="shared" si="10"/>
        <v>Error?</v>
      </c>
    </row>
    <row r="732" spans="1:4" x14ac:dyDescent="0.2">
      <c r="A732" s="5">
        <v>671</v>
      </c>
      <c r="B732" s="1832">
        <f>'Expenditures 15-22'!C49</f>
        <v>45465</v>
      </c>
      <c r="D732" s="2" t="str">
        <f t="shared" si="10"/>
        <v>Error?</v>
      </c>
    </row>
    <row r="733" spans="1:4" x14ac:dyDescent="0.2">
      <c r="A733" s="5">
        <v>672</v>
      </c>
      <c r="B733" s="1832">
        <f>'Expenditures 15-22'!C50</f>
        <v>85898</v>
      </c>
      <c r="D733" s="2" t="str">
        <f t="shared" si="10"/>
        <v>Error?</v>
      </c>
    </row>
    <row r="734" spans="1:4" x14ac:dyDescent="0.2">
      <c r="A734" s="5">
        <v>673</v>
      </c>
      <c r="B734" s="1832">
        <f>'Expenditures 15-22'!C53</f>
        <v>141444</v>
      </c>
      <c r="C734" s="2" t="s">
        <v>569</v>
      </c>
      <c r="D734" s="2" t="str">
        <f t="shared" si="10"/>
        <v>Error?</v>
      </c>
    </row>
    <row r="735" spans="1:4" x14ac:dyDescent="0.2">
      <c r="A735" s="5">
        <v>674</v>
      </c>
      <c r="B735" s="1832">
        <f>'Expenditures 15-22'!C55</f>
        <v>54859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54859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26863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21884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48747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342751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1231654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86156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1221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126160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15894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15894</v>
      </c>
      <c r="C785" s="2" t="s">
        <v>569</v>
      </c>
      <c r="D785" s="2" t="str">
        <f t="shared" si="11"/>
        <v>Error?</v>
      </c>
    </row>
    <row r="786" spans="1:4" x14ac:dyDescent="0.2">
      <c r="A786" s="5">
        <v>725</v>
      </c>
      <c r="B786" s="1832">
        <f>'Expenditures 15-22'!D44</f>
        <v>252</v>
      </c>
      <c r="D786" s="2" t="str">
        <f t="shared" si="11"/>
        <v>Error?</v>
      </c>
    </row>
    <row r="787" spans="1:4" x14ac:dyDescent="0.2">
      <c r="A787" s="5">
        <v>726</v>
      </c>
      <c r="B787" s="1832">
        <f>'Expenditures 15-22'!D45</f>
        <v>252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504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16227</v>
      </c>
      <c r="D791" s="2" t="str">
        <f t="shared" si="11"/>
        <v>Error?</v>
      </c>
    </row>
    <row r="792" spans="1:4" x14ac:dyDescent="0.2">
      <c r="A792" s="5">
        <v>731</v>
      </c>
      <c r="B792" s="1832">
        <f>'Expenditures 15-22'!D53</f>
        <v>17358</v>
      </c>
      <c r="C792" s="2" t="s">
        <v>569</v>
      </c>
      <c r="D792" s="2" t="str">
        <f t="shared" si="11"/>
        <v>Error?</v>
      </c>
    </row>
    <row r="793" spans="1:4" x14ac:dyDescent="0.2">
      <c r="A793" s="5">
        <v>732</v>
      </c>
      <c r="B793" s="1832">
        <f>'Expenditures 15-22'!D55</f>
        <v>6866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6866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3478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3478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44100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170260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1717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5423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7812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2984</v>
      </c>
      <c r="D844" s="2" t="str">
        <f t="shared" si="12"/>
        <v>Error?</v>
      </c>
    </row>
    <row r="845" spans="1:4" x14ac:dyDescent="0.2">
      <c r="A845" s="5">
        <v>784</v>
      </c>
      <c r="B845" s="1832">
        <f>'Expenditures 15-22'!E45</f>
        <v>1450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4434</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2561</v>
      </c>
      <c r="D849" s="2" t="str">
        <f t="shared" si="12"/>
        <v>Error?</v>
      </c>
    </row>
    <row r="850" spans="1:4" x14ac:dyDescent="0.2">
      <c r="A850" s="5">
        <v>789</v>
      </c>
      <c r="B850" s="1832">
        <f>'Expenditures 15-22'!E53</f>
        <v>2561</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27388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27400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34395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114737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24493</v>
      </c>
      <c r="D879" s="2" t="str">
        <f t="shared" si="12"/>
        <v>Error?</v>
      </c>
    </row>
    <row r="880" spans="1:4" x14ac:dyDescent="0.2">
      <c r="A880" s="5">
        <v>819</v>
      </c>
      <c r="B880" s="1832">
        <f>'Expenditures 15-22'!F16</f>
        <v>607</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3347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37136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554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147</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701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16687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16687</v>
      </c>
      <c r="C905" s="2" t="s">
        <v>569</v>
      </c>
      <c r="D905" s="2" t="str">
        <f t="shared" si="13"/>
        <v>Error?</v>
      </c>
    </row>
    <row r="906" spans="1:4" x14ac:dyDescent="0.2">
      <c r="A906" s="5">
        <v>845</v>
      </c>
      <c r="B906" s="1832">
        <f>'Expenditures 15-22'!F49</f>
        <v>10612</v>
      </c>
      <c r="D906" s="2" t="str">
        <f t="shared" si="13"/>
        <v>Error?</v>
      </c>
    </row>
    <row r="907" spans="1:4" x14ac:dyDescent="0.2">
      <c r="A907" s="5">
        <v>846</v>
      </c>
      <c r="B907" s="1832">
        <f>'Expenditures 15-22'!F50</f>
        <v>4625</v>
      </c>
      <c r="D907" s="2" t="str">
        <f t="shared" si="13"/>
        <v>Error?</v>
      </c>
    </row>
    <row r="908" spans="1:4" x14ac:dyDescent="0.2">
      <c r="A908" s="5">
        <v>847</v>
      </c>
      <c r="B908" s="1832">
        <f>'Expenditures 15-22'!F53</f>
        <v>15237</v>
      </c>
      <c r="C908" s="2" t="s">
        <v>569</v>
      </c>
      <c r="D908" s="2" t="str">
        <f t="shared" si="13"/>
        <v>Error?</v>
      </c>
    </row>
    <row r="909" spans="1:4" x14ac:dyDescent="0.2">
      <c r="A909" s="5">
        <v>848</v>
      </c>
      <c r="B909" s="1832">
        <f>'Expenditures 15-22'!F55</f>
        <v>251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251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24564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24564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57440</v>
      </c>
      <c r="C929" s="2" t="s">
        <v>569</v>
      </c>
      <c r="D929" s="2" t="str">
        <f t="shared" si="13"/>
        <v>Error?</v>
      </c>
    </row>
    <row r="930" spans="1:4" x14ac:dyDescent="0.2">
      <c r="A930" s="5">
        <v>869</v>
      </c>
      <c r="B930" s="1832">
        <f>'Expenditures 15-22'!F75</f>
        <v>546</v>
      </c>
      <c r="D930" s="2" t="str">
        <f t="shared" si="13"/>
        <v>Error?</v>
      </c>
    </row>
    <row r="931" spans="1:4" x14ac:dyDescent="0.2">
      <c r="A931" s="5">
        <v>870</v>
      </c>
      <c r="B931" s="1832">
        <f>'Expenditures 15-22'!F114</f>
        <v>95122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2712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2396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29724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14443</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14443</v>
      </c>
      <c r="C1021" s="2" t="s">
        <v>569</v>
      </c>
      <c r="D1021" s="2" t="str">
        <f t="shared" si="14"/>
        <v>Error?</v>
      </c>
    </row>
    <row r="1022" spans="1:4" x14ac:dyDescent="0.2">
      <c r="A1022" s="5">
        <v>961</v>
      </c>
      <c r="B1022" s="1832">
        <f>'Expenditures 15-22'!H49</f>
        <v>8132</v>
      </c>
      <c r="D1022" s="2" t="str">
        <f t="shared" si="14"/>
        <v>Error?</v>
      </c>
    </row>
    <row r="1023" spans="1:4" x14ac:dyDescent="0.2">
      <c r="A1023" s="5">
        <v>962</v>
      </c>
      <c r="B1023" s="1832">
        <f>'Expenditures 15-22'!H50</f>
        <v>2275</v>
      </c>
      <c r="D1023" s="2" t="str">
        <f t="shared" ref="D1023:D1086" si="15">IF(ISBLANK(B1023),"OK",IF(A1023-B1023=0,"OK","Error?"))</f>
        <v>Error?</v>
      </c>
    </row>
    <row r="1024" spans="1:4" x14ac:dyDescent="0.2">
      <c r="A1024" s="5">
        <v>963</v>
      </c>
      <c r="B1024" s="1832">
        <f>'Expenditures 15-22'!H53</f>
        <v>10407</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279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279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25129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182843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237696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694291</v>
      </c>
      <c r="C1093" s="2" t="s">
        <v>569</v>
      </c>
      <c r="D1093" s="2" t="str">
        <f t="shared" si="16"/>
        <v>Error?</v>
      </c>
    </row>
    <row r="1094" spans="1:4" x14ac:dyDescent="0.2">
      <c r="A1094" s="5">
        <v>1033</v>
      </c>
      <c r="B1094" s="1832">
        <f>'Expenditures 15-22'!K16</f>
        <v>10732</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43010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1089735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25357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71791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97148</v>
      </c>
      <c r="C1115" s="2" t="s">
        <v>569</v>
      </c>
      <c r="D1115" s="2" t="str">
        <f t="shared" si="16"/>
        <v>Error?</v>
      </c>
    </row>
    <row r="1116" spans="1:4" x14ac:dyDescent="0.2">
      <c r="A1116" s="5">
        <v>1055</v>
      </c>
      <c r="B1116" s="1832">
        <f>'Expenditures 15-22'!K44</f>
        <v>5520</v>
      </c>
      <c r="C1116" s="2" t="s">
        <v>569</v>
      </c>
      <c r="D1116" s="2" t="str">
        <f t="shared" si="16"/>
        <v>Error?</v>
      </c>
    </row>
    <row r="1117" spans="1:4" x14ac:dyDescent="0.2">
      <c r="A1117" s="5">
        <v>1056</v>
      </c>
      <c r="B1117" s="1832">
        <f>'Expenditures 15-22'!K45</f>
        <v>47696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53216</v>
      </c>
      <c r="C1119" s="2" t="s">
        <v>569</v>
      </c>
      <c r="D1119" s="2" t="str">
        <f t="shared" si="16"/>
        <v>Error?</v>
      </c>
    </row>
    <row r="1120" spans="1:4" x14ac:dyDescent="0.2">
      <c r="A1120" s="5">
        <v>1059</v>
      </c>
      <c r="B1120" s="1832">
        <f>'Expenditures 15-22'!K49</f>
        <v>64209</v>
      </c>
      <c r="C1120" s="2" t="s">
        <v>569</v>
      </c>
      <c r="D1120" s="2" t="str">
        <f t="shared" si="16"/>
        <v>Error?</v>
      </c>
    </row>
    <row r="1121" spans="1:4" x14ac:dyDescent="0.2">
      <c r="A1121" s="5">
        <v>1060</v>
      </c>
      <c r="B1121" s="1832">
        <f>'Expenditures 15-22'!K50</f>
        <v>111586</v>
      </c>
      <c r="C1121" s="2" t="s">
        <v>569</v>
      </c>
      <c r="D1121" s="2" t="str">
        <f t="shared" si="16"/>
        <v>Error?</v>
      </c>
    </row>
    <row r="1122" spans="1:4" x14ac:dyDescent="0.2">
      <c r="A1122" s="5">
        <v>1061</v>
      </c>
      <c r="B1122" s="1832">
        <f>'Expenditures 15-22'!K53</f>
        <v>187007</v>
      </c>
      <c r="C1122" s="2" t="s">
        <v>569</v>
      </c>
      <c r="D1122" s="2" t="str">
        <f t="shared" si="16"/>
        <v>Error?</v>
      </c>
    </row>
    <row r="1123" spans="1:4" x14ac:dyDescent="0.2">
      <c r="A1123" s="5">
        <v>1062</v>
      </c>
      <c r="B1123" s="1832">
        <f>'Expenditures 15-22'!K55</f>
        <v>61976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61976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54251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50217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104468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503815</v>
      </c>
      <c r="C1143" s="2" t="s">
        <v>569</v>
      </c>
      <c r="D1143" s="2" t="str">
        <f t="shared" si="16"/>
        <v>Error?</v>
      </c>
    </row>
    <row r="1144" spans="1:4" x14ac:dyDescent="0.2">
      <c r="A1144" s="5">
        <v>1083</v>
      </c>
      <c r="B1144" s="1832">
        <f>'Expenditures 15-22'!K75</f>
        <v>546</v>
      </c>
      <c r="C1144" s="2" t="s">
        <v>569</v>
      </c>
      <c r="D1144" s="2" t="str">
        <f t="shared" si="16"/>
        <v>Error?</v>
      </c>
    </row>
    <row r="1145" spans="1:4" x14ac:dyDescent="0.2">
      <c r="A1145" s="5">
        <v>1084</v>
      </c>
      <c r="B1145" s="1832">
        <f>'Expenditures 15-22'!K102</f>
        <v>255373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1849469</v>
      </c>
      <c r="C1152" s="2" t="s">
        <v>569</v>
      </c>
      <c r="D1152" s="2" t="str">
        <f t="shared" si="17"/>
        <v>Error?</v>
      </c>
    </row>
    <row r="1153" spans="1:4" x14ac:dyDescent="0.2">
      <c r="A1153" s="5">
        <v>1092</v>
      </c>
      <c r="B1153" s="1832">
        <f>'Expenditures 15-22'!K115</f>
        <v>-127576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57610</v>
      </c>
      <c r="D1221" s="2" t="str">
        <f t="shared" si="18"/>
        <v>Error?</v>
      </c>
    </row>
    <row r="1222" spans="1:4" x14ac:dyDescent="0.2">
      <c r="A1222" s="10">
        <v>1161</v>
      </c>
      <c r="B1222" s="1832"/>
      <c r="D1222" s="2" t="str">
        <f t="shared" si="18"/>
        <v>OK</v>
      </c>
    </row>
    <row r="1223" spans="1:4" x14ac:dyDescent="0.2">
      <c r="A1223" s="5">
        <v>1162</v>
      </c>
      <c r="B1223" s="1832">
        <f>'Expenditures 15-22'!C127</f>
        <v>57610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57610</v>
      </c>
      <c r="C1225" s="2" t="s">
        <v>569</v>
      </c>
      <c r="D1225" s="2" t="str">
        <f t="shared" si="18"/>
        <v>Error?</v>
      </c>
    </row>
    <row r="1226" spans="1:4" x14ac:dyDescent="0.2">
      <c r="A1226" s="5">
        <v>1165</v>
      </c>
      <c r="B1226" s="1832">
        <f>'Expenditures 15-22'!C151</f>
        <v>57610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7184</v>
      </c>
      <c r="D1229" s="2" t="str">
        <f t="shared" si="18"/>
        <v>Error?</v>
      </c>
    </row>
    <row r="1230" spans="1:4" x14ac:dyDescent="0.2">
      <c r="A1230" s="10">
        <v>1169</v>
      </c>
      <c r="B1230" s="1832"/>
      <c r="D1230" s="2" t="str">
        <f t="shared" si="18"/>
        <v>OK</v>
      </c>
    </row>
    <row r="1231" spans="1:4" x14ac:dyDescent="0.2">
      <c r="A1231" s="5">
        <v>1170</v>
      </c>
      <c r="B1231" s="1832">
        <f>'Expenditures 15-22'!D127</f>
        <v>7184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7184</v>
      </c>
      <c r="C1233" s="2" t="s">
        <v>569</v>
      </c>
      <c r="D1233" s="2" t="str">
        <f t="shared" si="18"/>
        <v>Error?</v>
      </c>
    </row>
    <row r="1234" spans="1:4" x14ac:dyDescent="0.2">
      <c r="A1234" s="5">
        <v>1173</v>
      </c>
      <c r="B1234" s="1832">
        <f>'Expenditures 15-22'!D151</f>
        <v>7184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44207</v>
      </c>
      <c r="D1237" s="2" t="str">
        <f t="shared" si="18"/>
        <v>Error?</v>
      </c>
    </row>
    <row r="1238" spans="1:4" x14ac:dyDescent="0.2">
      <c r="A1238" s="10">
        <v>1177</v>
      </c>
      <c r="B1238" s="1832"/>
      <c r="D1238" s="2" t="str">
        <f t="shared" si="18"/>
        <v>OK</v>
      </c>
    </row>
    <row r="1239" spans="1:4" x14ac:dyDescent="0.2">
      <c r="A1239" s="5">
        <v>1178</v>
      </c>
      <c r="B1239" s="1832">
        <f>'Expenditures 15-22'!E127</f>
        <v>44207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44207</v>
      </c>
      <c r="C1241" s="2" t="s">
        <v>569</v>
      </c>
      <c r="D1241" s="2" t="str">
        <f t="shared" si="18"/>
        <v>Error?</v>
      </c>
    </row>
    <row r="1242" spans="1:4" x14ac:dyDescent="0.2">
      <c r="A1242" s="5">
        <v>1181</v>
      </c>
      <c r="B1242" s="1832">
        <f>'Expenditures 15-22'!E151</f>
        <v>44207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44588</v>
      </c>
      <c r="D1245" s="2" t="str">
        <f t="shared" si="18"/>
        <v>Error?</v>
      </c>
    </row>
    <row r="1246" spans="1:4" x14ac:dyDescent="0.2">
      <c r="A1246" s="10">
        <v>1185</v>
      </c>
      <c r="B1246" s="1832"/>
      <c r="D1246" s="2" t="str">
        <f t="shared" si="18"/>
        <v>OK</v>
      </c>
    </row>
    <row r="1247" spans="1:4" x14ac:dyDescent="0.2">
      <c r="A1247" s="5">
        <v>1186</v>
      </c>
      <c r="B1247" s="1832">
        <f>'Expenditures 15-22'!F127</f>
        <v>44588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44588</v>
      </c>
      <c r="C1249" s="2" t="s">
        <v>569</v>
      </c>
      <c r="D1249" s="2" t="str">
        <f t="shared" si="18"/>
        <v>Error?</v>
      </c>
    </row>
    <row r="1250" spans="1:4" x14ac:dyDescent="0.2">
      <c r="A1250" s="5">
        <v>1189</v>
      </c>
      <c r="B1250" s="1832">
        <f>'Expenditures 15-22'!F151</f>
        <v>44588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44023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44023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44023</v>
      </c>
      <c r="C1258" s="2" t="s">
        <v>569</v>
      </c>
      <c r="D1258" s="2" t="str">
        <f t="shared" si="18"/>
        <v>Error?</v>
      </c>
    </row>
    <row r="1259" spans="1:4" x14ac:dyDescent="0.2">
      <c r="A1259" s="5">
        <v>1198</v>
      </c>
      <c r="B1259" s="1832">
        <f>'Expenditures 15-22'!G151</f>
        <v>44023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614</v>
      </c>
      <c r="D1262" s="2" t="str">
        <f t="shared" si="18"/>
        <v>Error?</v>
      </c>
    </row>
    <row r="1263" spans="1:4" x14ac:dyDescent="0.2">
      <c r="A1263" s="10">
        <v>1202</v>
      </c>
      <c r="B1263" s="1832"/>
      <c r="D1263" s="2" t="str">
        <f t="shared" si="18"/>
        <v>OK</v>
      </c>
    </row>
    <row r="1264" spans="1:4" x14ac:dyDescent="0.2">
      <c r="A1264" s="5">
        <v>1203</v>
      </c>
      <c r="B1264" s="1832">
        <f>'Expenditures 15-22'!H127</f>
        <v>614</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614</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614</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198226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198226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198226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198226</v>
      </c>
      <c r="C1288" s="2" t="s">
        <v>569</v>
      </c>
      <c r="D1288" s="2" t="str">
        <f t="shared" si="19"/>
        <v>Error?</v>
      </c>
    </row>
    <row r="1289" spans="1:4" x14ac:dyDescent="0.2">
      <c r="A1289" s="5">
        <v>1228</v>
      </c>
      <c r="B1289" s="1832">
        <f>'Expenditures 15-22'!K152</f>
        <v>-28802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3494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88494</v>
      </c>
      <c r="C1317" s="2" t="s">
        <v>569</v>
      </c>
      <c r="D1317" s="2" t="str">
        <f t="shared" si="19"/>
        <v>Error?</v>
      </c>
    </row>
    <row r="1318" spans="1:4" x14ac:dyDescent="0.2">
      <c r="A1318" s="5">
        <v>1257</v>
      </c>
      <c r="B1318" s="1832">
        <f>'Expenditures 15-22'!H174</f>
        <v>88494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3494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88494</v>
      </c>
      <c r="C1331" s="2" t="s">
        <v>569</v>
      </c>
      <c r="D1331" s="2" t="str">
        <f t="shared" si="19"/>
        <v>Error?</v>
      </c>
    </row>
    <row r="1332" spans="1:4" x14ac:dyDescent="0.2">
      <c r="A1332" s="5">
        <v>1271</v>
      </c>
      <c r="B1332" s="1832">
        <f>'Expenditures 15-22'!K174</f>
        <v>88494</v>
      </c>
      <c r="C1332" s="2" t="s">
        <v>569</v>
      </c>
      <c r="D1332" s="2" t="str">
        <f t="shared" si="19"/>
        <v>Error?</v>
      </c>
    </row>
    <row r="1333" spans="1:4" x14ac:dyDescent="0.2">
      <c r="A1333" s="5">
        <v>1272</v>
      </c>
      <c r="B1333" s="1832">
        <f>'Expenditures 15-22'!K175</f>
        <v>-13456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100744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100744</v>
      </c>
      <c r="C1339" s="2" t="s">
        <v>569</v>
      </c>
      <c r="D1339" s="2" t="str">
        <f t="shared" si="19"/>
        <v>Error?</v>
      </c>
    </row>
    <row r="1340" spans="1:4" x14ac:dyDescent="0.2">
      <c r="A1340" s="5">
        <v>1279</v>
      </c>
      <c r="B1340" s="1832">
        <f>'Expenditures 15-22'!C210</f>
        <v>100744</v>
      </c>
      <c r="C1340" s="2" t="s">
        <v>569</v>
      </c>
      <c r="D1340" s="2" t="str">
        <f t="shared" si="19"/>
        <v>Error?</v>
      </c>
    </row>
    <row r="1341" spans="1:4" x14ac:dyDescent="0.2">
      <c r="A1341" s="5">
        <v>1280</v>
      </c>
      <c r="B1341" s="1832">
        <f>'Expenditures 15-22'!D182</f>
        <v>1980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1980</v>
      </c>
      <c r="C1345" s="2" t="s">
        <v>569</v>
      </c>
      <c r="D1345" s="2" t="str">
        <f t="shared" si="20"/>
        <v>Error?</v>
      </c>
    </row>
    <row r="1346" spans="1:4" x14ac:dyDescent="0.2">
      <c r="A1346" s="5">
        <v>1285</v>
      </c>
      <c r="B1346" s="1832">
        <f>'Expenditures 15-22'!D210</f>
        <v>1980</v>
      </c>
      <c r="C1346" s="2" t="s">
        <v>569</v>
      </c>
      <c r="D1346" s="2" t="str">
        <f t="shared" si="20"/>
        <v>Error?</v>
      </c>
    </row>
    <row r="1347" spans="1:4" x14ac:dyDescent="0.2">
      <c r="A1347" s="5">
        <v>1286</v>
      </c>
      <c r="B1347" s="1832">
        <f>'Expenditures 15-22'!E182</f>
        <v>7980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7980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7980</v>
      </c>
      <c r="C1353" s="2" t="s">
        <v>569</v>
      </c>
      <c r="D1353" s="2" t="str">
        <f t="shared" si="20"/>
        <v>Error?</v>
      </c>
    </row>
    <row r="1354" spans="1:4" x14ac:dyDescent="0.2">
      <c r="A1354" s="5">
        <v>1293</v>
      </c>
      <c r="B1354" s="1832">
        <f>'Expenditures 15-22'!F182</f>
        <v>18319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18319</v>
      </c>
      <c r="C1358" s="2" t="s">
        <v>569</v>
      </c>
      <c r="D1358" s="2" t="str">
        <f t="shared" si="20"/>
        <v>Error?</v>
      </c>
    </row>
    <row r="1359" spans="1:4" x14ac:dyDescent="0.2">
      <c r="A1359" s="5">
        <v>1298</v>
      </c>
      <c r="B1359" s="1832">
        <f>'Expenditures 15-22'!F210</f>
        <v>18319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1306</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1306</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1306</v>
      </c>
      <c r="C1376" s="2" t="s">
        <v>569</v>
      </c>
      <c r="D1376" s="2" t="str">
        <f t="shared" si="20"/>
        <v>Error?</v>
      </c>
    </row>
    <row r="1377" spans="1:4" x14ac:dyDescent="0.2">
      <c r="A1377" s="5">
        <v>1316</v>
      </c>
      <c r="B1377" s="1832">
        <f>'Expenditures 15-22'!K182</f>
        <v>130329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130329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130329</v>
      </c>
      <c r="C1388" s="2" t="s">
        <v>569</v>
      </c>
      <c r="D1388" s="2" t="str">
        <f t="shared" si="20"/>
        <v>Error?</v>
      </c>
    </row>
    <row r="1389" spans="1:4" x14ac:dyDescent="0.2">
      <c r="A1389" s="5">
        <v>1328</v>
      </c>
      <c r="B1389" s="1832">
        <f>'Expenditures 15-22'!K211</f>
        <v>1606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147</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1789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20947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2996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797</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3793</v>
      </c>
      <c r="C1417" s="2" t="s">
        <v>569</v>
      </c>
      <c r="D1417" s="2" t="str">
        <f t="shared" si="21"/>
        <v>Error?</v>
      </c>
    </row>
    <row r="1418" spans="1:4" x14ac:dyDescent="0.2">
      <c r="A1418" s="5">
        <v>1357</v>
      </c>
      <c r="B1418" s="1832">
        <f>'Expenditures 15-22'!D240</f>
        <v>11</v>
      </c>
      <c r="D1418" s="2" t="str">
        <f t="shared" si="21"/>
        <v>Error?</v>
      </c>
    </row>
    <row r="1419" spans="1:4" x14ac:dyDescent="0.2">
      <c r="A1419" s="5">
        <v>1358</v>
      </c>
      <c r="B1419" s="1832">
        <f>'Expenditures 15-22'!D241</f>
        <v>1472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1483</v>
      </c>
      <c r="C1421" s="2" t="s">
        <v>569</v>
      </c>
      <c r="D1421" s="2" t="str">
        <f t="shared" si="21"/>
        <v>Error?</v>
      </c>
    </row>
    <row r="1422" spans="1:4" x14ac:dyDescent="0.2">
      <c r="A1422" s="5">
        <v>1361</v>
      </c>
      <c r="B1422" s="1832">
        <f>'Expenditures 15-22'!D245</f>
        <v>275</v>
      </c>
      <c r="D1422" s="2" t="str">
        <f t="shared" si="21"/>
        <v>Error?</v>
      </c>
    </row>
    <row r="1423" spans="1:4" x14ac:dyDescent="0.2">
      <c r="A1423" s="5">
        <v>1362</v>
      </c>
      <c r="B1423" s="1832">
        <f>'Expenditures 15-22'!D246</f>
        <v>2999</v>
      </c>
      <c r="D1423" s="2" t="str">
        <f t="shared" si="21"/>
        <v>Error?</v>
      </c>
    </row>
    <row r="1424" spans="1:4" x14ac:dyDescent="0.2">
      <c r="A1424" s="5">
        <v>1363</v>
      </c>
      <c r="B1424" s="1832">
        <f>'Expenditures 15-22'!D257</f>
        <v>3420</v>
      </c>
      <c r="C1424" s="2" t="s">
        <v>569</v>
      </c>
      <c r="D1424" s="2" t="str">
        <f t="shared" si="21"/>
        <v>Error?</v>
      </c>
    </row>
    <row r="1425" spans="1:4" x14ac:dyDescent="0.2">
      <c r="A1425" s="5">
        <v>1364</v>
      </c>
      <c r="B1425" s="1832">
        <f>'Expenditures 15-22'!D259</f>
        <v>3254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3254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3237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6612</v>
      </c>
      <c r="D1431" s="2" t="str">
        <f t="shared" si="21"/>
        <v>Error?</v>
      </c>
    </row>
    <row r="1432" spans="1:4" x14ac:dyDescent="0.2">
      <c r="A1432" s="5">
        <v>1371</v>
      </c>
      <c r="B1432" s="1832">
        <f>'Expenditures 15-22'!D267</f>
        <v>9580</v>
      </c>
      <c r="D1432" s="2" t="str">
        <f t="shared" si="21"/>
        <v>Error?</v>
      </c>
    </row>
    <row r="1433" spans="1:4" x14ac:dyDescent="0.2">
      <c r="A1433" s="5">
        <v>1372</v>
      </c>
      <c r="B1433" s="1832">
        <f>'Expenditures 15-22'!D268</f>
        <v>2222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21651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33601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54548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147</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1789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20947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2996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797</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3793</v>
      </c>
      <c r="C1481" s="2" t="s">
        <v>569</v>
      </c>
      <c r="D1481" s="2" t="str">
        <f t="shared" si="22"/>
        <v>Error?</v>
      </c>
    </row>
    <row r="1482" spans="1:4" x14ac:dyDescent="0.2">
      <c r="A1482" s="5">
        <v>1421</v>
      </c>
      <c r="B1482" s="1832">
        <f>'Expenditures 15-22'!K240</f>
        <v>11</v>
      </c>
      <c r="C1482" s="2" t="s">
        <v>569</v>
      </c>
      <c r="D1482" s="2" t="str">
        <f t="shared" si="22"/>
        <v>Error?</v>
      </c>
    </row>
    <row r="1483" spans="1:4" x14ac:dyDescent="0.2">
      <c r="A1483" s="5">
        <v>1422</v>
      </c>
      <c r="B1483" s="1832">
        <f>'Expenditures 15-22'!K241</f>
        <v>1472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1483</v>
      </c>
      <c r="C1485" s="2" t="s">
        <v>569</v>
      </c>
      <c r="D1485" s="2" t="str">
        <f t="shared" si="22"/>
        <v>Error?</v>
      </c>
    </row>
    <row r="1486" spans="1:4" x14ac:dyDescent="0.2">
      <c r="A1486" s="5">
        <v>1425</v>
      </c>
      <c r="B1486" s="1832">
        <f>'Expenditures 15-22'!K245</f>
        <v>275</v>
      </c>
      <c r="C1486" s="2" t="s">
        <v>569</v>
      </c>
      <c r="D1486" s="2" t="str">
        <f t="shared" si="22"/>
        <v>Error?</v>
      </c>
    </row>
    <row r="1487" spans="1:4" x14ac:dyDescent="0.2">
      <c r="A1487" s="5">
        <v>1426</v>
      </c>
      <c r="B1487" s="1832">
        <f>'Expenditures 15-22'!K246</f>
        <v>2999</v>
      </c>
      <c r="C1487" s="2" t="s">
        <v>569</v>
      </c>
      <c r="D1487" s="2" t="str">
        <f t="shared" si="22"/>
        <v>Error?</v>
      </c>
    </row>
    <row r="1488" spans="1:4" x14ac:dyDescent="0.2">
      <c r="A1488" s="5">
        <v>1427</v>
      </c>
      <c r="B1488" s="1832">
        <f>'Expenditures 15-22'!K257</f>
        <v>3420</v>
      </c>
      <c r="C1488" s="2" t="s">
        <v>569</v>
      </c>
      <c r="D1488" s="2" t="str">
        <f t="shared" si="22"/>
        <v>Error?</v>
      </c>
    </row>
    <row r="1489" spans="1:4" x14ac:dyDescent="0.2">
      <c r="A1489" s="5">
        <v>1428</v>
      </c>
      <c r="B1489" s="1832">
        <f>'Expenditures 15-22'!K259</f>
        <v>3254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3254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3237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6612</v>
      </c>
      <c r="C1495" s="2" t="s">
        <v>569</v>
      </c>
      <c r="D1495" s="2" t="str">
        <f t="shared" si="22"/>
        <v>Error?</v>
      </c>
    </row>
    <row r="1496" spans="1:4" x14ac:dyDescent="0.2">
      <c r="A1496" s="5">
        <v>1435</v>
      </c>
      <c r="B1496" s="1832">
        <f>'Expenditures 15-22'!K267</f>
        <v>9580</v>
      </c>
      <c r="C1496" s="2" t="s">
        <v>569</v>
      </c>
      <c r="D1496" s="2" t="str">
        <f t="shared" si="22"/>
        <v>Error?</v>
      </c>
    </row>
    <row r="1497" spans="1:4" x14ac:dyDescent="0.2">
      <c r="A1497" s="5">
        <v>1436</v>
      </c>
      <c r="B1497" s="1832">
        <f>'Expenditures 15-22'!K268</f>
        <v>2222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21651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33601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54548</v>
      </c>
      <c r="C1517" s="2" t="s">
        <v>569</v>
      </c>
      <c r="D1517" s="2" t="str">
        <f t="shared" si="22"/>
        <v>Error?</v>
      </c>
    </row>
    <row r="1518" spans="1:4" x14ac:dyDescent="0.2">
      <c r="A1518" s="5">
        <v>1457</v>
      </c>
      <c r="B1518" s="1832">
        <f>'Expenditures 15-22'!K296</f>
        <v>4046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476835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349259</v>
      </c>
      <c r="C1630" s="2" t="s">
        <v>569</v>
      </c>
      <c r="D1630" s="2" t="str">
        <f t="shared" si="24"/>
        <v>Error?</v>
      </c>
    </row>
    <row r="1631" spans="1:4" x14ac:dyDescent="0.2">
      <c r="A1631" s="5">
        <v>1570</v>
      </c>
      <c r="B1631" s="1832">
        <f>'Acct Summary 7-8'!D79</f>
        <v>33459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34657</v>
      </c>
      <c r="C1644" s="2" t="s">
        <v>569</v>
      </c>
      <c r="D1644" s="2" t="str">
        <f t="shared" si="24"/>
        <v>Error?</v>
      </c>
    </row>
    <row r="1645" spans="1:4" x14ac:dyDescent="0.2">
      <c r="A1645" s="5">
        <v>1584</v>
      </c>
      <c r="B1645" s="1832">
        <f>'Acct Summary 7-8'!E79</f>
        <v>8419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5963</v>
      </c>
      <c r="C1658" s="2" t="s">
        <v>569</v>
      </c>
      <c r="D1658" s="2" t="str">
        <f t="shared" si="24"/>
        <v>Error?</v>
      </c>
    </row>
    <row r="1659" spans="1:4" x14ac:dyDescent="0.2">
      <c r="A1659" s="5">
        <v>1598</v>
      </c>
      <c r="B1659" s="1832">
        <f>'Acct Summary 7-8'!F79</f>
        <v>47566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49172</v>
      </c>
      <c r="C1672" s="2" t="s">
        <v>569</v>
      </c>
      <c r="D1672" s="2" t="str">
        <f t="shared" si="25"/>
        <v>Error?</v>
      </c>
    </row>
    <row r="1673" spans="1:4" x14ac:dyDescent="0.2">
      <c r="A1673" s="5">
        <v>1612</v>
      </c>
      <c r="B1673" s="1832">
        <f>'Acct Summary 7-8'!G79</f>
        <v>22026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26072</v>
      </c>
      <c r="C1686" s="2" t="s">
        <v>569</v>
      </c>
      <c r="D1686" s="2" t="str">
        <f t="shared" si="25"/>
        <v>Error?</v>
      </c>
    </row>
    <row r="1687" spans="1:4" x14ac:dyDescent="0.2">
      <c r="A1687" s="5">
        <v>1626</v>
      </c>
      <c r="B1687" s="1832">
        <f>'Acct Summary 7-8'!H79</f>
        <v>862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865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734344</v>
      </c>
      <c r="C1744" s="2" t="s">
        <v>569</v>
      </c>
      <c r="D1744" s="2" t="str">
        <f t="shared" si="26"/>
        <v>Error?</v>
      </c>
    </row>
    <row r="1745" spans="1:5" x14ac:dyDescent="0.2">
      <c r="A1745" s="5">
        <v>1684</v>
      </c>
      <c r="B1745" s="1832">
        <f>'Tax Sched 23'!B5</f>
        <v>94916</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18486</v>
      </c>
      <c r="C1747" s="2" t="s">
        <v>569</v>
      </c>
      <c r="D1747" s="2" t="str">
        <f t="shared" si="26"/>
        <v>Error?</v>
      </c>
    </row>
    <row r="1748" spans="1:5" x14ac:dyDescent="0.2">
      <c r="A1748" s="5">
        <v>1687</v>
      </c>
      <c r="B1748" s="1832">
        <f>'Tax Sched 23'!B8</f>
        <v>28477</v>
      </c>
      <c r="C1748" s="2" t="s">
        <v>569</v>
      </c>
      <c r="D1748" s="2" t="str">
        <f t="shared" si="26"/>
        <v>Error?</v>
      </c>
    </row>
    <row r="1749" spans="1:5" x14ac:dyDescent="0.2">
      <c r="A1749" s="5">
        <v>1688</v>
      </c>
      <c r="B1749" s="1832">
        <f>'Tax Sched 23'!B10</f>
        <v>10992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35971</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10992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964152</v>
      </c>
      <c r="C1759" s="2" t="s">
        <v>569</v>
      </c>
      <c r="D1759" s="2" t="str">
        <f t="shared" si="26"/>
        <v>Error?</v>
      </c>
    </row>
    <row r="1760" spans="1:5" x14ac:dyDescent="0.2">
      <c r="A1760" s="5">
        <v>1699</v>
      </c>
      <c r="B1760" s="1832">
        <f>'Tax Sched 23'!D4</f>
        <v>734344</v>
      </c>
      <c r="C1760" s="2" t="s">
        <v>569</v>
      </c>
      <c r="D1760" s="2" t="str">
        <f t="shared" si="26"/>
        <v>Error?</v>
      </c>
    </row>
    <row r="1761" spans="1:7" x14ac:dyDescent="0.2">
      <c r="A1761" s="5">
        <v>1700</v>
      </c>
      <c r="B1761" s="1832">
        <f>'Tax Sched 23'!D5</f>
        <v>94916</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18486</v>
      </c>
      <c r="C1763" s="2" t="s">
        <v>569</v>
      </c>
      <c r="D1763" s="2" t="str">
        <f t="shared" si="26"/>
        <v>Error?</v>
      </c>
    </row>
    <row r="1764" spans="1:7" x14ac:dyDescent="0.2">
      <c r="A1764" s="5">
        <v>1703</v>
      </c>
      <c r="B1764" s="1832">
        <f>'Tax Sched 23'!D8</f>
        <v>28477</v>
      </c>
      <c r="C1764" s="2" t="s">
        <v>569</v>
      </c>
      <c r="D1764" s="2" t="str">
        <f t="shared" si="26"/>
        <v>Error?</v>
      </c>
    </row>
    <row r="1765" spans="1:7" x14ac:dyDescent="0.2">
      <c r="A1765" s="5">
        <v>1704</v>
      </c>
      <c r="B1765" s="1832">
        <f>'Tax Sched 23'!D10</f>
        <v>10992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35971</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10992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964152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759937</v>
      </c>
      <c r="C1792" s="2" t="s">
        <v>569</v>
      </c>
      <c r="D1792" s="2" t="str">
        <f t="shared" si="27"/>
        <v>Error?</v>
      </c>
    </row>
    <row r="1793" spans="1:4" x14ac:dyDescent="0.2">
      <c r="A1793" s="5">
        <v>1732</v>
      </c>
      <c r="B1793" s="1832">
        <f>'Tax Sched 23'!F5</f>
        <v>117962</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18499</v>
      </c>
      <c r="C1795" s="2" t="s">
        <v>569</v>
      </c>
      <c r="D1795" s="2" t="str">
        <f t="shared" si="27"/>
        <v>Error?</v>
      </c>
    </row>
    <row r="1796" spans="1:4" x14ac:dyDescent="0.2">
      <c r="A1796" s="5">
        <v>1735</v>
      </c>
      <c r="B1796" s="1832">
        <f>'Tax Sched 23'!F8</f>
        <v>28495</v>
      </c>
      <c r="C1796" s="2" t="s">
        <v>569</v>
      </c>
      <c r="D1796" s="2" t="str">
        <f t="shared" si="27"/>
        <v>Error?</v>
      </c>
    </row>
    <row r="1797" spans="1:4" x14ac:dyDescent="0.2">
      <c r="A1797" s="5">
        <v>1736</v>
      </c>
      <c r="B1797" s="1832">
        <f>'Tax Sched 23'!F10</f>
        <v>10999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35992</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10999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1012875</v>
      </c>
      <c r="C1807" s="2" t="s">
        <v>569</v>
      </c>
      <c r="D1807" s="2" t="str">
        <f t="shared" si="27"/>
        <v>Error?</v>
      </c>
    </row>
    <row r="1808" spans="1:4" x14ac:dyDescent="0.2">
      <c r="A1808" s="5">
        <v>1747</v>
      </c>
      <c r="B1808" s="1832">
        <f>'Tax Sched 23'!E4</f>
        <v>759937</v>
      </c>
      <c r="D1808" s="2" t="str">
        <f t="shared" si="27"/>
        <v>Error?</v>
      </c>
    </row>
    <row r="1809" spans="1:4" x14ac:dyDescent="0.2">
      <c r="A1809" s="5">
        <v>1748</v>
      </c>
      <c r="B1809" s="1832">
        <f>'Tax Sched 23'!E5</f>
        <v>117962</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18499</v>
      </c>
      <c r="D1811" s="2" t="str">
        <f t="shared" si="27"/>
        <v>Error?</v>
      </c>
    </row>
    <row r="1812" spans="1:4" x14ac:dyDescent="0.2">
      <c r="A1812" s="5">
        <v>1751</v>
      </c>
      <c r="B1812" s="1832">
        <f>'Tax Sched 23'!E8</f>
        <v>28495</v>
      </c>
      <c r="D1812" s="2" t="str">
        <f t="shared" si="27"/>
        <v>Error?</v>
      </c>
    </row>
    <row r="1813" spans="1:4" x14ac:dyDescent="0.2">
      <c r="A1813" s="5">
        <v>1752</v>
      </c>
      <c r="B1813" s="1832">
        <f>'Tax Sched 23'!E10</f>
        <v>10999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35992</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10999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1012875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10992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10992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10992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61564</v>
      </c>
      <c r="D2008" s="2" t="str">
        <f t="shared" si="30"/>
        <v>Error?</v>
      </c>
    </row>
    <row r="2009" spans="1:4" x14ac:dyDescent="0.2">
      <c r="A2009" s="5">
        <v>1948</v>
      </c>
      <c r="B2009" s="1832">
        <f>'Cap Outlay Deprec 26'!C8</f>
        <v>3332089</v>
      </c>
      <c r="D2009" s="2" t="str">
        <f t="shared" si="30"/>
        <v>Error?</v>
      </c>
    </row>
    <row r="2010" spans="1:4" x14ac:dyDescent="0.2">
      <c r="A2010" s="5">
        <v>1949</v>
      </c>
      <c r="B2010" s="1832">
        <f>'Cap Outlay Deprec 26'!C10</f>
        <v>66940</v>
      </c>
      <c r="D2010" s="2" t="str">
        <f t="shared" si="30"/>
        <v>Error?</v>
      </c>
    </row>
    <row r="2011" spans="1:4" x14ac:dyDescent="0.2">
      <c r="A2011" s="5">
        <v>1950</v>
      </c>
      <c r="B2011" s="1832">
        <f>'Cap Outlay Deprec 26'!C12</f>
        <v>341375</v>
      </c>
      <c r="D2011" s="2" t="str">
        <f t="shared" si="30"/>
        <v>Error?</v>
      </c>
    </row>
    <row r="2012" spans="1:4" x14ac:dyDescent="0.2">
      <c r="A2012" s="5">
        <v>1951</v>
      </c>
      <c r="B2012" s="1832">
        <f>'Cap Outlay Deprec 26'!C13</f>
        <v>388978</v>
      </c>
      <c r="D2012" s="2" t="str">
        <f t="shared" si="30"/>
        <v>Error?</v>
      </c>
    </row>
    <row r="2013" spans="1:4" x14ac:dyDescent="0.2">
      <c r="A2013" s="5">
        <v>1952</v>
      </c>
      <c r="B2013" s="1832">
        <f>'Cap Outlay Deprec 26'!C16</f>
        <v>4190946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43880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2399</v>
      </c>
      <c r="D2018" s="2" t="str">
        <f t="shared" si="30"/>
        <v>Error?</v>
      </c>
    </row>
    <row r="2019" spans="1:4" x14ac:dyDescent="0.2">
      <c r="A2019" s="5">
        <v>1958</v>
      </c>
      <c r="B2019" s="1832">
        <f>'Cap Outlay Deprec 26'!D16</f>
        <v>46279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61564</v>
      </c>
      <c r="C2026" s="2" t="s">
        <v>569</v>
      </c>
      <c r="D2026" s="2" t="str">
        <f t="shared" si="30"/>
        <v>Error?</v>
      </c>
    </row>
    <row r="2027" spans="1:4" x14ac:dyDescent="0.2">
      <c r="A2027" s="5">
        <v>1966</v>
      </c>
      <c r="B2027" s="1832">
        <f>'Cap Outlay Deprec 26'!F8</f>
        <v>3375969</v>
      </c>
      <c r="C2027" s="2" t="s">
        <v>569</v>
      </c>
      <c r="D2027" s="2" t="str">
        <f t="shared" si="30"/>
        <v>Error?</v>
      </c>
    </row>
    <row r="2028" spans="1:4" x14ac:dyDescent="0.2">
      <c r="A2028" s="5">
        <v>1967</v>
      </c>
      <c r="B2028" s="1832">
        <f>'Cap Outlay Deprec 26'!F10</f>
        <v>66940</v>
      </c>
      <c r="C2028" s="2" t="s">
        <v>569</v>
      </c>
      <c r="D2028" s="2" t="str">
        <f t="shared" si="30"/>
        <v>Error?</v>
      </c>
    </row>
    <row r="2029" spans="1:4" x14ac:dyDescent="0.2">
      <c r="A2029" s="5">
        <v>1968</v>
      </c>
      <c r="B2029" s="1832">
        <f>'Cap Outlay Deprec 26'!F12</f>
        <v>341375</v>
      </c>
      <c r="C2029" s="2" t="s">
        <v>569</v>
      </c>
      <c r="D2029" s="2" t="str">
        <f t="shared" si="30"/>
        <v>Error?</v>
      </c>
    </row>
    <row r="2030" spans="1:4" x14ac:dyDescent="0.2">
      <c r="A2030" s="5">
        <v>1969</v>
      </c>
      <c r="B2030" s="1832">
        <f>'Cap Outlay Deprec 26'!F13</f>
        <v>391377</v>
      </c>
      <c r="C2030" s="2" t="s">
        <v>569</v>
      </c>
      <c r="D2030" s="2" t="str">
        <f t="shared" si="30"/>
        <v>Error?</v>
      </c>
    </row>
    <row r="2031" spans="1:4" x14ac:dyDescent="0.2">
      <c r="A2031" s="5">
        <v>1970</v>
      </c>
      <c r="B2031" s="1832">
        <f>'Cap Outlay Deprec 26'!F16</f>
        <v>4237225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1581077</v>
      </c>
      <c r="D2033" s="2" t="str">
        <f t="shared" si="30"/>
        <v>Error?</v>
      </c>
    </row>
    <row r="2034" spans="1:4" x14ac:dyDescent="0.2">
      <c r="A2034" s="5">
        <v>1973</v>
      </c>
      <c r="B2034" s="1832">
        <f>'Cap Outlay Deprec 26'!H10</f>
        <v>47970</v>
      </c>
      <c r="D2034" s="2" t="str">
        <f t="shared" si="30"/>
        <v>Error?</v>
      </c>
    </row>
    <row r="2035" spans="1:4" x14ac:dyDescent="0.2">
      <c r="A2035" s="5">
        <v>1974</v>
      </c>
      <c r="B2035" s="1832">
        <f>'Cap Outlay Deprec 26'!H12</f>
        <v>234347</v>
      </c>
      <c r="D2035" s="2" t="str">
        <f t="shared" si="30"/>
        <v>Error?</v>
      </c>
    </row>
    <row r="2036" spans="1:4" x14ac:dyDescent="0.2">
      <c r="A2036" s="5">
        <v>1975</v>
      </c>
      <c r="B2036" s="1832">
        <f>'Cap Outlay Deprec 26'!H13</f>
        <v>359342</v>
      </c>
      <c r="D2036" s="2" t="str">
        <f t="shared" si="30"/>
        <v>Error?</v>
      </c>
    </row>
    <row r="2037" spans="1:4" x14ac:dyDescent="0.2">
      <c r="A2037" s="5">
        <v>1976</v>
      </c>
      <c r="B2037" s="1832">
        <f>'Cap Outlay Deprec 26'!H16</f>
        <v>2222736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68978</v>
      </c>
      <c r="D2039" s="2" t="str">
        <f t="shared" si="30"/>
        <v>Error?</v>
      </c>
    </row>
    <row r="2040" spans="1:4" x14ac:dyDescent="0.2">
      <c r="A2040" s="5">
        <v>1979</v>
      </c>
      <c r="B2040" s="1832">
        <f>'Cap Outlay Deprec 26'!I10</f>
        <v>1776</v>
      </c>
      <c r="D2040" s="2" t="str">
        <f t="shared" si="30"/>
        <v>Error?</v>
      </c>
    </row>
    <row r="2041" spans="1:4" x14ac:dyDescent="0.2">
      <c r="A2041" s="5">
        <v>1980</v>
      </c>
      <c r="B2041" s="1832">
        <f>'Cap Outlay Deprec 26'!I12</f>
        <v>32108</v>
      </c>
      <c r="D2041" s="2" t="str">
        <f t="shared" si="30"/>
        <v>Error?</v>
      </c>
    </row>
    <row r="2042" spans="1:4" x14ac:dyDescent="0.2">
      <c r="A2042" s="5">
        <v>1981</v>
      </c>
      <c r="B2042" s="1832">
        <f>'Cap Outlay Deprec 26'!I13</f>
        <v>3433</v>
      </c>
      <c r="D2042" s="2" t="str">
        <f t="shared" si="30"/>
        <v>Error?</v>
      </c>
    </row>
    <row r="2043" spans="1:4" x14ac:dyDescent="0.2">
      <c r="A2043" s="5">
        <v>1982</v>
      </c>
      <c r="B2043" s="1832">
        <f>'Cap Outlay Deprec 26'!I16</f>
        <v>106295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1650055</v>
      </c>
      <c r="C2051" s="2" t="s">
        <v>569</v>
      </c>
      <c r="D2051" s="2" t="str">
        <f t="shared" si="31"/>
        <v>Error?</v>
      </c>
    </row>
    <row r="2052" spans="1:4" x14ac:dyDescent="0.2">
      <c r="A2052" s="5">
        <v>1991</v>
      </c>
      <c r="B2052" s="1832">
        <f>'Cap Outlay Deprec 26'!K10</f>
        <v>49746</v>
      </c>
      <c r="C2052" s="2" t="s">
        <v>569</v>
      </c>
      <c r="D2052" s="2" t="str">
        <f t="shared" si="31"/>
        <v>Error?</v>
      </c>
    </row>
    <row r="2053" spans="1:4" x14ac:dyDescent="0.2">
      <c r="A2053" s="5">
        <v>1992</v>
      </c>
      <c r="B2053" s="1832">
        <f>'Cap Outlay Deprec 26'!K12</f>
        <v>266455</v>
      </c>
      <c r="C2053" s="2" t="s">
        <v>569</v>
      </c>
      <c r="D2053" s="2" t="str">
        <f t="shared" si="31"/>
        <v>Error?</v>
      </c>
    </row>
    <row r="2054" spans="1:4" x14ac:dyDescent="0.2">
      <c r="A2054" s="5">
        <v>1993</v>
      </c>
      <c r="B2054" s="1832">
        <f>'Cap Outlay Deprec 26'!K13</f>
        <v>362775</v>
      </c>
      <c r="C2054" s="2" t="s">
        <v>569</v>
      </c>
      <c r="D2054" s="2" t="str">
        <f t="shared" si="31"/>
        <v>Error?</v>
      </c>
    </row>
    <row r="2055" spans="1:4" x14ac:dyDescent="0.2">
      <c r="A2055" s="5">
        <v>1994</v>
      </c>
      <c r="B2055" s="1832">
        <f>'Cap Outlay Deprec 26'!K16</f>
        <v>2329031</v>
      </c>
      <c r="C2055" s="2" t="s">
        <v>569</v>
      </c>
      <c r="D2055" s="2" t="str">
        <f t="shared" si="31"/>
        <v>Error?</v>
      </c>
    </row>
    <row r="2056" spans="1:4" x14ac:dyDescent="0.2">
      <c r="A2056" s="5">
        <v>1995</v>
      </c>
      <c r="B2056" s="1832">
        <f>'Cap Outlay Deprec 26'!L5</f>
        <v>61564</v>
      </c>
      <c r="C2056" s="2" t="s">
        <v>569</v>
      </c>
      <c r="D2056" s="2" t="str">
        <f t="shared" si="31"/>
        <v>Error?</v>
      </c>
    </row>
    <row r="2057" spans="1:4" x14ac:dyDescent="0.2">
      <c r="A2057" s="5">
        <v>1996</v>
      </c>
      <c r="B2057" s="1832">
        <f>'Cap Outlay Deprec 26'!L8</f>
        <v>1725914</v>
      </c>
      <c r="C2057" s="2" t="s">
        <v>569</v>
      </c>
      <c r="D2057" s="2" t="str">
        <f t="shared" si="31"/>
        <v>Error?</v>
      </c>
    </row>
    <row r="2058" spans="1:4" x14ac:dyDescent="0.2">
      <c r="A2058" s="5">
        <v>1997</v>
      </c>
      <c r="B2058" s="1832">
        <f>'Cap Outlay Deprec 26'!L10</f>
        <v>17194</v>
      </c>
      <c r="C2058" s="2" t="s">
        <v>569</v>
      </c>
      <c r="D2058" s="2" t="str">
        <f t="shared" si="31"/>
        <v>Error?</v>
      </c>
    </row>
    <row r="2059" spans="1:4" x14ac:dyDescent="0.2">
      <c r="A2059" s="5">
        <v>1998</v>
      </c>
      <c r="B2059" s="1832">
        <f>'Cap Outlay Deprec 26'!L12</f>
        <v>74920</v>
      </c>
      <c r="C2059" s="2" t="s">
        <v>569</v>
      </c>
      <c r="D2059" s="2" t="str">
        <f t="shared" si="31"/>
        <v>Error?</v>
      </c>
    </row>
    <row r="2060" spans="1:4" x14ac:dyDescent="0.2">
      <c r="A2060" s="5">
        <v>1999</v>
      </c>
      <c r="B2060" s="1832">
        <f>'Cap Outlay Deprec 26'!L13</f>
        <v>28602</v>
      </c>
      <c r="C2060" s="2" t="s">
        <v>569</v>
      </c>
      <c r="D2060" s="2" t="str">
        <f t="shared" si="31"/>
        <v>Error?</v>
      </c>
    </row>
    <row r="2061" spans="1:4" x14ac:dyDescent="0.2">
      <c r="A2061" s="5">
        <v>2000</v>
      </c>
      <c r="B2061" s="1832">
        <f>'Cap Outlay Deprec 26'!L16</f>
        <v>1908194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72530</v>
      </c>
      <c r="C2088" s="2" t="s">
        <v>569</v>
      </c>
      <c r="D2088" s="2" t="str">
        <f t="shared" si="31"/>
        <v>Error?</v>
      </c>
    </row>
    <row r="2089" spans="1:4" x14ac:dyDescent="0.2">
      <c r="A2089" s="5">
        <v>2028</v>
      </c>
      <c r="B2089" s="1832">
        <f>'Expenditures 15-22'!K92</f>
        <v>182843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41000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139107</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26072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865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1037134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579388</v>
      </c>
      <c r="C2553" s="2" t="s">
        <v>569</v>
      </c>
      <c r="D2553" s="2" t="str">
        <f t="shared" si="38"/>
        <v>Error?</v>
      </c>
    </row>
    <row r="2554" spans="1:4" x14ac:dyDescent="0.2">
      <c r="A2554" s="5">
        <v>2493</v>
      </c>
      <c r="B2554" s="1832">
        <f>'Acct Summary 7-8'!C7</f>
        <v>105371</v>
      </c>
      <c r="C2554" s="2" t="s">
        <v>569</v>
      </c>
      <c r="D2554" s="2" t="str">
        <f t="shared" si="38"/>
        <v>Error?</v>
      </c>
    </row>
    <row r="2555" spans="1:4" x14ac:dyDescent="0.2">
      <c r="A2555" s="5">
        <v>2494</v>
      </c>
      <c r="B2555" s="1832">
        <f>'Acct Summary 7-8'!C8</f>
        <v>1721893</v>
      </c>
      <c r="C2555" s="2" t="s">
        <v>569</v>
      </c>
      <c r="D2555" s="2" t="str">
        <f t="shared" si="38"/>
        <v>Error?</v>
      </c>
    </row>
    <row r="2556" spans="1:4" x14ac:dyDescent="0.2">
      <c r="A2556" s="5">
        <v>2495</v>
      </c>
      <c r="B2556" s="1832">
        <f>'Acct Summary 7-8'!C12</f>
        <v>1089735</v>
      </c>
      <c r="C2556" s="2" t="s">
        <v>569</v>
      </c>
      <c r="D2556" s="2" t="str">
        <f t="shared" si="38"/>
        <v>Error?</v>
      </c>
    </row>
    <row r="2557" spans="1:4" x14ac:dyDescent="0.2">
      <c r="A2557" s="5">
        <v>2496</v>
      </c>
      <c r="B2557" s="1832">
        <f>'Acct Summary 7-8'!C13</f>
        <v>503815</v>
      </c>
      <c r="C2557" s="2" t="s">
        <v>569</v>
      </c>
      <c r="D2557" s="2" t="str">
        <f t="shared" si="38"/>
        <v>Error?</v>
      </c>
    </row>
    <row r="2558" spans="1:4" x14ac:dyDescent="0.2">
      <c r="A2558" s="5">
        <v>2497</v>
      </c>
      <c r="B2558" s="1832">
        <f>'Acct Summary 7-8'!C14</f>
        <v>546</v>
      </c>
      <c r="C2558" s="2" t="s">
        <v>569</v>
      </c>
      <c r="D2558" s="2" t="str">
        <f t="shared" si="38"/>
        <v>Error?</v>
      </c>
    </row>
    <row r="2559" spans="1:4" x14ac:dyDescent="0.2">
      <c r="A2559" s="5">
        <v>2498</v>
      </c>
      <c r="B2559" s="1832">
        <f>'Acct Summary 7-8'!C15</f>
        <v>255373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1849469</v>
      </c>
      <c r="C2561" s="2" t="s">
        <v>569</v>
      </c>
      <c r="D2561" s="2" t="str">
        <f t="shared" si="39"/>
        <v>Error?</v>
      </c>
    </row>
    <row r="2562" spans="1:4" x14ac:dyDescent="0.2">
      <c r="A2562" s="5">
        <v>2501</v>
      </c>
      <c r="B2562" s="1832">
        <f>'Acct Summary 7-8'!C20</f>
        <v>-127576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159592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9832</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169424</v>
      </c>
      <c r="C2568" s="2" t="s">
        <v>569</v>
      </c>
      <c r="D2568" s="2" t="str">
        <f t="shared" si="39"/>
        <v>Error?</v>
      </c>
    </row>
    <row r="2569" spans="1:4" x14ac:dyDescent="0.2">
      <c r="A2569" s="5">
        <v>2508</v>
      </c>
      <c r="B2569" s="1832">
        <f>'Acct Summary 7-8'!D13</f>
        <v>198226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198226</v>
      </c>
      <c r="C2573" s="2" t="s">
        <v>569</v>
      </c>
      <c r="D2573" s="2" t="str">
        <f t="shared" si="39"/>
        <v>Error?</v>
      </c>
    </row>
    <row r="2574" spans="1:4" x14ac:dyDescent="0.2">
      <c r="A2574" s="5">
        <v>2513</v>
      </c>
      <c r="B2574" s="1832">
        <f>'Acct Summary 7-8'!D20</f>
        <v>-28802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33375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98560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131935</v>
      </c>
      <c r="C2595" s="2" t="s">
        <v>569</v>
      </c>
      <c r="D2595" s="2" t="str">
        <f t="shared" si="39"/>
        <v>Error?</v>
      </c>
    </row>
    <row r="2596" spans="1:4" x14ac:dyDescent="0.2">
      <c r="A2596" s="5">
        <v>2535</v>
      </c>
      <c r="B2596" s="1832">
        <f>'Acct Summary 7-8'!F13</f>
        <v>130329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130329</v>
      </c>
      <c r="C2600" s="2" t="s">
        <v>569</v>
      </c>
      <c r="D2600" s="2" t="str">
        <f t="shared" si="39"/>
        <v>Error?</v>
      </c>
    </row>
    <row r="2601" spans="1:4" x14ac:dyDescent="0.2">
      <c r="A2601" s="5">
        <v>2540</v>
      </c>
      <c r="B2601" s="1832">
        <f>'Acct Summary 7-8'!F20</f>
        <v>1606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58594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58594</v>
      </c>
      <c r="C2606" s="2" t="s">
        <v>569</v>
      </c>
      <c r="D2606" s="2" t="str">
        <f t="shared" si="39"/>
        <v>Error?</v>
      </c>
    </row>
    <row r="2607" spans="1:4" x14ac:dyDescent="0.2">
      <c r="A2607" s="5">
        <v>2546</v>
      </c>
      <c r="B2607" s="1832">
        <f>'Acct Summary 7-8'!G12</f>
        <v>20947</v>
      </c>
      <c r="C2607" s="2" t="s">
        <v>569</v>
      </c>
      <c r="D2607" s="2" t="str">
        <f t="shared" si="39"/>
        <v>Error?</v>
      </c>
    </row>
    <row r="2608" spans="1:4" x14ac:dyDescent="0.2">
      <c r="A2608" s="5">
        <v>2547</v>
      </c>
      <c r="B2608" s="1832">
        <f>'Acct Summary 7-8'!G13</f>
        <v>33601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54548</v>
      </c>
      <c r="C2612" s="2" t="s">
        <v>569</v>
      </c>
      <c r="D2612" s="2" t="str">
        <f t="shared" si="39"/>
        <v>Error?</v>
      </c>
    </row>
    <row r="2613" spans="1:4" x14ac:dyDescent="0.2">
      <c r="A2613" s="5">
        <v>2552</v>
      </c>
      <c r="B2613" s="1832">
        <f>'Acct Summary 7-8'!G20</f>
        <v>4046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75038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75038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88494</v>
      </c>
      <c r="C2634" s="2" t="s">
        <v>569</v>
      </c>
      <c r="D2634" s="2" t="str">
        <f t="shared" si="40"/>
        <v>Error?</v>
      </c>
    </row>
    <row r="2635" spans="1:4" x14ac:dyDescent="0.2">
      <c r="A2635" s="5">
        <v>2574</v>
      </c>
      <c r="B2635" s="1832">
        <f>'Acct Summary 7-8'!E17</f>
        <v>88494</v>
      </c>
      <c r="C2635" s="2" t="s">
        <v>569</v>
      </c>
      <c r="D2635" s="2" t="str">
        <f t="shared" si="40"/>
        <v>Error?</v>
      </c>
    </row>
    <row r="2636" spans="1:4" x14ac:dyDescent="0.2">
      <c r="A2636" s="5">
        <v>2575</v>
      </c>
      <c r="B2636" s="1832">
        <f>'Acct Summary 7-8'!E20</f>
        <v>-13456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10081</v>
      </c>
      <c r="D2718" s="2" t="str">
        <f t="shared" si="41"/>
        <v>Error?</v>
      </c>
    </row>
    <row r="2719" spans="1:4" x14ac:dyDescent="0.2">
      <c r="A2719" s="5">
        <v>2658</v>
      </c>
      <c r="B2719" s="1832">
        <f>'Expenditures 15-22'!D51</f>
        <v>1131</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11212</v>
      </c>
      <c r="C2724" s="2" t="s">
        <v>569</v>
      </c>
      <c r="D2724" s="2" t="str">
        <f t="shared" si="41"/>
        <v>Error?</v>
      </c>
    </row>
    <row r="2725" spans="1:4" x14ac:dyDescent="0.2">
      <c r="A2725" s="5">
        <v>2664</v>
      </c>
      <c r="B2725" s="1832">
        <f>'Expenditures 15-22'!D247</f>
        <v>146</v>
      </c>
      <c r="D2725" s="2" t="str">
        <f t="shared" si="41"/>
        <v>Error?</v>
      </c>
    </row>
    <row r="2726" spans="1:4" x14ac:dyDescent="0.2">
      <c r="A2726" s="5">
        <v>2665</v>
      </c>
      <c r="B2726" s="1832">
        <f>'Expenditures 15-22'!K247</f>
        <v>146</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72530</v>
      </c>
      <c r="C2789" s="2" t="s">
        <v>569</v>
      </c>
      <c r="D2789" s="2" t="str">
        <f t="shared" si="42"/>
        <v>Error?</v>
      </c>
    </row>
    <row r="2790" spans="1:4" x14ac:dyDescent="0.2">
      <c r="A2790" s="5">
        <v>2729</v>
      </c>
      <c r="B2790" s="1832">
        <f>'Expenditures 15-22'!E102</f>
        <v>72530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271858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15995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271858</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271858</v>
      </c>
      <c r="C2913" s="2" t="s">
        <v>569</v>
      </c>
      <c r="D2913" s="2" t="str">
        <f t="shared" si="44"/>
        <v>Error?</v>
      </c>
    </row>
    <row r="2914" spans="1:4" x14ac:dyDescent="0.2">
      <c r="A2914" s="5">
        <v>2853</v>
      </c>
      <c r="B2914" s="1832">
        <f>'Assets-Liab 5-6'!L33</f>
        <v>15995</v>
      </c>
      <c r="D2914" s="2" t="str">
        <f t="shared" si="44"/>
        <v>Error?</v>
      </c>
    </row>
    <row r="2915" spans="1:4" x14ac:dyDescent="0.2">
      <c r="A2915" s="10">
        <v>2854</v>
      </c>
      <c r="B2915" s="1832"/>
      <c r="D2915" s="2" t="str">
        <f t="shared" si="44"/>
        <v>OK</v>
      </c>
    </row>
    <row r="2916" spans="1:4" x14ac:dyDescent="0.2">
      <c r="A2916" s="5">
        <v>2855</v>
      </c>
      <c r="B2916" s="1832">
        <f>'Assets-Liab 5-6'!L34</f>
        <v>15995</v>
      </c>
      <c r="C2916" s="2" t="s">
        <v>569</v>
      </c>
      <c r="D2916" s="2" t="str">
        <f t="shared" si="44"/>
        <v>Error?</v>
      </c>
    </row>
    <row r="2917" spans="1:4" x14ac:dyDescent="0.2">
      <c r="A2917" s="5">
        <v>2856</v>
      </c>
      <c r="B2917" s="1832">
        <f>'Assets-Liab 5-6'!L41</f>
        <v>15995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72530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72530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48392</v>
      </c>
      <c r="D3055" s="2" t="str">
        <f t="shared" si="46"/>
        <v>Error?</v>
      </c>
    </row>
    <row r="3056" spans="1:4" x14ac:dyDescent="0.2">
      <c r="A3056" s="5">
        <v>2995</v>
      </c>
      <c r="B3056" s="1832">
        <f>'Expenditures 15-22'!D10</f>
        <v>16084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221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64697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582</v>
      </c>
      <c r="D3064" s="2" t="str">
        <f t="shared" si="46"/>
        <v>Error?</v>
      </c>
    </row>
    <row r="3065" spans="1:4" x14ac:dyDescent="0.2">
      <c r="A3065" s="5">
        <v>3004</v>
      </c>
      <c r="B3065" s="1832">
        <f>'Expenditures 15-22'!K219</f>
        <v>582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12717</v>
      </c>
      <c r="C3225" s="2" t="s">
        <v>569</v>
      </c>
      <c r="D3225" s="2" t="str">
        <f t="shared" si="49"/>
        <v>Error?</v>
      </c>
    </row>
    <row r="3226" spans="1:4" x14ac:dyDescent="0.2">
      <c r="A3226" s="5">
        <v>3165</v>
      </c>
      <c r="B3226" s="1832">
        <f>'Acct Summary 7-8'!I8</f>
        <v>12717</v>
      </c>
      <c r="C3226" s="2" t="s">
        <v>569</v>
      </c>
      <c r="D3226" s="2" t="str">
        <f t="shared" si="49"/>
        <v>Error?</v>
      </c>
    </row>
    <row r="3227" spans="1:4" x14ac:dyDescent="0.2">
      <c r="A3227" s="5">
        <v>3166</v>
      </c>
      <c r="B3227" s="1832">
        <f>'Acct Summary 7-8'!I20</f>
        <v>12717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-127576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30000</v>
      </c>
      <c r="C3238" s="2" t="s">
        <v>569</v>
      </c>
      <c r="D3238" s="2" t="str">
        <f t="shared" si="49"/>
        <v>Error?</v>
      </c>
    </row>
    <row r="3239" spans="1:4" x14ac:dyDescent="0.2">
      <c r="A3239" s="5">
        <v>3178</v>
      </c>
      <c r="B3239" s="1832">
        <f>'Acct Summary 7-8'!D78</f>
        <v>1198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1606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4046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11000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11000</v>
      </c>
      <c r="C3277" s="2" t="s">
        <v>569</v>
      </c>
      <c r="D3277" s="2" t="str">
        <f t="shared" si="50"/>
        <v>Error?</v>
      </c>
    </row>
    <row r="3278" spans="1:4" x14ac:dyDescent="0.2">
      <c r="A3278" s="5">
        <v>3217</v>
      </c>
      <c r="B3278" s="1832">
        <f>'Acct Summary 7-8'!E78</f>
        <v>-2456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41000</v>
      </c>
      <c r="C3318" s="2" t="s">
        <v>569</v>
      </c>
      <c r="D3318" s="2" t="str">
        <f t="shared" si="50"/>
        <v>Error?</v>
      </c>
    </row>
    <row r="3319" spans="1:4" x14ac:dyDescent="0.2">
      <c r="A3319" s="5">
        <v>3258</v>
      </c>
      <c r="B3319" s="1832">
        <f>'Acct Summary 7-8'!I77</f>
        <v>-41000</v>
      </c>
      <c r="C3319" s="2" t="s">
        <v>569</v>
      </c>
      <c r="D3319" s="2" t="str">
        <f t="shared" si="50"/>
        <v>Error?</v>
      </c>
    </row>
    <row r="3320" spans="1:4" x14ac:dyDescent="0.2">
      <c r="A3320" s="5">
        <v>3259</v>
      </c>
      <c r="B3320" s="1832">
        <f>'Acct Summary 7-8'!I78</f>
        <v>-28283</v>
      </c>
      <c r="C3320" s="2" t="s">
        <v>569</v>
      </c>
      <c r="D3320" s="2" t="str">
        <f t="shared" si="50"/>
        <v>Error?</v>
      </c>
    </row>
    <row r="3321" spans="1:4" x14ac:dyDescent="0.2">
      <c r="A3321" s="5">
        <v>3260</v>
      </c>
      <c r="B3321" s="1832">
        <f>'Acct Summary 7-8'!I79</f>
        <v>300141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271858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153603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13368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672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2039</v>
      </c>
      <c r="D3372" s="2" t="str">
        <f t="shared" si="51"/>
        <v>Error?</v>
      </c>
    </row>
    <row r="3373" spans="1:4" x14ac:dyDescent="0.2">
      <c r="A3373" s="5">
        <v>3312</v>
      </c>
      <c r="B3373" s="1832">
        <f>'Expenditures 15-22'!F19</f>
        <v>4102</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753</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170435</v>
      </c>
      <c r="C3380" s="2" t="s">
        <v>569</v>
      </c>
      <c r="D3380" s="2" t="str">
        <f t="shared" si="51"/>
        <v>Error?</v>
      </c>
    </row>
    <row r="3381" spans="1:4" x14ac:dyDescent="0.2">
      <c r="A3381" s="5">
        <v>3320</v>
      </c>
      <c r="B3381" s="1832">
        <f>'Expenditures 15-22'!K19</f>
        <v>4102</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8667</v>
      </c>
      <c r="D3387" s="2" t="str">
        <f t="shared" si="51"/>
        <v>Error?</v>
      </c>
    </row>
    <row r="3388" spans="1:4" x14ac:dyDescent="0.2">
      <c r="A3388" s="5">
        <v>3327</v>
      </c>
      <c r="B3388" s="1832">
        <f>'Expenditures 15-22'!D217</f>
        <v>6968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8667</v>
      </c>
      <c r="C3390" s="2" t="s">
        <v>569</v>
      </c>
      <c r="D3390" s="2" t="str">
        <f t="shared" si="51"/>
        <v>Error?</v>
      </c>
    </row>
    <row r="3391" spans="1:4" x14ac:dyDescent="0.2">
      <c r="A3391" s="5">
        <v>3330</v>
      </c>
      <c r="B3391" s="1832">
        <f>'Expenditures 15-22'!K217</f>
        <v>6968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349259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34657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5963</v>
      </c>
      <c r="D3417" s="2" t="str">
        <f t="shared" si="52"/>
        <v>Error?</v>
      </c>
    </row>
    <row r="3418" spans="1:4" x14ac:dyDescent="0.2">
      <c r="A3418" s="10">
        <v>3357</v>
      </c>
      <c r="B3418" s="1832"/>
      <c r="D3418" s="2" t="str">
        <f t="shared" si="52"/>
        <v>OK</v>
      </c>
    </row>
    <row r="3419" spans="1:4" x14ac:dyDescent="0.2">
      <c r="A3419" s="5">
        <v>3358</v>
      </c>
      <c r="B3419" s="1832">
        <f>'Assets-Liab 5-6'!F4</f>
        <v>49172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26072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865</v>
      </c>
      <c r="D3425" s="2" t="str">
        <f t="shared" si="52"/>
        <v>Error?</v>
      </c>
    </row>
    <row r="3426" spans="1:4" x14ac:dyDescent="0.2">
      <c r="A3426" s="10">
        <v>3365</v>
      </c>
      <c r="B3426" s="1832"/>
      <c r="D3426" s="2" t="str">
        <f t="shared" si="52"/>
        <v>OK</v>
      </c>
    </row>
    <row r="3427" spans="1:4" x14ac:dyDescent="0.2">
      <c r="A3427" s="5">
        <v>3366</v>
      </c>
      <c r="B3427" s="1832">
        <f>'Assets-Liab 5-6'!I4</f>
        <v>271858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15995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29974</v>
      </c>
      <c r="C3446" s="2" t="s">
        <v>569</v>
      </c>
      <c r="D3446" s="2" t="str">
        <f t="shared" si="52"/>
        <v>Error?</v>
      </c>
    </row>
    <row r="3447" spans="1:4" x14ac:dyDescent="0.2">
      <c r="A3447" s="5">
        <v>3386</v>
      </c>
      <c r="B3447" s="1832">
        <f>'Tax Sched 23'!D16</f>
        <v>29974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29992</v>
      </c>
      <c r="C3449" s="2" t="s">
        <v>569</v>
      </c>
      <c r="D3449" s="2" t="str">
        <f t="shared" si="52"/>
        <v>Error?</v>
      </c>
    </row>
    <row r="3450" spans="1:4" x14ac:dyDescent="0.2">
      <c r="A3450" s="5">
        <v>3389</v>
      </c>
      <c r="B3450" s="1832">
        <f>'Tax Sched 23'!E16</f>
        <v>29992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247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247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247</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247</v>
      </c>
      <c r="C3568" s="2" t="s">
        <v>569</v>
      </c>
      <c r="D3568" s="2" t="str">
        <f t="shared" si="54"/>
        <v>Error?</v>
      </c>
    </row>
    <row r="3569" spans="1:4" x14ac:dyDescent="0.2">
      <c r="A3569" s="5">
        <v>3508</v>
      </c>
      <c r="B3569" s="1832">
        <f>'Acct Summary 7-8'!K4</f>
        <v>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v>
      </c>
      <c r="C3588" s="2" t="s">
        <v>569</v>
      </c>
      <c r="D3588" s="2" t="str">
        <f t="shared" si="55"/>
        <v>Error?</v>
      </c>
    </row>
    <row r="3589" spans="1:4" x14ac:dyDescent="0.2">
      <c r="A3589" s="5">
        <v>3528</v>
      </c>
      <c r="B3589" s="1832">
        <f>'Acct Summary 7-8'!K79</f>
        <v>246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247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103888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1825781</v>
      </c>
      <c r="C4122" s="2" t="s">
        <v>569</v>
      </c>
      <c r="D4122" s="2" t="str">
        <f t="shared" si="63"/>
        <v>Error?</v>
      </c>
    </row>
    <row r="4123" spans="1:4" x14ac:dyDescent="0.2">
      <c r="A4123" s="5">
        <v>4062</v>
      </c>
      <c r="B4123" s="1832">
        <f>'Acct Summary 7-8'!D10</f>
        <v>169424</v>
      </c>
      <c r="C4123" s="2" t="s">
        <v>569</v>
      </c>
      <c r="D4123" s="2" t="str">
        <f t="shared" si="63"/>
        <v>Error?</v>
      </c>
    </row>
    <row r="4124" spans="1:4" x14ac:dyDescent="0.2">
      <c r="A4124" s="5">
        <v>4063</v>
      </c>
      <c r="B4124" s="1832">
        <f>'Acct Summary 7-8'!E10</f>
        <v>75038</v>
      </c>
      <c r="C4124" s="2" t="s">
        <v>569</v>
      </c>
      <c r="D4124" s="2" t="str">
        <f t="shared" si="63"/>
        <v>Error?</v>
      </c>
    </row>
    <row r="4125" spans="1:4" x14ac:dyDescent="0.2">
      <c r="A4125" s="5">
        <v>4064</v>
      </c>
      <c r="B4125" s="1832">
        <f>'Acct Summary 7-8'!F10</f>
        <v>131935</v>
      </c>
      <c r="C4125" s="2" t="s">
        <v>569</v>
      </c>
      <c r="D4125" s="2" t="str">
        <f t="shared" si="63"/>
        <v>Error?</v>
      </c>
    </row>
    <row r="4126" spans="1:4" x14ac:dyDescent="0.2">
      <c r="A4126" s="5">
        <v>4065</v>
      </c>
      <c r="B4126" s="1832">
        <f>'Acct Summary 7-8'!G10</f>
        <v>58594</v>
      </c>
      <c r="C4126" s="2" t="s">
        <v>569</v>
      </c>
      <c r="D4126" s="2" t="str">
        <f t="shared" si="63"/>
        <v>Error?</v>
      </c>
    </row>
    <row r="4127" spans="1:4" x14ac:dyDescent="0.2">
      <c r="A4127" s="5">
        <v>4066</v>
      </c>
      <c r="B4127" s="1832">
        <f>'Acct Summary 7-8'!H10</f>
        <v>3</v>
      </c>
      <c r="C4127" s="2" t="s">
        <v>569</v>
      </c>
      <c r="D4127" s="2" t="str">
        <f t="shared" si="63"/>
        <v>Error?</v>
      </c>
    </row>
    <row r="4128" spans="1:4" x14ac:dyDescent="0.2">
      <c r="A4128" s="5">
        <v>4067</v>
      </c>
      <c r="B4128" s="1832">
        <f>'Acct Summary 7-8'!I10</f>
        <v>12717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v>
      </c>
      <c r="C4130" s="2" t="s">
        <v>569</v>
      </c>
      <c r="D4130" s="2" t="str">
        <f t="shared" si="63"/>
        <v>Error?</v>
      </c>
    </row>
    <row r="4131" spans="1:4" x14ac:dyDescent="0.2">
      <c r="A4131" s="5">
        <v>4070</v>
      </c>
      <c r="B4131" s="1832">
        <f>'Acct Summary 7-8'!C18</f>
        <v>103888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1953357</v>
      </c>
      <c r="C4136" s="2" t="s">
        <v>569</v>
      </c>
      <c r="D4136" s="2" t="str">
        <f t="shared" si="63"/>
        <v>Error?</v>
      </c>
    </row>
    <row r="4137" spans="1:4" x14ac:dyDescent="0.2">
      <c r="A4137" s="5">
        <v>4076</v>
      </c>
      <c r="B4137" s="1832">
        <f>'Acct Summary 7-8'!D19</f>
        <v>198226</v>
      </c>
      <c r="C4137" s="2" t="s">
        <v>569</v>
      </c>
      <c r="D4137" s="2" t="str">
        <f t="shared" si="63"/>
        <v>Error?</v>
      </c>
    </row>
    <row r="4138" spans="1:4" x14ac:dyDescent="0.2">
      <c r="A4138" s="5">
        <v>4077</v>
      </c>
      <c r="B4138" s="1832">
        <f>'Acct Summary 7-8'!E19</f>
        <v>88494</v>
      </c>
      <c r="C4138" s="2" t="s">
        <v>569</v>
      </c>
      <c r="D4138" s="2" t="str">
        <f t="shared" si="63"/>
        <v>Error?</v>
      </c>
    </row>
    <row r="4139" spans="1:4" x14ac:dyDescent="0.2">
      <c r="A4139" s="5">
        <v>4078</v>
      </c>
      <c r="B4139" s="1832">
        <f>'Acct Summary 7-8'!F19</f>
        <v>130329</v>
      </c>
      <c r="C4139" s="2" t="s">
        <v>569</v>
      </c>
      <c r="D4139" s="2" t="str">
        <f t="shared" si="63"/>
        <v>Error?</v>
      </c>
    </row>
    <row r="4140" spans="1:4" x14ac:dyDescent="0.2">
      <c r="A4140" s="5">
        <v>4079</v>
      </c>
      <c r="B4140" s="1832">
        <f>'Acct Summary 7-8'!G19</f>
        <v>54548</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65000</v>
      </c>
      <c r="C4171" s="2" t="s">
        <v>569</v>
      </c>
      <c r="D4171" s="2" t="str">
        <f t="shared" si="64"/>
        <v>Error?</v>
      </c>
    </row>
    <row r="4172" spans="1:4" x14ac:dyDescent="0.2">
      <c r="A4172" s="5">
        <v>4111</v>
      </c>
      <c r="B4172" s="1832">
        <f>'Short-Term Long-Term Debt 24'!J49</f>
        <v>59037</v>
      </c>
      <c r="C4172" s="2" t="s">
        <v>569</v>
      </c>
      <c r="D4172" s="2" t="str">
        <f t="shared" si="64"/>
        <v>Error?</v>
      </c>
    </row>
    <row r="4173" spans="1:4" x14ac:dyDescent="0.2">
      <c r="A4173" s="5">
        <v>4112</v>
      </c>
      <c r="B4173" s="1832">
        <f>'Short-Term Long-Term Debt 24'!H49</f>
        <v>85000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2365</v>
      </c>
      <c r="C4265" s="2" t="s">
        <v>569</v>
      </c>
      <c r="D4265" s="2" t="str">
        <f t="shared" si="65"/>
        <v>Error?</v>
      </c>
      <c r="E4265" s="125"/>
    </row>
    <row r="4266" spans="1:5" x14ac:dyDescent="0.2">
      <c r="A4266" s="12">
        <v>4205</v>
      </c>
      <c r="B4266" s="1832">
        <f>('FP Info 3'!F10)*100000</f>
        <v>367.09999999999997</v>
      </c>
      <c r="C4266" s="2" t="s">
        <v>569</v>
      </c>
      <c r="D4266" s="2" t="str">
        <f t="shared" si="65"/>
        <v>Error?</v>
      </c>
      <c r="E4266" s="125"/>
    </row>
    <row r="4267" spans="1:5" x14ac:dyDescent="0.2">
      <c r="A4267" s="12">
        <v>4206</v>
      </c>
      <c r="B4267" s="1832">
        <f>('FP Info 3'!H10)*100000</f>
        <v>57.6</v>
      </c>
      <c r="C4267" s="2" t="s">
        <v>569</v>
      </c>
      <c r="D4267" s="2" t="str">
        <f t="shared" si="65"/>
        <v>Error?</v>
      </c>
      <c r="E4267" s="125"/>
    </row>
    <row r="4268" spans="1:5" x14ac:dyDescent="0.2">
      <c r="A4268" s="12">
        <v>4207</v>
      </c>
      <c r="B4268" s="1832">
        <f>('FP Info 3'!J10)*100000</f>
        <v>2790</v>
      </c>
      <c r="C4268" s="2" t="s">
        <v>569</v>
      </c>
      <c r="D4268" s="2" t="str">
        <f t="shared" si="65"/>
        <v>Error?</v>
      </c>
    </row>
    <row r="4269" spans="1:5" x14ac:dyDescent="0.2">
      <c r="A4269" s="12">
        <v>4208</v>
      </c>
      <c r="B4269" s="1832">
        <f>'FP Info 3'!J16</f>
        <v>704946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8507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799</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799</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5888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2084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34.200000000000003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11459</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32132635</v>
      </c>
      <c r="D4995" s="2" t="str">
        <f t="shared" si="77"/>
        <v>Error?</v>
      </c>
    </row>
    <row r="4996" spans="1:4" x14ac:dyDescent="0.2">
      <c r="A4996" s="12">
        <v>4935</v>
      </c>
      <c r="B4996" s="1832">
        <f>'FP Info 3'!H31</f>
        <v>2217151.8150000004</v>
      </c>
      <c r="D4996" s="2" t="str">
        <f t="shared" si="77"/>
        <v>Error?</v>
      </c>
    </row>
    <row r="4997" spans="1:4" x14ac:dyDescent="0.2">
      <c r="A4997" s="12">
        <v>4936</v>
      </c>
      <c r="B4997" s="1832">
        <f>'FP Info 3'!H37</f>
        <v>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734344</v>
      </c>
      <c r="D5061" s="2" t="str">
        <f t="shared" si="78"/>
        <v>Error?</v>
      </c>
    </row>
    <row r="5062" spans="1:4" x14ac:dyDescent="0.2">
      <c r="A5062" s="10">
        <v>5001</v>
      </c>
      <c r="B5062" s="1832"/>
      <c r="D5062" s="2" t="str">
        <f t="shared" si="78"/>
        <v>OK</v>
      </c>
    </row>
    <row r="5063" spans="1:4" x14ac:dyDescent="0.2">
      <c r="A5063" s="5">
        <v>5002</v>
      </c>
      <c r="B5063" s="1832">
        <f>'Revenues 9-14'!C7</f>
        <v>10992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745336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85559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85559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26030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26030</v>
      </c>
      <c r="C5087" s="2" t="s">
        <v>569</v>
      </c>
      <c r="D5087" s="2" t="str">
        <f t="shared" si="78"/>
        <v>Error?</v>
      </c>
    </row>
    <row r="5088" spans="1:4" x14ac:dyDescent="0.2">
      <c r="A5088" s="5">
        <v>5027</v>
      </c>
      <c r="B5088" s="1832">
        <f>'Revenues 9-14'!C65</f>
        <v>3337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3337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225</v>
      </c>
      <c r="D5093" s="2" t="str">
        <f t="shared" si="78"/>
        <v>Error?</v>
      </c>
    </row>
    <row r="5094" spans="1:4" x14ac:dyDescent="0.2">
      <c r="A5094" s="5">
        <v>5033</v>
      </c>
      <c r="B5094" s="1832">
        <f>'Revenues 9-14'!C73</f>
        <v>389</v>
      </c>
      <c r="D5094" s="2" t="str">
        <f t="shared" si="78"/>
        <v>Error?</v>
      </c>
    </row>
    <row r="5095" spans="1:4" x14ac:dyDescent="0.2">
      <c r="A5095" s="5">
        <v>5034</v>
      </c>
      <c r="B5095" s="1832">
        <f>'Revenues 9-14'!C74</f>
        <v>161</v>
      </c>
      <c r="D5095" s="2" t="str">
        <f t="shared" si="78"/>
        <v>Error?</v>
      </c>
    </row>
    <row r="5096" spans="1:4" x14ac:dyDescent="0.2">
      <c r="A5096" s="5">
        <v>5035</v>
      </c>
      <c r="B5096" s="1832">
        <f>'Revenues 9-14'!C75</f>
        <v>5483</v>
      </c>
      <c r="C5096" s="2" t="s">
        <v>569</v>
      </c>
      <c r="D5096" s="2" t="str">
        <f t="shared" si="78"/>
        <v>Error?</v>
      </c>
    </row>
    <row r="5097" spans="1:4" x14ac:dyDescent="0.2">
      <c r="A5097" s="5">
        <v>5036</v>
      </c>
      <c r="B5097" s="1832">
        <f>'Revenues 9-14'!C77</f>
        <v>2720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420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3140</v>
      </c>
      <c r="C5102" s="2" t="s">
        <v>569</v>
      </c>
      <c r="D5102" s="2" t="str">
        <f t="shared" si="78"/>
        <v>Error?</v>
      </c>
    </row>
    <row r="5103" spans="1:4" x14ac:dyDescent="0.2">
      <c r="A5103" s="5">
        <v>5042</v>
      </c>
      <c r="B5103" s="1832">
        <f>'Revenues 9-14'!C84</f>
        <v>1339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1339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166910</v>
      </c>
      <c r="D5119" s="2" t="str">
        <f t="shared" ref="D5119:D5182" si="79">IF(ISBLANK(B5119),"OK",IF(A5119-B5119=0,"OK","Error?"))</f>
        <v>Error?</v>
      </c>
    </row>
    <row r="5120" spans="1:4" x14ac:dyDescent="0.2">
      <c r="A5120" s="5">
        <v>5059</v>
      </c>
      <c r="B5120" s="1832">
        <f>'Revenues 9-14'!C108</f>
        <v>166910</v>
      </c>
      <c r="C5120" s="2" t="s">
        <v>569</v>
      </c>
      <c r="D5120" s="2" t="str">
        <f t="shared" si="79"/>
        <v>Error?</v>
      </c>
    </row>
    <row r="5121" spans="1:4" x14ac:dyDescent="0.2">
      <c r="A5121" s="5">
        <v>5060</v>
      </c>
      <c r="B5121" s="1832">
        <f>'Revenues 9-14'!C109</f>
        <v>1037134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488731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488731</v>
      </c>
      <c r="C5132" s="2" t="s">
        <v>569</v>
      </c>
      <c r="D5132" s="2" t="str">
        <f t="shared" si="79"/>
        <v>Error?</v>
      </c>
    </row>
    <row r="5133" spans="1:4" x14ac:dyDescent="0.2">
      <c r="A5133" s="5">
        <v>5072</v>
      </c>
      <c r="B5133" s="1832">
        <f>'Revenues 9-14'!C125</f>
        <v>4346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4346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413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85898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90657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579388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20756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5159</v>
      </c>
      <c r="D5241" s="2" t="str">
        <f t="shared" si="80"/>
        <v>Error?</v>
      </c>
    </row>
    <row r="5242" spans="1:4" x14ac:dyDescent="0.2">
      <c r="A5242" s="5">
        <v>5181</v>
      </c>
      <c r="B5242" s="1832">
        <f>'Revenues 9-14'!C194</f>
        <v>20490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46405</v>
      </c>
      <c r="C5246" s="2" t="s">
        <v>569</v>
      </c>
      <c r="D5246" s="2" t="str">
        <f t="shared" si="80"/>
        <v>Error?</v>
      </c>
    </row>
    <row r="5247" spans="1:4" x14ac:dyDescent="0.2">
      <c r="A5247" s="5">
        <v>5186</v>
      </c>
      <c r="B5247" s="1832">
        <f>'Revenues 9-14'!C200</f>
        <v>30229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5888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30229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105371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105371</v>
      </c>
      <c r="C5326" s="2" t="s">
        <v>569</v>
      </c>
      <c r="D5326" s="2" t="str">
        <f t="shared" si="82"/>
        <v>Error?</v>
      </c>
    </row>
    <row r="5327" spans="1:5" x14ac:dyDescent="0.2">
      <c r="A5327" s="5">
        <v>5266</v>
      </c>
      <c r="B5327" s="1832">
        <f>'Revenues 9-14'!C268</f>
        <v>1721893</v>
      </c>
      <c r="C5327" s="2" t="s">
        <v>569</v>
      </c>
      <c r="D5327" s="2" t="str">
        <f t="shared" si="82"/>
        <v>Error?</v>
      </c>
    </row>
    <row r="5328" spans="1:5" x14ac:dyDescent="0.2">
      <c r="A5328" s="5">
        <v>5267</v>
      </c>
      <c r="B5328" s="1832">
        <f>'Revenues 9-14'!D5</f>
        <v>94916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94916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13928</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13928</v>
      </c>
      <c r="C5339" s="2" t="s">
        <v>569</v>
      </c>
      <c r="D5339" s="2" t="str">
        <f t="shared" si="82"/>
        <v>Error?</v>
      </c>
    </row>
    <row r="5340" spans="1:4" x14ac:dyDescent="0.2">
      <c r="A5340" s="5">
        <v>5279</v>
      </c>
      <c r="B5340" s="1832">
        <f>'Revenues 9-14'!D65</f>
        <v>112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50636</v>
      </c>
      <c r="D5354" s="2" t="str">
        <f t="shared" si="82"/>
        <v>Error?</v>
      </c>
    </row>
    <row r="5355" spans="1:4" x14ac:dyDescent="0.2">
      <c r="A5355" s="5">
        <v>5294</v>
      </c>
      <c r="B5355" s="1832">
        <f>'Revenues 9-14'!D108</f>
        <v>50636</v>
      </c>
      <c r="C5355" s="2" t="s">
        <v>569</v>
      </c>
      <c r="D5355" s="2" t="str">
        <f t="shared" si="82"/>
        <v>Error?</v>
      </c>
    </row>
    <row r="5356" spans="1:4" x14ac:dyDescent="0.2">
      <c r="A5356" s="5">
        <v>5295</v>
      </c>
      <c r="B5356" s="1832">
        <f>'Revenues 9-14'!D109</f>
        <v>159592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9832</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9832</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9832</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169424</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75038</v>
      </c>
      <c r="C5526" s="2" t="s">
        <v>569</v>
      </c>
      <c r="D5526" s="2" t="str">
        <f t="shared" si="85"/>
        <v>Error?</v>
      </c>
    </row>
    <row r="5527" spans="1:4" x14ac:dyDescent="0.2">
      <c r="A5527" s="5">
        <v>5466</v>
      </c>
      <c r="B5527" s="1832">
        <f>'Revenues 9-14'!E109</f>
        <v>75038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75038</v>
      </c>
      <c r="C5552" s="2" t="s">
        <v>569</v>
      </c>
      <c r="D5552" s="2" t="str">
        <f t="shared" si="85"/>
        <v>Error?</v>
      </c>
    </row>
    <row r="5553" spans="1:4" x14ac:dyDescent="0.2">
      <c r="A5553" s="5">
        <v>5492</v>
      </c>
      <c r="B5553" s="1832">
        <f>'Revenues 9-14'!F5</f>
        <v>18486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18486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80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14809</v>
      </c>
      <c r="D5586" s="2" t="str">
        <f t="shared" si="86"/>
        <v>Error?</v>
      </c>
    </row>
    <row r="5587" spans="1:4" x14ac:dyDescent="0.2">
      <c r="A5587" s="5">
        <v>5526</v>
      </c>
      <c r="B5587" s="1832">
        <f>'Revenues 9-14'!F108</f>
        <v>14809</v>
      </c>
      <c r="C5587" s="2" t="s">
        <v>569</v>
      </c>
      <c r="D5587" s="2" t="str">
        <f t="shared" si="86"/>
        <v>Error?</v>
      </c>
    </row>
    <row r="5588" spans="1:4" x14ac:dyDescent="0.2">
      <c r="A5588" s="5">
        <v>5527</v>
      </c>
      <c r="B5588" s="1832">
        <f>'Revenues 9-14'!F109</f>
        <v>33375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79968</v>
      </c>
      <c r="D5615" s="2" t="str">
        <f t="shared" si="86"/>
        <v>Error?</v>
      </c>
    </row>
    <row r="5616" spans="1:4" x14ac:dyDescent="0.2">
      <c r="A5616" s="10">
        <v>5555</v>
      </c>
      <c r="B5616" s="1832"/>
      <c r="D5616" s="2" t="str">
        <f t="shared" si="86"/>
        <v>OK</v>
      </c>
    </row>
    <row r="5617" spans="1:5" x14ac:dyDescent="0.2">
      <c r="A5617" s="5">
        <v>5556</v>
      </c>
      <c r="B5617" s="1832">
        <f>'Revenues 9-14'!F153</f>
        <v>10830</v>
      </c>
      <c r="D5617" s="2" t="str">
        <f t="shared" si="86"/>
        <v>Error?</v>
      </c>
    </row>
    <row r="5618" spans="1:5" x14ac:dyDescent="0.2">
      <c r="A5618" s="5">
        <v>5557</v>
      </c>
      <c r="B5618" s="1832">
        <f>'Revenues 9-14'!F155</f>
        <v>90798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7762</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98560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98560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131935</v>
      </c>
      <c r="C5720" s="2" t="s">
        <v>569</v>
      </c>
      <c r="D5720" s="2" t="str">
        <f t="shared" si="88"/>
        <v>Error?</v>
      </c>
    </row>
    <row r="5721" spans="1:4" x14ac:dyDescent="0.2">
      <c r="A5721" s="5">
        <v>5660</v>
      </c>
      <c r="B5721" s="1832">
        <f>'Revenues 9-14'!G5</f>
        <v>28477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29974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58451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143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143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58594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v>
      </c>
      <c r="C5915" s="2" t="s">
        <v>569</v>
      </c>
      <c r="D5915" s="2" t="str">
        <f t="shared" si="91"/>
        <v>Error?</v>
      </c>
    </row>
    <row r="5916" spans="1:4" x14ac:dyDescent="0.2">
      <c r="A5916" s="5">
        <v>5855</v>
      </c>
      <c r="B5916" s="1832">
        <f>'Revenues 9-14'!I5</f>
        <v>10992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10992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1725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1725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12717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v>
      </c>
      <c r="C6023" s="2" t="s">
        <v>569</v>
      </c>
      <c r="D6023" s="2" t="str">
        <f t="shared" si="93"/>
        <v>Error?</v>
      </c>
    </row>
    <row r="6024" spans="1:5" x14ac:dyDescent="0.2">
      <c r="A6024" s="5">
        <v>5963</v>
      </c>
      <c r="B6024" s="1832">
        <f>'Revenues 9-14'!G109</f>
        <v>58594</v>
      </c>
      <c r="C6024" s="2" t="s">
        <v>569</v>
      </c>
      <c r="D6024" s="2" t="str">
        <f t="shared" si="93"/>
        <v>Error?</v>
      </c>
    </row>
    <row r="6025" spans="1:5" x14ac:dyDescent="0.2">
      <c r="A6025" s="5">
        <v>5964</v>
      </c>
      <c r="B6025" s="1832">
        <f>'Revenues 9-14'!H109</f>
        <v>3</v>
      </c>
      <c r="C6025" s="2" t="s">
        <v>569</v>
      </c>
      <c r="D6025" s="2" t="str">
        <f t="shared" si="93"/>
        <v>Error?</v>
      </c>
    </row>
    <row r="6026" spans="1:5" x14ac:dyDescent="0.2">
      <c r="A6026" s="5">
        <v>5965</v>
      </c>
      <c r="B6026" s="1832">
        <f>'Revenues 9-14'!I109</f>
        <v>12717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4708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145.25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31973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31973</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31973</v>
      </c>
      <c r="D6216" s="2" t="str">
        <f t="shared" si="96"/>
        <v>Error?</v>
      </c>
      <c r="E6216" s="2" t="s">
        <v>189</v>
      </c>
    </row>
    <row r="6217" spans="1:5" x14ac:dyDescent="0.2">
      <c r="A6217">
        <v>6156</v>
      </c>
      <c r="B6217" s="1832">
        <f>'Assets-Liab 5-6'!J4</f>
        <v>31973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39349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39349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39349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33049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33049</v>
      </c>
      <c r="D6229" s="2" t="str">
        <f t="shared" si="96"/>
        <v>Error?</v>
      </c>
      <c r="E6229" s="2" t="s">
        <v>189</v>
      </c>
    </row>
    <row r="6230" spans="1:5" x14ac:dyDescent="0.2">
      <c r="A6230">
        <v>6169</v>
      </c>
      <c r="B6230" s="1832">
        <f>'Acct Summary 7-8'!J20</f>
        <v>6300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6300</v>
      </c>
      <c r="D6263" s="2" t="str">
        <f t="shared" si="96"/>
        <v>Error?</v>
      </c>
      <c r="E6263" s="2" t="s">
        <v>189</v>
      </c>
    </row>
    <row r="6264" spans="1:5" x14ac:dyDescent="0.2">
      <c r="A6264">
        <v>6203</v>
      </c>
      <c r="B6264" s="1832">
        <f>'Acct Summary 7-8'!J79</f>
        <v>25673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31973</v>
      </c>
      <c r="D6266" s="2" t="str">
        <f t="shared" si="96"/>
        <v>Error?</v>
      </c>
      <c r="E6266" s="2" t="s">
        <v>189</v>
      </c>
    </row>
    <row r="6267" spans="1:5" x14ac:dyDescent="0.2">
      <c r="A6267">
        <v>6206</v>
      </c>
      <c r="B6267" s="1832">
        <f>'Acct Summary 7-8'!C82</f>
        <v>-127576</v>
      </c>
      <c r="D6267" s="2" t="str">
        <f t="shared" si="96"/>
        <v>Error?</v>
      </c>
      <c r="E6267" s="2" t="s">
        <v>189</v>
      </c>
    </row>
    <row r="6268" spans="1:5" x14ac:dyDescent="0.2">
      <c r="A6268">
        <v>6207</v>
      </c>
      <c r="B6268" s="1832">
        <f>'Acct Summary 7-8'!D82</f>
        <v>1198</v>
      </c>
      <c r="D6268" s="2" t="str">
        <f t="shared" si="96"/>
        <v>Error?</v>
      </c>
      <c r="E6268" s="2" t="s">
        <v>189</v>
      </c>
    </row>
    <row r="6269" spans="1:5" x14ac:dyDescent="0.2">
      <c r="A6269">
        <v>6208</v>
      </c>
      <c r="B6269" s="1832">
        <f>'Acct Summary 7-8'!E82</f>
        <v>-2456</v>
      </c>
      <c r="D6269" s="2" t="str">
        <f t="shared" si="96"/>
        <v>Error?</v>
      </c>
      <c r="E6269" s="2" t="s">
        <v>189</v>
      </c>
    </row>
    <row r="6270" spans="1:5" x14ac:dyDescent="0.2">
      <c r="A6270">
        <v>6209</v>
      </c>
      <c r="B6270" s="1832">
        <f>'Acct Summary 7-8'!F82</f>
        <v>1606</v>
      </c>
      <c r="D6270" s="2" t="str">
        <f t="shared" si="96"/>
        <v>Error?</v>
      </c>
      <c r="E6270" s="2" t="s">
        <v>189</v>
      </c>
    </row>
    <row r="6271" spans="1:5" x14ac:dyDescent="0.2">
      <c r="A6271">
        <v>6210</v>
      </c>
      <c r="B6271" s="1832">
        <f>'Acct Summary 7-8'!G82</f>
        <v>4046</v>
      </c>
      <c r="D6271" s="2" t="str">
        <f t="shared" ref="D6271:D6334" si="97">IF(ISBLANK(B6271),"OK",IF(A6271-B6271=0,"OK","Error?"))</f>
        <v>Error?</v>
      </c>
      <c r="E6271" s="2" t="s">
        <v>189</v>
      </c>
    </row>
    <row r="6272" spans="1:5" x14ac:dyDescent="0.2">
      <c r="A6272">
        <v>6211</v>
      </c>
      <c r="B6272" s="1832">
        <f>'Acct Summary 7-8'!H82</f>
        <v>3</v>
      </c>
      <c r="D6272" s="2" t="str">
        <f t="shared" si="97"/>
        <v>Error?</v>
      </c>
      <c r="E6272" s="2" t="s">
        <v>189</v>
      </c>
    </row>
    <row r="6273" spans="1:5" x14ac:dyDescent="0.2">
      <c r="A6273">
        <v>6212</v>
      </c>
      <c r="B6273" s="1832">
        <f>'Acct Summary 7-8'!I82</f>
        <v>-28283</v>
      </c>
      <c r="D6273" s="2" t="str">
        <f t="shared" si="97"/>
        <v>Error?</v>
      </c>
      <c r="E6273" s="2" t="s">
        <v>189</v>
      </c>
    </row>
    <row r="6274" spans="1:5" x14ac:dyDescent="0.2">
      <c r="A6274">
        <v>6213</v>
      </c>
      <c r="B6274" s="1832">
        <f>'Acct Summary 7-8'!J82</f>
        <v>6300</v>
      </c>
      <c r="D6274" s="2" t="str">
        <f t="shared" si="97"/>
        <v>Error?</v>
      </c>
      <c r="E6274" s="2" t="s">
        <v>189</v>
      </c>
    </row>
    <row r="6275" spans="1:5" x14ac:dyDescent="0.2">
      <c r="A6275">
        <v>6214</v>
      </c>
      <c r="B6275" s="1832">
        <f>'Acct Summary 7-8'!K82</f>
        <v>1</v>
      </c>
      <c r="D6275" s="2" t="str">
        <f t="shared" si="97"/>
        <v>Error?</v>
      </c>
      <c r="E6275" s="2" t="s">
        <v>189</v>
      </c>
    </row>
    <row r="6276" spans="1:5" x14ac:dyDescent="0.2">
      <c r="A6276">
        <v>6215</v>
      </c>
      <c r="B6276" s="1832">
        <f>'Acct Summary 7-8'!C83</f>
        <v>-0.36527619903853586</v>
      </c>
      <c r="D6276" s="2" t="str">
        <f t="shared" si="97"/>
        <v>Error?</v>
      </c>
      <c r="E6276" s="2" t="s">
        <v>189</v>
      </c>
    </row>
    <row r="6277" spans="1:5" x14ac:dyDescent="0.2">
      <c r="A6277">
        <v>6216</v>
      </c>
      <c r="B6277" s="1832">
        <f>'Acct Summary 7-8'!D83</f>
        <v>3.4567331275067087E-2</v>
      </c>
      <c r="D6277" s="2" t="str">
        <f t="shared" si="97"/>
        <v>Error?</v>
      </c>
      <c r="E6277" s="2" t="s">
        <v>189</v>
      </c>
    </row>
    <row r="6278" spans="1:5" x14ac:dyDescent="0.2">
      <c r="A6278">
        <v>6217</v>
      </c>
      <c r="B6278" s="1832">
        <f>'Acct Summary 7-8'!E83</f>
        <v>-0.4118732181787691</v>
      </c>
      <c r="D6278" s="2" t="str">
        <f t="shared" si="97"/>
        <v>Error?</v>
      </c>
      <c r="E6278" s="2" t="s">
        <v>189</v>
      </c>
    </row>
    <row r="6279" spans="1:5" x14ac:dyDescent="0.2">
      <c r="A6279">
        <v>6218</v>
      </c>
      <c r="B6279" s="1832">
        <f>'Acct Summary 7-8'!F83</f>
        <v>3.2660863906288133E-2</v>
      </c>
      <c r="D6279" s="2" t="str">
        <f t="shared" si="97"/>
        <v>Error?</v>
      </c>
      <c r="E6279" s="2" t="s">
        <v>189</v>
      </c>
    </row>
    <row r="6280" spans="1:5" x14ac:dyDescent="0.2">
      <c r="A6280">
        <v>6219</v>
      </c>
      <c r="B6280" s="1832">
        <f>'Acct Summary 7-8'!G83</f>
        <v>0.15518563976679964</v>
      </c>
      <c r="D6280" s="2" t="str">
        <f t="shared" si="97"/>
        <v>Error?</v>
      </c>
      <c r="E6280" s="2" t="s">
        <v>189</v>
      </c>
    </row>
    <row r="6281" spans="1:5" x14ac:dyDescent="0.2">
      <c r="A6281">
        <v>6220</v>
      </c>
      <c r="B6281" s="1832">
        <f>'Acct Summary 7-8'!H83</f>
        <v>3.4682080924855491E-3</v>
      </c>
      <c r="D6281" s="2" t="str">
        <f t="shared" si="97"/>
        <v>Error?</v>
      </c>
      <c r="E6281" s="2" t="s">
        <v>189</v>
      </c>
    </row>
    <row r="6282" spans="1:5" x14ac:dyDescent="0.2">
      <c r="A6282">
        <v>6221</v>
      </c>
      <c r="B6282" s="1832">
        <f>'Acct Summary 7-8'!I83</f>
        <v>-0.10403593052255221</v>
      </c>
      <c r="D6282" s="2" t="str">
        <f t="shared" si="97"/>
        <v>Error?</v>
      </c>
      <c r="E6282" s="2" t="s">
        <v>189</v>
      </c>
    </row>
    <row r="6283" spans="1:5" x14ac:dyDescent="0.2">
      <c r="A6283">
        <v>6222</v>
      </c>
      <c r="B6283" s="1832">
        <f>'Acct Summary 7-8'!J83</f>
        <v>0.19704125355768931</v>
      </c>
      <c r="D6283" s="2" t="str">
        <f t="shared" si="97"/>
        <v>Error?</v>
      </c>
      <c r="E6283" s="2" t="s">
        <v>189</v>
      </c>
    </row>
    <row r="6284" spans="1:5" x14ac:dyDescent="0.2">
      <c r="A6284">
        <v>6223</v>
      </c>
      <c r="B6284" s="1832">
        <f>'Acct Summary 7-8'!K83</f>
        <v>4.048582995951417E-3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35971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35971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3364</v>
      </c>
      <c r="D6350" s="2" t="str">
        <f t="shared" si="98"/>
        <v>Error?</v>
      </c>
      <c r="E6350" s="2" t="s">
        <v>189</v>
      </c>
    </row>
    <row r="6351" spans="1:5" x14ac:dyDescent="0.2">
      <c r="A6351">
        <v>6290</v>
      </c>
      <c r="B6351" s="1832">
        <f>'Revenues 9-14'!J108</f>
        <v>3364</v>
      </c>
      <c r="D6351" s="2" t="str">
        <f t="shared" si="98"/>
        <v>Error?</v>
      </c>
      <c r="E6351" s="2" t="s">
        <v>189</v>
      </c>
    </row>
    <row r="6352" spans="1:5" x14ac:dyDescent="0.2">
      <c r="A6352">
        <v>6291</v>
      </c>
      <c r="B6352" s="1832">
        <f>'Revenues 9-14'!J109</f>
        <v>39349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66947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102468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182843</v>
      </c>
      <c r="D6983" s="2" t="str">
        <f t="shared" si="108"/>
        <v>Error?</v>
      </c>
    </row>
    <row r="6984" spans="1:4" x14ac:dyDescent="0.2">
      <c r="A6984">
        <v>6923</v>
      </c>
      <c r="B6984" s="1832">
        <f>'Expenditures 15-22'!K86</f>
        <v>182843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182843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33049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39349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2794</v>
      </c>
      <c r="D7073" s="2" t="str">
        <f t="shared" si="109"/>
        <v>Error?</v>
      </c>
    </row>
    <row r="7074" spans="1:4" x14ac:dyDescent="0.2">
      <c r="A7074">
        <v>7013</v>
      </c>
      <c r="B7074" s="1832">
        <f>'Expenditures 15-22'!K216</f>
        <v>2794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7976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7976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1843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1843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23230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23230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33049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33049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33049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33049</v>
      </c>
      <c r="D7224" s="2" t="str">
        <f t="shared" si="111"/>
        <v>Error?</v>
      </c>
    </row>
    <row r="7225" spans="1:4" x14ac:dyDescent="0.2">
      <c r="A7225">
        <v>7164</v>
      </c>
      <c r="B7225" s="1832">
        <f>'Expenditures 15-22'!K343</f>
        <v>6300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9331</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2327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23863</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106295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75038</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75038</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10992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3494</v>
      </c>
      <c r="D7724" s="2" t="str">
        <f t="shared" si="126"/>
        <v>Error?</v>
      </c>
      <c r="E7724" s="2" t="s">
        <v>822</v>
      </c>
      <c r="F7724" s="2"/>
    </row>
    <row r="7725" spans="1:6" x14ac:dyDescent="0.2">
      <c r="A7725">
        <v>7664</v>
      </c>
      <c r="B7725" s="1832">
        <f>'Rest Tax Levies-Tort Im 25'!J19</f>
        <v>71544</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75038</v>
      </c>
      <c r="D7727" s="2" t="str">
        <f t="shared" si="126"/>
        <v>Error?</v>
      </c>
      <c r="E7727" s="2" t="s">
        <v>822</v>
      </c>
    </row>
    <row r="7728" spans="1:6" x14ac:dyDescent="0.2">
      <c r="A7728">
        <v>7667</v>
      </c>
      <c r="B7728" s="1832">
        <f>'Revenues 9-14'!E103</f>
        <v>75038</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75038</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30000</v>
      </c>
      <c r="D7749" s="2" t="str">
        <f t="shared" si="127"/>
        <v>Error?</v>
      </c>
      <c r="E7749" s="4" t="s">
        <v>1322</v>
      </c>
    </row>
    <row r="7750" spans="1:6" x14ac:dyDescent="0.2">
      <c r="A7750">
        <v>7689</v>
      </c>
      <c r="B7750" s="1832">
        <f>'Acct Summary 7-8'!E25</f>
        <v>11000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522000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2354115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102468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546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490204</v>
      </c>
      <c r="D7834" s="2" t="str">
        <f t="shared" si="129"/>
        <v>Error?</v>
      </c>
      <c r="E7834" s="4" t="s">
        <v>1998</v>
      </c>
    </row>
    <row r="7835" spans="1:5" x14ac:dyDescent="0.2">
      <c r="A7835">
        <v>7774</v>
      </c>
      <c r="B7835" s="1832">
        <f>'PCTC-OEPP 27-28'!F78</f>
        <v>1863911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12832.433734939759</v>
      </c>
      <c r="D7837" s="2" t="str">
        <f t="shared" si="129"/>
        <v>Error?</v>
      </c>
      <c r="E7837" s="4" t="s">
        <v>1998</v>
      </c>
    </row>
    <row r="7838" spans="1:5" x14ac:dyDescent="0.2">
      <c r="A7838">
        <v>7777</v>
      </c>
      <c r="B7838" s="1832">
        <f>'PCTC-OEPP 27-28'!F96</f>
        <v>3140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4346</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90798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799</v>
      </c>
      <c r="D7857" s="2" t="str">
        <f t="shared" si="129"/>
        <v>Error?</v>
      </c>
      <c r="E7857" s="4" t="s">
        <v>1998</v>
      </c>
    </row>
    <row r="7858" spans="1:5" x14ac:dyDescent="0.2">
      <c r="A7858">
        <v>7797</v>
      </c>
      <c r="B7858" s="1832">
        <f>'PCTC-OEPP 27-28'!F126</f>
        <v>46405</v>
      </c>
      <c r="D7858" s="2" t="str">
        <f t="shared" si="129"/>
        <v>Error?</v>
      </c>
      <c r="E7858" s="4" t="s">
        <v>1998</v>
      </c>
    </row>
    <row r="7859" spans="1:5" x14ac:dyDescent="0.2">
      <c r="A7859">
        <v>7798</v>
      </c>
      <c r="B7859" s="1832">
        <f>'PCTC-OEPP 27-28'!F127</f>
        <v>30229</v>
      </c>
      <c r="D7859" s="2" t="str">
        <f t="shared" si="129"/>
        <v>Error?</v>
      </c>
      <c r="E7859" s="4" t="s">
        <v>1998</v>
      </c>
    </row>
    <row r="7860" spans="1:5" x14ac:dyDescent="0.2">
      <c r="A7860">
        <v>7799</v>
      </c>
      <c r="B7860" s="1832">
        <f>'PCTC-OEPP 27-28'!F128</f>
        <v>5888</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2084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8507</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11459</v>
      </c>
      <c r="D7876" s="2" t="str">
        <f t="shared" si="129"/>
        <v>Error?</v>
      </c>
      <c r="E7876" s="4" t="s">
        <v>1998</v>
      </c>
    </row>
    <row r="7877" spans="1:5" x14ac:dyDescent="0.2">
      <c r="A7877">
        <v>7816</v>
      </c>
      <c r="B7877" s="1832">
        <f>'PCTC-OEPP 27-28'!F175</f>
        <v>210890</v>
      </c>
      <c r="D7877" s="2" t="str">
        <f t="shared" si="129"/>
        <v>Error?</v>
      </c>
      <c r="E7877" s="4" t="s">
        <v>1998</v>
      </c>
    </row>
    <row r="7878" spans="1:5" x14ac:dyDescent="0.2">
      <c r="A7878">
        <v>7817</v>
      </c>
      <c r="B7878" s="1832">
        <f>'PCTC-OEPP 27-28'!F176</f>
        <v>1653021</v>
      </c>
      <c r="D7878" s="2" t="str">
        <f t="shared" si="129"/>
        <v>Error?</v>
      </c>
      <c r="E7878" s="4" t="s">
        <v>1998</v>
      </c>
    </row>
    <row r="7879" spans="1:5" x14ac:dyDescent="0.2">
      <c r="A7879">
        <v>7818</v>
      </c>
      <c r="B7879" s="1832">
        <f>'PCTC-OEPP 27-28'!F178</f>
        <v>1759316</v>
      </c>
      <c r="D7879" s="2" t="str">
        <f t="shared" si="129"/>
        <v>Error?</v>
      </c>
      <c r="E7879" s="4" t="s">
        <v>1998</v>
      </c>
    </row>
    <row r="7880" spans="1:5" x14ac:dyDescent="0.2">
      <c r="A7880">
        <v>7819</v>
      </c>
      <c r="B7880" s="1832">
        <f>'PCTC-OEPP 27-28'!F180</f>
        <v>12112.330464716008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Odell CCSD 435</v>
      </c>
      <c r="B7" s="2516"/>
      <c r="C7" s="2516"/>
      <c r="D7" s="2554"/>
      <c r="E7" s="2555">
        <f>COVER!A13</f>
        <v>17053435004</v>
      </c>
      <c r="F7" s="2556"/>
      <c r="G7" s="2522" t="str">
        <f>COVER!T23</f>
        <v>066-005100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Mack &amp; Associates, P.C.</v>
      </c>
      <c r="H9" s="2529"/>
      <c r="I9" s="2529"/>
      <c r="J9" s="2529"/>
      <c r="K9" s="2529"/>
      <c r="L9" s="2530"/>
    </row>
    <row r="10" spans="1:29" ht="13.5" customHeight="1" x14ac:dyDescent="0.2">
      <c r="A10" s="2512" t="str">
        <f>COVER!A38</f>
        <v>Mark Hettmansberger</v>
      </c>
      <c r="B10" s="2513"/>
      <c r="C10" s="2513"/>
      <c r="D10" s="2513"/>
      <c r="E10" s="2513"/>
      <c r="F10" s="2514"/>
      <c r="G10" s="2528" t="str">
        <f>COVER!T17</f>
        <v>116 E. Washington St., Suite One</v>
      </c>
      <c r="H10" s="2541"/>
      <c r="I10" s="2541"/>
      <c r="J10" s="2541"/>
      <c r="K10" s="2541"/>
      <c r="L10" s="2542"/>
    </row>
    <row r="11" spans="1:29" ht="13.5" customHeight="1" x14ac:dyDescent="0.2">
      <c r="A11" s="963" t="s">
        <v>1502</v>
      </c>
      <c r="B11" s="964"/>
      <c r="C11" s="965"/>
      <c r="D11" s="970"/>
      <c r="E11" s="965"/>
      <c r="F11" s="969"/>
      <c r="G11" s="2528" t="str">
        <f>COVER!T19</f>
        <v>Morris</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f>COVER!T25</f>
        <v>0</v>
      </c>
      <c r="J13" s="2550"/>
      <c r="K13" s="2550"/>
      <c r="L13" s="2551"/>
    </row>
    <row r="14" spans="1:29" ht="13.5" customHeight="1" x14ac:dyDescent="0.2">
      <c r="A14" s="2528" t="str">
        <f>COVER!A19</f>
        <v>2032 N. East Street</v>
      </c>
      <c r="B14" s="2541"/>
      <c r="C14" s="2541"/>
      <c r="D14" s="2541"/>
      <c r="E14" s="2541"/>
      <c r="F14" s="2542"/>
      <c r="G14" s="974" t="s">
        <v>1175</v>
      </c>
      <c r="H14" s="972"/>
      <c r="I14" s="972"/>
      <c r="J14" s="972"/>
      <c r="K14" s="972"/>
      <c r="L14" s="973"/>
    </row>
    <row r="15" spans="1:29" ht="13.5" customHeight="1" x14ac:dyDescent="0.2">
      <c r="A15" s="2528" t="str">
        <f>COVER!A21</f>
        <v>Odell Community Consolidated Grade School</v>
      </c>
      <c r="B15" s="2541"/>
      <c r="C15" s="2541"/>
      <c r="D15" s="2541"/>
      <c r="E15" s="2541"/>
      <c r="F15" s="2542"/>
      <c r="G15" s="2538" t="str">
        <f>COVER!T15</f>
        <v>Tawnya R. Mack, CPA</v>
      </c>
      <c r="H15" s="2539"/>
      <c r="I15" s="2539"/>
      <c r="J15" s="2539"/>
      <c r="K15" s="2539"/>
      <c r="L15" s="2540"/>
    </row>
    <row r="16" spans="1:29" ht="12.2" customHeight="1" x14ac:dyDescent="0.2">
      <c r="A16" s="2518">
        <f>COVER!A25</f>
        <v>60460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815-942-3306</v>
      </c>
      <c r="H18" s="2516"/>
      <c r="I18" s="2516"/>
      <c r="J18" s="2516"/>
      <c r="K18" s="2515" t="str">
        <f>COVER!X21</f>
        <v>815-942-9430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Odell CCSD 435</v>
      </c>
      <c r="B1" s="2558"/>
      <c r="C1" s="2558"/>
      <c r="D1" s="2558"/>
    </row>
    <row r="2" spans="1:11" s="991" customFormat="1" ht="12.75" x14ac:dyDescent="0.2">
      <c r="A2" s="2559">
        <f>'Single Audit Cover'!E7</f>
        <v>17053435004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Odell CCSD 435</v>
      </c>
      <c r="B1" s="2562"/>
      <c r="C1" s="2562"/>
      <c r="D1" s="2562"/>
      <c r="E1" s="2562"/>
    </row>
    <row r="2" spans="1:5" x14ac:dyDescent="0.2">
      <c r="A2" s="2563">
        <f>'Single Audit Cover'!E7</f>
        <v>17053435004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105371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105371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105371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105371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Odell CCSD 435</v>
      </c>
      <c r="C1" s="2566"/>
      <c r="D1" s="2566"/>
      <c r="E1" s="2566"/>
      <c r="F1" s="2566"/>
      <c r="G1" s="2566"/>
      <c r="H1" s="2566"/>
      <c r="I1" s="2566"/>
      <c r="J1" s="2566"/>
      <c r="K1" s="2566"/>
      <c r="L1" s="2566"/>
      <c r="M1" s="2566"/>
    </row>
    <row r="2" spans="2:14" ht="15" x14ac:dyDescent="0.2">
      <c r="B2" s="2567">
        <f>'Single Audit Cover'!E7</f>
        <v>17053435004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Odell CCSD 435</v>
      </c>
      <c r="B1" s="2571"/>
      <c r="C1" s="2571"/>
      <c r="D1" s="2571"/>
      <c r="E1" s="2571"/>
      <c r="F1" s="2571"/>
    </row>
    <row r="2" spans="1:7" ht="13.5" customHeight="1" x14ac:dyDescent="0.2">
      <c r="A2" s="2567">
        <f>'Single Audit Cover'!E7</f>
        <v>17053435004</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F79" sqref="F7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36526</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2060</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2067</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Odell CCSD 435</v>
      </c>
      <c r="C1" s="2587"/>
      <c r="D1" s="2587"/>
      <c r="E1" s="2587"/>
      <c r="F1" s="2587"/>
      <c r="G1" s="2587"/>
      <c r="H1" s="2587"/>
      <c r="I1" s="2587"/>
      <c r="J1" s="1178"/>
    </row>
    <row r="2" spans="2:10" s="295" customFormat="1" ht="12.75" customHeight="1" x14ac:dyDescent="0.2">
      <c r="B2" s="2588">
        <f>'Single Audit Cover'!E7</f>
        <v>17053435004</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Odell CCSD 435</v>
      </c>
      <c r="C1" s="2586"/>
      <c r="D1" s="2586"/>
      <c r="E1" s="2586"/>
      <c r="F1" s="2586"/>
      <c r="G1" s="2586"/>
      <c r="H1" s="2586"/>
      <c r="I1" s="2586"/>
      <c r="J1" s="2586"/>
      <c r="K1" s="2586"/>
      <c r="L1" s="1144"/>
      <c r="M1" s="1144"/>
    </row>
    <row r="2" spans="1:13" ht="12" customHeight="1" x14ac:dyDescent="0.2">
      <c r="B2" s="2588">
        <f>'Single Audit Cover'!E7</f>
        <v>17053435004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Odell CCSD 435</v>
      </c>
      <c r="C1" s="2613"/>
      <c r="D1" s="2613"/>
      <c r="E1" s="2613"/>
      <c r="F1" s="2613"/>
      <c r="G1" s="2613"/>
      <c r="H1" s="2613"/>
      <c r="I1" s="2613"/>
      <c r="J1" s="2613"/>
      <c r="K1" s="2613"/>
      <c r="L1" s="1221"/>
    </row>
    <row r="2" spans="1:12" ht="12.75" customHeight="1" x14ac:dyDescent="0.2">
      <c r="B2" s="2614">
        <f>'Single Audit Cover'!E7</f>
        <v>17053435004</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Odell CCSD 435</v>
      </c>
      <c r="C1" s="2586"/>
      <c r="D1" s="2586"/>
      <c r="E1" s="1240"/>
    </row>
    <row r="2" spans="2:5" s="1058" customFormat="1" ht="12.75" customHeight="1" x14ac:dyDescent="0.2">
      <c r="B2" s="2588">
        <f>'Single Audit Cover'!E7</f>
        <v>17053435004</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32132635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2.3650000000000001E-2</v>
      </c>
      <c r="E10" s="333" t="s">
        <v>998</v>
      </c>
      <c r="F10" s="332">
        <v>3.6709999999999998E-3</v>
      </c>
      <c r="G10" s="333" t="s">
        <v>998</v>
      </c>
      <c r="H10" s="332">
        <v>5.7600000000000001E-4</v>
      </c>
      <c r="I10" s="333" t="s">
        <v>999</v>
      </c>
      <c r="J10" s="1424">
        <f>ROUND(D10+F10+H10,5)</f>
        <v>2.7900000000000001E-2</v>
      </c>
      <c r="K10" s="217"/>
      <c r="L10" s="332">
        <v>3.4200000000000002E-4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2035969</v>
      </c>
      <c r="E16" s="1547"/>
      <c r="F16" s="1546">
        <f>SUM('Acct Summary 7-8'!C17,'Acct Summary 7-8'!D17,'Acct Summary 7-8'!F17)</f>
        <v>2178024</v>
      </c>
      <c r="G16" s="1547"/>
      <c r="H16" s="1546">
        <f>SUM(D16-F16)</f>
        <v>-142055</v>
      </c>
      <c r="I16" s="1548"/>
      <c r="J16" s="1546">
        <f>SUM('Acct Summary 7-8'!C81,'Acct Summary 7-8'!D81,'Acct Summary 7-8'!F81,'Acct Summary 7-8'!I81)</f>
        <v>704946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2217151.8150000004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Odell CCSD 435</v>
      </c>
      <c r="E7" s="368"/>
      <c r="G7" s="247"/>
      <c r="H7" s="364"/>
      <c r="I7" s="364"/>
      <c r="J7" s="364"/>
      <c r="K7" s="364"/>
      <c r="L7" s="307"/>
      <c r="M7" s="307"/>
      <c r="N7" s="307"/>
      <c r="O7" s="307"/>
      <c r="P7" s="307"/>
    </row>
    <row r="8" spans="1:18" ht="12.75" x14ac:dyDescent="0.2">
      <c r="A8" s="307"/>
      <c r="B8" s="307"/>
      <c r="C8" s="366" t="s">
        <v>1115</v>
      </c>
      <c r="D8" s="369">
        <f>COVER!A13</f>
        <v>17053435004</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704946</v>
      </c>
      <c r="I12" s="380"/>
      <c r="J12" s="380"/>
      <c r="K12" s="1559">
        <f>TRUNC((H12/H13*100000),5)/100000</f>
        <v>0.34624593979999996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2035969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2178024</v>
      </c>
      <c r="I17" s="380"/>
      <c r="J17" s="389"/>
      <c r="K17" s="1559">
        <f>TRUNC((H17/H18*100000),5)/100000</f>
        <v>1.0697726732999999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2035969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3.5292604000000001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704946</v>
      </c>
      <c r="I24" s="394"/>
      <c r="J24" s="394"/>
      <c r="K24" s="1555">
        <f>TRUNC(((H24/H25*100000)/100000),2)</f>
        <v>116.51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6050.0666700000002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762025.43903000001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65000</v>
      </c>
      <c r="I32" s="392"/>
      <c r="J32" s="392"/>
      <c r="K32" s="1555">
        <f>TRUNC(100-((((H32/H33*100))*100)/100),2)</f>
        <v>97.06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2217151.8150000004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0" activePane="bottomLeft" state="frozen"/>
      <selection pane="bottomLeft" activeCell="C38" sqref="C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349259</v>
      </c>
      <c r="D4" s="1573">
        <v>34657</v>
      </c>
      <c r="E4" s="1573">
        <v>5963</v>
      </c>
      <c r="F4" s="1573">
        <v>49172</v>
      </c>
      <c r="G4" s="1573">
        <v>26072</v>
      </c>
      <c r="H4" s="1573">
        <v>865</v>
      </c>
      <c r="I4" s="1573">
        <v>271858</v>
      </c>
      <c r="J4" s="1574">
        <v>31973</v>
      </c>
      <c r="K4" s="1573">
        <v>247</v>
      </c>
      <c r="L4" s="1573">
        <v>15995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349259</v>
      </c>
      <c r="D13" s="1587">
        <f t="shared" ref="D13:L13" si="0">SUM(D4:D12)</f>
        <v>34657</v>
      </c>
      <c r="E13" s="1587">
        <f t="shared" si="0"/>
        <v>5963</v>
      </c>
      <c r="F13" s="1587">
        <f t="shared" si="0"/>
        <v>49172</v>
      </c>
      <c r="G13" s="1587">
        <f t="shared" si="0"/>
        <v>26072</v>
      </c>
      <c r="H13" s="1587">
        <f t="shared" si="0"/>
        <v>865</v>
      </c>
      <c r="I13" s="1587">
        <f t="shared" si="0"/>
        <v>271858</v>
      </c>
      <c r="J13" s="1587">
        <f t="shared" si="0"/>
        <v>31973</v>
      </c>
      <c r="K13" s="1587">
        <f t="shared" si="0"/>
        <v>247</v>
      </c>
      <c r="L13" s="1587">
        <f t="shared" si="0"/>
        <v>15995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61564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1725915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17195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28601+74919</f>
        <v>103520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5963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59037</v>
      </c>
    </row>
    <row r="23" spans="1:14" ht="13.5" customHeight="1" thickBot="1" x14ac:dyDescent="0.25">
      <c r="A23" s="1426" t="s">
        <v>638</v>
      </c>
      <c r="B23" s="1429"/>
      <c r="C23" s="1575"/>
      <c r="D23" s="1575"/>
      <c r="E23" s="1575"/>
      <c r="F23" s="1575"/>
      <c r="G23" s="1575"/>
      <c r="H23" s="1575"/>
      <c r="I23" s="1575"/>
      <c r="J23" s="1575"/>
      <c r="K23" s="1575"/>
      <c r="L23" s="1575"/>
      <c r="M23" s="1594">
        <f>SUM(M15:M22)</f>
        <v>1908194</v>
      </c>
      <c r="N23" s="1594">
        <f>SUM(N21:N22)</f>
        <v>65000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15995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15995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65000</v>
      </c>
    </row>
    <row r="37" spans="1:14" ht="13.5" thickBot="1" x14ac:dyDescent="0.25">
      <c r="A37" s="1426" t="s">
        <v>648</v>
      </c>
      <c r="B37" s="1429"/>
      <c r="C37" s="1582"/>
      <c r="D37" s="1582"/>
      <c r="E37" s="1582"/>
      <c r="F37" s="1582"/>
      <c r="G37" s="1582"/>
      <c r="H37" s="1582"/>
      <c r="I37" s="1582"/>
      <c r="J37" s="1582"/>
      <c r="K37" s="1582"/>
      <c r="L37" s="1585"/>
      <c r="M37" s="1575"/>
      <c r="N37" s="1594">
        <f>SUM(N36:N36)</f>
        <v>65000</v>
      </c>
    </row>
    <row r="38" spans="1:14" s="307" customFormat="1" ht="13.5" customHeight="1" thickTop="1" x14ac:dyDescent="0.2">
      <c r="A38" s="438" t="s">
        <v>417</v>
      </c>
      <c r="B38" s="432">
        <v>714</v>
      </c>
      <c r="C38" s="1573">
        <v>139107</v>
      </c>
      <c r="D38" s="1573"/>
      <c r="E38" s="1573"/>
      <c r="F38" s="1573"/>
      <c r="G38" s="1573">
        <v>26072</v>
      </c>
      <c r="H38" s="1573">
        <v>865</v>
      </c>
      <c r="I38" s="1573">
        <v>271858</v>
      </c>
      <c r="J38" s="1574">
        <v>31973</v>
      </c>
      <c r="K38" s="1573">
        <v>247</v>
      </c>
      <c r="L38" s="1586"/>
      <c r="M38" s="1604"/>
      <c r="N38" s="1604"/>
    </row>
    <row r="39" spans="1:14" s="307" customFormat="1" ht="13.5" customHeight="1" x14ac:dyDescent="0.2">
      <c r="A39" s="438" t="s">
        <v>339</v>
      </c>
      <c r="B39" s="432">
        <v>730</v>
      </c>
      <c r="C39" s="1573">
        <v>210152</v>
      </c>
      <c r="D39" s="1573">
        <v>34657</v>
      </c>
      <c r="E39" s="1573">
        <v>5963</v>
      </c>
      <c r="F39" s="1573">
        <v>49172</v>
      </c>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1908194</v>
      </c>
      <c r="N40" s="1604"/>
    </row>
    <row r="41" spans="1:14" ht="13.5" customHeight="1" thickBot="1" x14ac:dyDescent="0.25">
      <c r="A41" s="1426" t="s">
        <v>650</v>
      </c>
      <c r="B41" s="1405"/>
      <c r="C41" s="1594">
        <f>(SUM(C34,C37,C38,C39))</f>
        <v>349259</v>
      </c>
      <c r="D41" s="1594">
        <f t="shared" ref="D41:L41" si="2">SUM(D34,D37,D38:D39)</f>
        <v>34657</v>
      </c>
      <c r="E41" s="1594">
        <f t="shared" si="2"/>
        <v>5963</v>
      </c>
      <c r="F41" s="1594">
        <f t="shared" si="2"/>
        <v>49172</v>
      </c>
      <c r="G41" s="1594">
        <f t="shared" si="2"/>
        <v>26072</v>
      </c>
      <c r="H41" s="1594">
        <f t="shared" si="2"/>
        <v>865</v>
      </c>
      <c r="I41" s="1594">
        <f t="shared" si="2"/>
        <v>271858</v>
      </c>
      <c r="J41" s="1594">
        <f t="shared" si="2"/>
        <v>31973</v>
      </c>
      <c r="K41" s="1594">
        <f t="shared" si="2"/>
        <v>247</v>
      </c>
      <c r="L41" s="1594">
        <f t="shared" si="2"/>
        <v>15995</v>
      </c>
      <c r="M41" s="1594">
        <f>SUM(M40)</f>
        <v>1908194</v>
      </c>
      <c r="N41" s="1594">
        <f>SUM(N37)</f>
        <v>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1037134</v>
      </c>
      <c r="D4" s="1606">
        <f>'Revenues 9-14'!D109</f>
        <v>159592</v>
      </c>
      <c r="E4" s="1606">
        <f>'Revenues 9-14'!E109</f>
        <v>75038</v>
      </c>
      <c r="F4" s="1606">
        <f>'Revenues 9-14'!F109</f>
        <v>33375</v>
      </c>
      <c r="G4" s="1606">
        <f>'Revenues 9-14'!G109</f>
        <v>58594</v>
      </c>
      <c r="H4" s="1606">
        <f>'Revenues 9-14'!H109</f>
        <v>3</v>
      </c>
      <c r="I4" s="1606">
        <f>'Revenues 9-14'!I109</f>
        <v>12717</v>
      </c>
      <c r="J4" s="1606">
        <f>'Revenues 9-14'!J109</f>
        <v>39349</v>
      </c>
      <c r="K4" s="1606">
        <f>'Revenues 9-14'!K109</f>
        <v>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579388</v>
      </c>
      <c r="D6" s="1607">
        <f>'Revenues 9-14'!D170</f>
        <v>9832</v>
      </c>
      <c r="E6" s="1607">
        <f>'Revenues 9-14'!E170</f>
        <v>0</v>
      </c>
      <c r="F6" s="1607">
        <f>'Revenues 9-14'!F170</f>
        <v>98560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105371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1721893</v>
      </c>
      <c r="D8" s="1594">
        <f t="shared" ref="D8:K8" si="0">SUM(D4:D7)</f>
        <v>169424</v>
      </c>
      <c r="E8" s="1594">
        <f t="shared" si="0"/>
        <v>75038</v>
      </c>
      <c r="F8" s="1594">
        <f t="shared" si="0"/>
        <v>131935</v>
      </c>
      <c r="G8" s="1594">
        <f t="shared" si="0"/>
        <v>58594</v>
      </c>
      <c r="H8" s="1594">
        <f t="shared" si="0"/>
        <v>3</v>
      </c>
      <c r="I8" s="1594">
        <f t="shared" si="0"/>
        <v>12717</v>
      </c>
      <c r="J8" s="1594">
        <f t="shared" si="0"/>
        <v>39349</v>
      </c>
      <c r="K8" s="1594">
        <f t="shared" si="0"/>
        <v>1</v>
      </c>
      <c r="L8" s="325"/>
    </row>
    <row r="9" spans="1:13" ht="15.75" thickTop="1" x14ac:dyDescent="0.2">
      <c r="A9" s="449" t="s">
        <v>1634</v>
      </c>
      <c r="B9" s="450">
        <v>3998</v>
      </c>
      <c r="C9" s="1586">
        <v>103888</v>
      </c>
      <c r="D9" s="1613"/>
      <c r="E9" s="1586"/>
      <c r="F9" s="1586"/>
      <c r="G9" s="1614"/>
      <c r="H9" s="1586"/>
      <c r="I9" s="1609" t="s">
        <v>1159</v>
      </c>
      <c r="J9" s="1583"/>
      <c r="K9" s="1586"/>
      <c r="L9" s="325"/>
    </row>
    <row r="10" spans="1:13" s="452" customFormat="1" ht="13.5" thickBot="1" x14ac:dyDescent="0.25">
      <c r="A10" s="1426" t="s">
        <v>1163</v>
      </c>
      <c r="B10" s="1407"/>
      <c r="C10" s="1594">
        <f>SUM(C8:C9)</f>
        <v>1825781</v>
      </c>
      <c r="D10" s="1594">
        <f t="shared" ref="D10:K10" si="1">SUM(D8:D9)</f>
        <v>169424</v>
      </c>
      <c r="E10" s="1594">
        <f t="shared" si="1"/>
        <v>75038</v>
      </c>
      <c r="F10" s="1594">
        <f t="shared" si="1"/>
        <v>131935</v>
      </c>
      <c r="G10" s="1594">
        <f t="shared" si="1"/>
        <v>58594</v>
      </c>
      <c r="H10" s="1594">
        <f t="shared" si="1"/>
        <v>3</v>
      </c>
      <c r="I10" s="1594">
        <f t="shared" si="1"/>
        <v>12717</v>
      </c>
      <c r="J10" s="1594">
        <f t="shared" si="1"/>
        <v>39349</v>
      </c>
      <c r="K10" s="1594">
        <f t="shared" si="1"/>
        <v>1</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1089735</v>
      </c>
      <c r="D12" s="1616" t="s">
        <v>1159</v>
      </c>
      <c r="E12" s="1575" t="s">
        <v>1159</v>
      </c>
      <c r="F12" s="1575" t="s">
        <v>1159</v>
      </c>
      <c r="G12" s="1606">
        <f>'Expenditures 15-22'!K229</f>
        <v>20947</v>
      </c>
      <c r="H12" s="1617"/>
      <c r="I12" s="1575" t="s">
        <v>1159</v>
      </c>
      <c r="J12" s="1575" t="s">
        <v>1159</v>
      </c>
      <c r="K12" s="1617" t="s">
        <v>1159</v>
      </c>
      <c r="L12" s="325"/>
    </row>
    <row r="13" spans="1:13" ht="15.75" customHeight="1" x14ac:dyDescent="0.2">
      <c r="A13" s="1314" t="s">
        <v>454</v>
      </c>
      <c r="B13" s="1316">
        <v>2000</v>
      </c>
      <c r="C13" s="1607">
        <f>'Expenditures 15-22'!K74</f>
        <v>503815</v>
      </c>
      <c r="D13" s="1607">
        <f>'Expenditures 15-22'!K129</f>
        <v>198226</v>
      </c>
      <c r="E13" s="1576" t="s">
        <v>1159</v>
      </c>
      <c r="F13" s="1607">
        <f>'Expenditures 15-22'!K184</f>
        <v>130329</v>
      </c>
      <c r="G13" s="1607">
        <f>'Expenditures 15-22'!K279</f>
        <v>33601</v>
      </c>
      <c r="H13" s="1607">
        <f>'Expenditures 15-22'!K303</f>
        <v>0</v>
      </c>
      <c r="I13" s="1575" t="s">
        <v>1159</v>
      </c>
      <c r="J13" s="1607">
        <f>'Expenditures 15-22'!K330</f>
        <v>33049</v>
      </c>
      <c r="K13" s="1618">
        <f>'Expenditures 15-22'!K352</f>
        <v>0</v>
      </c>
      <c r="L13" s="325"/>
    </row>
    <row r="14" spans="1:13" ht="15.75" customHeight="1" x14ac:dyDescent="0.2">
      <c r="A14" s="1314" t="s">
        <v>446</v>
      </c>
      <c r="B14" s="1316">
        <v>3000</v>
      </c>
      <c r="C14" s="1607">
        <f>'Expenditures 15-22'!K75</f>
        <v>546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255373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88494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1849469</v>
      </c>
      <c r="D17" s="1594">
        <f t="shared" si="2"/>
        <v>198226</v>
      </c>
      <c r="E17" s="1594">
        <f t="shared" si="2"/>
        <v>88494</v>
      </c>
      <c r="F17" s="1594">
        <f t="shared" si="2"/>
        <v>130329</v>
      </c>
      <c r="G17" s="1594">
        <f t="shared" si="2"/>
        <v>54548</v>
      </c>
      <c r="H17" s="1594">
        <f t="shared" si="2"/>
        <v>0</v>
      </c>
      <c r="I17" s="1575"/>
      <c r="J17" s="1594">
        <f>SUM(J12:J16)</f>
        <v>33049</v>
      </c>
      <c r="K17" s="1594">
        <f>SUM(K12:K16)</f>
        <v>0</v>
      </c>
      <c r="L17" s="325"/>
    </row>
    <row r="18" spans="1:12" ht="15" customHeight="1" thickTop="1" x14ac:dyDescent="0.2">
      <c r="A18" s="1430" t="s">
        <v>1635</v>
      </c>
      <c r="B18" s="1431">
        <v>4180</v>
      </c>
      <c r="C18" s="1606">
        <f t="shared" ref="C18:H18" si="3">C9</f>
        <v>103888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1953357</v>
      </c>
      <c r="D19" s="1594">
        <f t="shared" si="4"/>
        <v>198226</v>
      </c>
      <c r="E19" s="1594">
        <f t="shared" si="4"/>
        <v>88494</v>
      </c>
      <c r="F19" s="1594">
        <f t="shared" si="4"/>
        <v>130329</v>
      </c>
      <c r="G19" s="1594">
        <f t="shared" si="4"/>
        <v>54548</v>
      </c>
      <c r="H19" s="1594">
        <f t="shared" si="4"/>
        <v>0</v>
      </c>
      <c r="I19" s="1575"/>
      <c r="J19" s="1594">
        <f>SUM(J17:J18)</f>
        <v>33049</v>
      </c>
      <c r="K19" s="1594">
        <f>SUM(K17:K18)</f>
        <v>0</v>
      </c>
      <c r="L19" s="325"/>
    </row>
    <row r="20" spans="1:12" ht="16.5" thickTop="1" thickBot="1" x14ac:dyDescent="0.25">
      <c r="A20" s="2231" t="s">
        <v>1636</v>
      </c>
      <c r="B20" s="2232"/>
      <c r="C20" s="1622">
        <f>C8-C17</f>
        <v>-127576</v>
      </c>
      <c r="D20" s="1622">
        <f t="shared" ref="D20:K20" si="5">D8-D17</f>
        <v>-28802</v>
      </c>
      <c r="E20" s="1622">
        <f t="shared" si="5"/>
        <v>-13456</v>
      </c>
      <c r="F20" s="1622">
        <f t="shared" si="5"/>
        <v>1606</v>
      </c>
      <c r="G20" s="1622">
        <f t="shared" si="5"/>
        <v>4046</v>
      </c>
      <c r="H20" s="1622">
        <f t="shared" si="5"/>
        <v>3</v>
      </c>
      <c r="I20" s="1622">
        <f t="shared" si="5"/>
        <v>12717</v>
      </c>
      <c r="J20" s="1622">
        <f t="shared" si="5"/>
        <v>6300</v>
      </c>
      <c r="K20" s="1622">
        <f t="shared" si="5"/>
        <v>1</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30000</v>
      </c>
      <c r="E25" s="1574">
        <v>11000</v>
      </c>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30000</v>
      </c>
      <c r="E44" s="1624">
        <f t="shared" si="6"/>
        <v>11000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41000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41000</v>
      </c>
      <c r="J76" s="1624">
        <f t="shared" si="7"/>
        <v>0</v>
      </c>
      <c r="K76" s="1624">
        <f t="shared" si="7"/>
        <v>0</v>
      </c>
      <c r="L76" s="453"/>
    </row>
    <row r="77" spans="1:12" ht="14.25" thickTop="1" thickBot="1" x14ac:dyDescent="0.25">
      <c r="A77" s="2223" t="s">
        <v>1167</v>
      </c>
      <c r="B77" s="2224"/>
      <c r="C77" s="1624">
        <f t="shared" ref="C77:K77" si="8">C44-C76</f>
        <v>0</v>
      </c>
      <c r="D77" s="1624">
        <f t="shared" si="8"/>
        <v>30000</v>
      </c>
      <c r="E77" s="1624">
        <f t="shared" si="8"/>
        <v>11000</v>
      </c>
      <c r="F77" s="1624">
        <f t="shared" si="8"/>
        <v>0</v>
      </c>
      <c r="G77" s="1624">
        <f t="shared" si="8"/>
        <v>0</v>
      </c>
      <c r="H77" s="1624">
        <f t="shared" si="8"/>
        <v>0</v>
      </c>
      <c r="I77" s="1624">
        <f t="shared" si="8"/>
        <v>-41000</v>
      </c>
      <c r="J77" s="1624">
        <f t="shared" si="8"/>
        <v>0</v>
      </c>
      <c r="K77" s="1624">
        <f t="shared" si="8"/>
        <v>0</v>
      </c>
      <c r="L77" s="325"/>
    </row>
    <row r="78" spans="1:12" ht="21.75" customHeight="1" thickTop="1" thickBot="1" x14ac:dyDescent="0.25">
      <c r="A78" s="2227" t="s">
        <v>593</v>
      </c>
      <c r="B78" s="2228"/>
      <c r="C78" s="1629">
        <f t="shared" ref="C78:K78" si="9">C20+C77</f>
        <v>-127576</v>
      </c>
      <c r="D78" s="1629">
        <f t="shared" si="9"/>
        <v>1198</v>
      </c>
      <c r="E78" s="1629">
        <f t="shared" si="9"/>
        <v>-2456</v>
      </c>
      <c r="F78" s="1629">
        <f t="shared" si="9"/>
        <v>1606</v>
      </c>
      <c r="G78" s="1629">
        <f t="shared" si="9"/>
        <v>4046</v>
      </c>
      <c r="H78" s="1629">
        <f t="shared" si="9"/>
        <v>3</v>
      </c>
      <c r="I78" s="1629">
        <f t="shared" si="9"/>
        <v>-28283</v>
      </c>
      <c r="J78" s="1629">
        <f t="shared" si="9"/>
        <v>6300</v>
      </c>
      <c r="K78" s="1629">
        <f t="shared" si="9"/>
        <v>1</v>
      </c>
      <c r="L78" s="457"/>
    </row>
    <row r="79" spans="1:12" ht="13.5" thickTop="1" x14ac:dyDescent="0.2">
      <c r="A79" s="1844" t="str">
        <f>"Fund Balances - July 1, "&amp;'AFR20'!E2-1</f>
        <v>Fund Balances - July 1, 2019</v>
      </c>
      <c r="B79" s="458"/>
      <c r="C79" s="1583">
        <v>476835</v>
      </c>
      <c r="D79" s="1630">
        <v>33459</v>
      </c>
      <c r="E79" s="1630">
        <v>8419</v>
      </c>
      <c r="F79" s="1630">
        <v>47566</v>
      </c>
      <c r="G79" s="1630">
        <v>22026</v>
      </c>
      <c r="H79" s="1630">
        <v>862</v>
      </c>
      <c r="I79" s="1630">
        <v>300141</v>
      </c>
      <c r="J79" s="1630">
        <v>25673</v>
      </c>
      <c r="K79" s="1630">
        <v>246</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349259</v>
      </c>
      <c r="D81" s="1594">
        <f>SUM(D78:D80)</f>
        <v>34657</v>
      </c>
      <c r="E81" s="1594">
        <f t="shared" ref="E81:K81" si="10">SUM(E78:E80)</f>
        <v>5963</v>
      </c>
      <c r="F81" s="1594">
        <f t="shared" si="10"/>
        <v>49172</v>
      </c>
      <c r="G81" s="1594">
        <f t="shared" si="10"/>
        <v>26072</v>
      </c>
      <c r="H81" s="1594">
        <f t="shared" si="10"/>
        <v>865</v>
      </c>
      <c r="I81" s="1594">
        <f t="shared" si="10"/>
        <v>271858</v>
      </c>
      <c r="J81" s="1594">
        <f t="shared" si="10"/>
        <v>31973</v>
      </c>
      <c r="K81" s="1594">
        <f t="shared" si="10"/>
        <v>247</v>
      </c>
      <c r="L81" s="325"/>
    </row>
    <row r="82" spans="1:12" ht="0.75" customHeight="1" thickTop="1" thickBot="1" x14ac:dyDescent="0.25">
      <c r="A82" s="459" t="s">
        <v>340</v>
      </c>
      <c r="B82" s="460"/>
      <c r="C82" s="461">
        <f>(C81-C79)</f>
        <v>-127576</v>
      </c>
      <c r="D82" s="461">
        <f t="shared" ref="D82:K82" si="11">(D81-D79)</f>
        <v>1198</v>
      </c>
      <c r="E82" s="461">
        <f t="shared" si="11"/>
        <v>-2456</v>
      </c>
      <c r="F82" s="461">
        <f t="shared" si="11"/>
        <v>1606</v>
      </c>
      <c r="G82" s="461">
        <f t="shared" si="11"/>
        <v>4046</v>
      </c>
      <c r="H82" s="461">
        <f t="shared" si="11"/>
        <v>3</v>
      </c>
      <c r="I82" s="461">
        <f t="shared" si="11"/>
        <v>-28283</v>
      </c>
      <c r="J82" s="461">
        <f t="shared" si="11"/>
        <v>6300</v>
      </c>
      <c r="K82" s="461">
        <f t="shared" si="11"/>
        <v>1</v>
      </c>
    </row>
    <row r="83" spans="1:12" ht="14.25" hidden="1" thickTop="1" thickBot="1" x14ac:dyDescent="0.25">
      <c r="A83" s="462" t="s">
        <v>341</v>
      </c>
      <c r="B83" s="428"/>
      <c r="C83" s="463">
        <f>C82/C81</f>
        <v>-0.36527619903853586</v>
      </c>
      <c r="D83" s="463">
        <f t="shared" ref="D83:K83" si="12">D82/D81</f>
        <v>3.4567331275067087E-2</v>
      </c>
      <c r="E83" s="463">
        <f t="shared" si="12"/>
        <v>-0.4118732181787691</v>
      </c>
      <c r="F83" s="463">
        <f t="shared" si="12"/>
        <v>3.2660863906288133E-2</v>
      </c>
      <c r="G83" s="463">
        <f t="shared" si="12"/>
        <v>0.15518563976679964</v>
      </c>
      <c r="H83" s="463">
        <f t="shared" si="12"/>
        <v>3.4682080924855491E-3</v>
      </c>
      <c r="I83" s="463">
        <f t="shared" si="12"/>
        <v>-0.10403593052255221</v>
      </c>
      <c r="J83" s="463">
        <f t="shared" si="12"/>
        <v>0.19704125355768931</v>
      </c>
      <c r="K83" s="463">
        <f t="shared" si="12"/>
        <v>4.048582995951417E-3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1" activePane="bottomLeft" state="frozen"/>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734344</v>
      </c>
      <c r="D5" s="1586">
        <v>94916</v>
      </c>
      <c r="E5" s="1573"/>
      <c r="F5" s="1631">
        <v>18486</v>
      </c>
      <c r="G5" s="1573">
        <v>28477</v>
      </c>
      <c r="H5" s="1573"/>
      <c r="I5" s="1573">
        <v>10992</v>
      </c>
      <c r="J5" s="1574">
        <v>35971</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10992</v>
      </c>
      <c r="D7" s="1573"/>
      <c r="E7" s="1575"/>
      <c r="F7" s="1574"/>
      <c r="G7" s="1574"/>
      <c r="H7" s="1574"/>
      <c r="I7" s="1575"/>
      <c r="J7" s="1575"/>
      <c r="K7" s="1575"/>
    </row>
    <row r="8" spans="1:12" x14ac:dyDescent="0.2">
      <c r="A8" s="427" t="s">
        <v>410</v>
      </c>
      <c r="B8" s="429">
        <v>1150</v>
      </c>
      <c r="C8" s="1580"/>
      <c r="D8" s="1580"/>
      <c r="E8" s="1582"/>
      <c r="F8" s="1582"/>
      <c r="G8" s="1586">
        <v>29974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745336</v>
      </c>
      <c r="D12" s="1633">
        <f t="shared" si="0"/>
        <v>94916</v>
      </c>
      <c r="E12" s="1633">
        <f t="shared" si="0"/>
        <v>0</v>
      </c>
      <c r="F12" s="1633">
        <f t="shared" si="0"/>
        <v>18486</v>
      </c>
      <c r="G12" s="1633">
        <f t="shared" si="0"/>
        <v>58451</v>
      </c>
      <c r="H12" s="1633">
        <f t="shared" si="0"/>
        <v>0</v>
      </c>
      <c r="I12" s="1633">
        <f t="shared" si="0"/>
        <v>10992</v>
      </c>
      <c r="J12" s="1633">
        <f t="shared" si="0"/>
        <v>35971</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85559</v>
      </c>
      <c r="D16" s="1573">
        <v>13928</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85559</v>
      </c>
      <c r="D18" s="1635">
        <f t="shared" ref="D18:K18" si="1">SUM(D14:D17)</f>
        <v>13928</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26030</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26030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3337</v>
      </c>
      <c r="D65" s="1573">
        <v>112</v>
      </c>
      <c r="E65" s="1573"/>
      <c r="F65" s="1574">
        <v>80</v>
      </c>
      <c r="G65" s="1573">
        <v>143</v>
      </c>
      <c r="H65" s="1573">
        <v>3</v>
      </c>
      <c r="I65" s="1573">
        <v>1725</v>
      </c>
      <c r="J65" s="1574">
        <v>14</v>
      </c>
      <c r="K65" s="1573">
        <v>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3337</v>
      </c>
      <c r="D67" s="1594">
        <f t="shared" ref="D67:K67" si="2">SUM(D65:D66)</f>
        <v>112</v>
      </c>
      <c r="E67" s="1594">
        <f t="shared" si="2"/>
        <v>0</v>
      </c>
      <c r="F67" s="1594">
        <f t="shared" si="2"/>
        <v>80</v>
      </c>
      <c r="G67" s="1594">
        <f t="shared" si="2"/>
        <v>143</v>
      </c>
      <c r="H67" s="1594">
        <f t="shared" si="2"/>
        <v>3</v>
      </c>
      <c r="I67" s="1594">
        <f t="shared" si="2"/>
        <v>1725</v>
      </c>
      <c r="J67" s="1594">
        <f t="shared" si="2"/>
        <v>14</v>
      </c>
      <c r="K67" s="1594">
        <f t="shared" si="2"/>
        <v>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4708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225</v>
      </c>
      <c r="D72" s="1575"/>
      <c r="E72" s="1575"/>
      <c r="F72" s="1575"/>
      <c r="G72" s="1575"/>
      <c r="H72" s="1575"/>
      <c r="I72" s="1575"/>
      <c r="J72" s="1575"/>
      <c r="K72" s="1575"/>
    </row>
    <row r="73" spans="1:11" ht="12.75" customHeight="1" x14ac:dyDescent="0.2">
      <c r="A73" s="427" t="s">
        <v>991</v>
      </c>
      <c r="B73" s="429">
        <v>1620</v>
      </c>
      <c r="C73" s="1632">
        <v>389</v>
      </c>
      <c r="D73" s="1575"/>
      <c r="E73" s="1575"/>
      <c r="F73" s="1575"/>
      <c r="G73" s="1575"/>
      <c r="H73" s="1575"/>
      <c r="I73" s="1575"/>
      <c r="J73" s="1575"/>
      <c r="K73" s="1575"/>
    </row>
    <row r="74" spans="1:11" ht="12.75" customHeight="1" x14ac:dyDescent="0.2">
      <c r="A74" s="427" t="s">
        <v>25</v>
      </c>
      <c r="B74" s="429">
        <v>1690</v>
      </c>
      <c r="C74" s="1632">
        <v>161</v>
      </c>
      <c r="D74" s="1575"/>
      <c r="E74" s="1575"/>
      <c r="F74" s="1575"/>
      <c r="G74" s="1575"/>
      <c r="H74" s="1575"/>
      <c r="I74" s="1575"/>
      <c r="J74" s="1575"/>
      <c r="K74" s="1575"/>
    </row>
    <row r="75" spans="1:11" ht="12.75" customHeight="1" thickBot="1" x14ac:dyDescent="0.25">
      <c r="A75" s="1406" t="s">
        <v>544</v>
      </c>
      <c r="B75" s="1407"/>
      <c r="C75" s="1594">
        <f>SUM(C69:C74)</f>
        <v>5483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2720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420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3140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1339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1339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75038</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166910</v>
      </c>
      <c r="D107" s="1573">
        <v>50636</v>
      </c>
      <c r="E107" s="1573"/>
      <c r="F107" s="1573">
        <v>14809</v>
      </c>
      <c r="G107" s="1573"/>
      <c r="H107" s="1573"/>
      <c r="I107" s="1573"/>
      <c r="J107" s="1574">
        <v>3364</v>
      </c>
      <c r="K107" s="1573"/>
    </row>
    <row r="108" spans="1:12" ht="12.75" customHeight="1" thickBot="1" x14ac:dyDescent="0.25">
      <c r="A108" s="1406" t="s">
        <v>484</v>
      </c>
      <c r="B108" s="1408"/>
      <c r="C108" s="1633">
        <f>SUM(C95:C107)</f>
        <v>166910</v>
      </c>
      <c r="D108" s="1633">
        <f t="shared" ref="D108:K108" si="3">SUM(D95:D107)</f>
        <v>50636</v>
      </c>
      <c r="E108" s="1633">
        <f t="shared" si="3"/>
        <v>75038</v>
      </c>
      <c r="F108" s="1633">
        <f t="shared" si="3"/>
        <v>14809</v>
      </c>
      <c r="G108" s="1633">
        <f t="shared" si="3"/>
        <v>0</v>
      </c>
      <c r="H108" s="1633">
        <f t="shared" si="3"/>
        <v>0</v>
      </c>
      <c r="I108" s="1633">
        <f t="shared" si="3"/>
        <v>0</v>
      </c>
      <c r="J108" s="1633">
        <f t="shared" si="3"/>
        <v>3364</v>
      </c>
      <c r="K108" s="1594">
        <f t="shared" si="3"/>
        <v>0</v>
      </c>
    </row>
    <row r="109" spans="1:12" ht="14.25" thickTop="1" thickBot="1" x14ac:dyDescent="0.25">
      <c r="A109" s="1409" t="s">
        <v>246</v>
      </c>
      <c r="B109" s="1410" t="s">
        <v>566</v>
      </c>
      <c r="C109" s="1641">
        <f t="shared" ref="C109:K109" si="4">SUM(C12,C18,C40,C63,C67,C75,C82,C93,C108,)</f>
        <v>1037134</v>
      </c>
      <c r="D109" s="1641">
        <f t="shared" si="4"/>
        <v>159592</v>
      </c>
      <c r="E109" s="1641">
        <f t="shared" si="4"/>
        <v>75038</v>
      </c>
      <c r="F109" s="1641">
        <f t="shared" si="4"/>
        <v>33375</v>
      </c>
      <c r="G109" s="1641">
        <f t="shared" si="4"/>
        <v>58594</v>
      </c>
      <c r="H109" s="1641">
        <f t="shared" si="4"/>
        <v>3</v>
      </c>
      <c r="I109" s="1641">
        <f t="shared" si="4"/>
        <v>12717</v>
      </c>
      <c r="J109" s="1641">
        <f t="shared" si="4"/>
        <v>39349</v>
      </c>
      <c r="K109" s="1629">
        <f t="shared" si="4"/>
        <v>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488731</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488731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4346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4346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413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79968</v>
      </c>
      <c r="G152" s="1574"/>
      <c r="H152" s="1575"/>
      <c r="I152" s="1575"/>
      <c r="J152" s="1575"/>
      <c r="K152" s="1575"/>
    </row>
    <row r="153" spans="1:11" ht="12.75" customHeight="1" x14ac:dyDescent="0.2">
      <c r="A153" s="427" t="s">
        <v>1048</v>
      </c>
      <c r="B153" s="478">
        <v>3510</v>
      </c>
      <c r="C153" s="1632"/>
      <c r="D153" s="1573"/>
      <c r="E153" s="1640"/>
      <c r="F153" s="1573">
        <v>10830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90798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85898</v>
      </c>
      <c r="D159" s="1653">
        <v>9832</v>
      </c>
      <c r="E159" s="1640"/>
      <c r="F159" s="1651">
        <v>7762</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90657</v>
      </c>
      <c r="D169" s="1658">
        <f t="shared" si="6"/>
        <v>9832</v>
      </c>
      <c r="E169" s="1658">
        <f t="shared" si="6"/>
        <v>0</v>
      </c>
      <c r="F169" s="1658">
        <f t="shared" si="6"/>
        <v>98560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579388</v>
      </c>
      <c r="D170" s="1641">
        <f t="shared" si="7"/>
        <v>9832</v>
      </c>
      <c r="E170" s="1641">
        <f t="shared" si="7"/>
        <v>0</v>
      </c>
      <c r="F170" s="1641">
        <f t="shared" si="7"/>
        <v>98560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799</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799</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20756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5159</v>
      </c>
      <c r="D193" s="1575"/>
      <c r="E193" s="1640"/>
      <c r="F193" s="1575"/>
      <c r="G193" s="1664"/>
      <c r="H193" s="1575"/>
      <c r="I193" s="1575"/>
      <c r="J193" s="1575"/>
      <c r="K193" s="1575"/>
    </row>
    <row r="194" spans="1:11" ht="12.75" customHeight="1" x14ac:dyDescent="0.2">
      <c r="A194" s="427" t="s">
        <v>1434</v>
      </c>
      <c r="B194" s="429">
        <v>4225</v>
      </c>
      <c r="C194" s="1632">
        <v>20490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46405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30229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30229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5888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5888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2084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8507</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11459</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105371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105371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1721893</v>
      </c>
      <c r="D268" s="1641">
        <f t="shared" si="12"/>
        <v>169424</v>
      </c>
      <c r="E268" s="1641">
        <f t="shared" si="12"/>
        <v>75038</v>
      </c>
      <c r="F268" s="1641">
        <f t="shared" si="12"/>
        <v>131935</v>
      </c>
      <c r="G268" s="1641">
        <f t="shared" si="12"/>
        <v>58594</v>
      </c>
      <c r="H268" s="1641">
        <f t="shared" si="12"/>
        <v>3</v>
      </c>
      <c r="I268" s="1641">
        <f t="shared" si="12"/>
        <v>12717</v>
      </c>
      <c r="J268" s="1641">
        <f t="shared" si="12"/>
        <v>39349</v>
      </c>
      <c r="K268" s="1629">
        <f t="shared" si="12"/>
        <v>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0" activePane="bottomLeft" state="frozen"/>
      <selection pane="bottomLeft" activeCell="E327" sqref="E32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579213</v>
      </c>
      <c r="D5" s="1573">
        <v>86156</v>
      </c>
      <c r="E5" s="1573">
        <v>1717</v>
      </c>
      <c r="F5" s="1573">
        <v>24493</v>
      </c>
      <c r="G5" s="1573"/>
      <c r="H5" s="1573">
        <v>2712</v>
      </c>
      <c r="I5" s="1574"/>
      <c r="J5" s="1574"/>
      <c r="K5" s="1672">
        <f>SUM(C5:J5)</f>
        <v>694291</v>
      </c>
      <c r="L5" s="1573">
        <v>743000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66947</v>
      </c>
      <c r="D7" s="1574">
        <v>9331</v>
      </c>
      <c r="E7" s="1574">
        <v>0</v>
      </c>
      <c r="F7" s="1574">
        <v>2327</v>
      </c>
      <c r="G7" s="1574"/>
      <c r="H7" s="1574">
        <v>23863</v>
      </c>
      <c r="I7" s="1574"/>
      <c r="J7" s="1574"/>
      <c r="K7" s="1672">
        <f t="shared" ref="K7:K32" si="0">SUM(C7:J7)</f>
        <v>102468</v>
      </c>
      <c r="L7" s="1573">
        <v>85280</v>
      </c>
    </row>
    <row r="8" spans="1:14" x14ac:dyDescent="0.2">
      <c r="A8" s="1274" t="s">
        <v>163</v>
      </c>
      <c r="B8" s="503">
        <v>1200</v>
      </c>
      <c r="C8" s="1573">
        <v>153603</v>
      </c>
      <c r="D8" s="1573">
        <v>13368</v>
      </c>
      <c r="E8" s="1573">
        <v>672</v>
      </c>
      <c r="F8" s="1573">
        <v>2039</v>
      </c>
      <c r="G8" s="1573"/>
      <c r="H8" s="1573">
        <v>753</v>
      </c>
      <c r="I8" s="1574"/>
      <c r="J8" s="1574"/>
      <c r="K8" s="1672">
        <f t="shared" si="0"/>
        <v>170435</v>
      </c>
      <c r="L8" s="1573">
        <v>177700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48392</v>
      </c>
      <c r="D10" s="1573">
        <v>16084</v>
      </c>
      <c r="E10" s="1573"/>
      <c r="F10" s="1573">
        <v>221</v>
      </c>
      <c r="G10" s="1573"/>
      <c r="H10" s="1573"/>
      <c r="I10" s="1574"/>
      <c r="J10" s="1574"/>
      <c r="K10" s="1672">
        <f t="shared" si="0"/>
        <v>64697</v>
      </c>
      <c r="L10" s="1573">
        <v>58950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30623</v>
      </c>
      <c r="D14" s="1573">
        <v>1221</v>
      </c>
      <c r="E14" s="1573">
        <v>5423</v>
      </c>
      <c r="F14" s="1573">
        <v>3347</v>
      </c>
      <c r="G14" s="1573"/>
      <c r="H14" s="1573">
        <v>2396</v>
      </c>
      <c r="I14" s="1574"/>
      <c r="J14" s="1574"/>
      <c r="K14" s="1672">
        <f t="shared" si="0"/>
        <v>43010</v>
      </c>
      <c r="L14" s="1573">
        <v>55500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v>10125</v>
      </c>
      <c r="D16" s="1573"/>
      <c r="E16" s="1573"/>
      <c r="F16" s="1573">
        <v>607</v>
      </c>
      <c r="G16" s="1573"/>
      <c r="H16" s="1573"/>
      <c r="I16" s="1574"/>
      <c r="J16" s="1574"/>
      <c r="K16" s="1672">
        <f t="shared" si="0"/>
        <v>10732</v>
      </c>
      <c r="L16" s="1573">
        <v>12800</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v>4102</v>
      </c>
      <c r="G19" s="1573"/>
      <c r="H19" s="1573"/>
      <c r="I19" s="1574"/>
      <c r="J19" s="1574"/>
      <c r="K19" s="1672">
        <f t="shared" si="0"/>
        <v>4102</v>
      </c>
      <c r="L19" s="1573">
        <v>3000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888903</v>
      </c>
      <c r="D33" s="1674">
        <f t="shared" ref="D33:L33" si="1">SUM(D5:D32)</f>
        <v>126160</v>
      </c>
      <c r="E33" s="1674">
        <f t="shared" si="1"/>
        <v>7812</v>
      </c>
      <c r="F33" s="1674">
        <f t="shared" si="1"/>
        <v>37136</v>
      </c>
      <c r="G33" s="1674">
        <f t="shared" si="1"/>
        <v>0</v>
      </c>
      <c r="H33" s="1674">
        <f t="shared" si="1"/>
        <v>29724</v>
      </c>
      <c r="I33" s="1674">
        <f t="shared" si="1"/>
        <v>0</v>
      </c>
      <c r="J33" s="1674">
        <f t="shared" si="1"/>
        <v>0</v>
      </c>
      <c r="K33" s="1674">
        <f t="shared" si="1"/>
        <v>1089735</v>
      </c>
      <c r="L33" s="1674">
        <f t="shared" si="1"/>
        <v>1136230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24803</v>
      </c>
      <c r="D38" s="1573"/>
      <c r="E38" s="1573"/>
      <c r="F38" s="1573">
        <v>554</v>
      </c>
      <c r="G38" s="1573"/>
      <c r="H38" s="1573"/>
      <c r="I38" s="1574"/>
      <c r="J38" s="1574"/>
      <c r="K38" s="1672">
        <f t="shared" si="2"/>
        <v>25357</v>
      </c>
      <c r="L38" s="1573">
        <v>26300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55750</v>
      </c>
      <c r="D40" s="1573">
        <v>15894</v>
      </c>
      <c r="E40" s="1573"/>
      <c r="F40" s="1573">
        <v>147</v>
      </c>
      <c r="G40" s="1573"/>
      <c r="H40" s="1573"/>
      <c r="I40" s="1574"/>
      <c r="J40" s="1574"/>
      <c r="K40" s="1672">
        <f t="shared" si="2"/>
        <v>71791</v>
      </c>
      <c r="L40" s="1573">
        <v>74430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80553</v>
      </c>
      <c r="D42" s="1674">
        <f t="shared" ref="D42:L42" si="3">SUM(D36:D41)</f>
        <v>15894</v>
      </c>
      <c r="E42" s="1674">
        <f t="shared" si="3"/>
        <v>0</v>
      </c>
      <c r="F42" s="1674">
        <f t="shared" si="3"/>
        <v>701</v>
      </c>
      <c r="G42" s="1674">
        <f t="shared" si="3"/>
        <v>0</v>
      </c>
      <c r="H42" s="1674">
        <f t="shared" si="3"/>
        <v>0</v>
      </c>
      <c r="I42" s="1674">
        <f t="shared" si="3"/>
        <v>0</v>
      </c>
      <c r="J42" s="1674">
        <f t="shared" si="3"/>
        <v>0</v>
      </c>
      <c r="K42" s="1674">
        <f t="shared" si="3"/>
        <v>97148</v>
      </c>
      <c r="L42" s="1674">
        <f t="shared" si="3"/>
        <v>100730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2284</v>
      </c>
      <c r="D44" s="1586">
        <v>252</v>
      </c>
      <c r="E44" s="1586">
        <v>2984</v>
      </c>
      <c r="F44" s="1586"/>
      <c r="G44" s="1586"/>
      <c r="H44" s="1586"/>
      <c r="I44" s="1574"/>
      <c r="J44" s="1574"/>
      <c r="K44" s="1678">
        <f>SUM(C44:J44)</f>
        <v>5520</v>
      </c>
      <c r="L44" s="1586">
        <v>7900</v>
      </c>
    </row>
    <row r="45" spans="1:14" x14ac:dyDescent="0.2">
      <c r="A45" s="1274" t="s">
        <v>810</v>
      </c>
      <c r="B45" s="503">
        <v>2220</v>
      </c>
      <c r="C45" s="1573">
        <v>14864</v>
      </c>
      <c r="D45" s="1573">
        <v>252</v>
      </c>
      <c r="E45" s="1573">
        <v>1450</v>
      </c>
      <c r="F45" s="1573">
        <v>16687</v>
      </c>
      <c r="G45" s="1573"/>
      <c r="H45" s="1573">
        <v>14443</v>
      </c>
      <c r="I45" s="1574"/>
      <c r="J45" s="1574"/>
      <c r="K45" s="1678">
        <f>SUM(C45:J45)</f>
        <v>47696</v>
      </c>
      <c r="L45" s="1573">
        <v>66500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17148</v>
      </c>
      <c r="D47" s="1674">
        <f t="shared" ref="D47:K47" si="4">SUM(D44:D46)</f>
        <v>504</v>
      </c>
      <c r="E47" s="1674">
        <f t="shared" si="4"/>
        <v>4434</v>
      </c>
      <c r="F47" s="1674">
        <f t="shared" si="4"/>
        <v>16687</v>
      </c>
      <c r="G47" s="1674">
        <f t="shared" si="4"/>
        <v>0</v>
      </c>
      <c r="H47" s="1674">
        <f t="shared" si="4"/>
        <v>14443</v>
      </c>
      <c r="I47" s="1674">
        <f t="shared" si="4"/>
        <v>0</v>
      </c>
      <c r="J47" s="1674">
        <f t="shared" si="4"/>
        <v>0</v>
      </c>
      <c r="K47" s="1674">
        <f t="shared" si="4"/>
        <v>53216</v>
      </c>
      <c r="L47" s="1674">
        <f>SUM(L44:L46)</f>
        <v>74400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45465</v>
      </c>
      <c r="D49" s="1586"/>
      <c r="E49" s="1586"/>
      <c r="F49" s="1586">
        <v>10612</v>
      </c>
      <c r="G49" s="1586"/>
      <c r="H49" s="1586">
        <v>8132</v>
      </c>
      <c r="I49" s="1574"/>
      <c r="J49" s="1574"/>
      <c r="K49" s="1678">
        <f>SUM(C49:J49)</f>
        <v>64209</v>
      </c>
      <c r="L49" s="1586">
        <v>65650</v>
      </c>
    </row>
    <row r="50" spans="1:14" x14ac:dyDescent="0.2">
      <c r="A50" s="1274" t="s">
        <v>813</v>
      </c>
      <c r="B50" s="503">
        <v>2320</v>
      </c>
      <c r="C50" s="1573">
        <v>85898</v>
      </c>
      <c r="D50" s="1573">
        <v>16227</v>
      </c>
      <c r="E50" s="1573">
        <v>2561</v>
      </c>
      <c r="F50" s="1573">
        <v>4625</v>
      </c>
      <c r="G50" s="1573"/>
      <c r="H50" s="1573">
        <v>2275</v>
      </c>
      <c r="I50" s="1574"/>
      <c r="J50" s="1574"/>
      <c r="K50" s="1678">
        <f>SUM(C50:J50)</f>
        <v>111586</v>
      </c>
      <c r="L50" s="1573">
        <v>115940</v>
      </c>
    </row>
    <row r="51" spans="1:14" x14ac:dyDescent="0.2">
      <c r="A51" s="1274" t="s">
        <v>42</v>
      </c>
      <c r="B51" s="503">
        <v>2330</v>
      </c>
      <c r="C51" s="1573">
        <v>10081</v>
      </c>
      <c r="D51" s="1573">
        <v>1131</v>
      </c>
      <c r="E51" s="1573"/>
      <c r="F51" s="1573"/>
      <c r="G51" s="1573"/>
      <c r="H51" s="1573"/>
      <c r="I51" s="1574"/>
      <c r="J51" s="1574"/>
      <c r="K51" s="1678">
        <f>SUM(C51:J51)</f>
        <v>11212</v>
      </c>
      <c r="L51" s="1573">
        <v>11275</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141444</v>
      </c>
      <c r="D53" s="1674">
        <f t="shared" ref="D53:L53" si="5">SUM(D49:D52)</f>
        <v>17358</v>
      </c>
      <c r="E53" s="1674">
        <f t="shared" si="5"/>
        <v>2561</v>
      </c>
      <c r="F53" s="1674">
        <f t="shared" si="5"/>
        <v>15237</v>
      </c>
      <c r="G53" s="1674">
        <f t="shared" si="5"/>
        <v>0</v>
      </c>
      <c r="H53" s="1674">
        <f t="shared" si="5"/>
        <v>10407</v>
      </c>
      <c r="I53" s="1674">
        <f t="shared" si="5"/>
        <v>0</v>
      </c>
      <c r="J53" s="1674">
        <f t="shared" si="5"/>
        <v>0</v>
      </c>
      <c r="K53" s="1674">
        <f t="shared" si="5"/>
        <v>187007</v>
      </c>
      <c r="L53" s="1674">
        <f t="shared" si="5"/>
        <v>192865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54859</v>
      </c>
      <c r="D55" s="1586">
        <v>6866</v>
      </c>
      <c r="E55" s="1586"/>
      <c r="F55" s="1586">
        <v>251</v>
      </c>
      <c r="G55" s="1586"/>
      <c r="H55" s="1586"/>
      <c r="I55" s="1574"/>
      <c r="J55" s="1574"/>
      <c r="K55" s="1678">
        <f>SUM(C55:J55)</f>
        <v>61976</v>
      </c>
      <c r="L55" s="1586">
        <v>66230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54859</v>
      </c>
      <c r="D57" s="1679">
        <f t="shared" ref="D57:K57" si="6">SUM(D55:D56)</f>
        <v>6866</v>
      </c>
      <c r="E57" s="1679">
        <f t="shared" si="6"/>
        <v>0</v>
      </c>
      <c r="F57" s="1679">
        <f t="shared" si="6"/>
        <v>251</v>
      </c>
      <c r="G57" s="1679">
        <f t="shared" si="6"/>
        <v>0</v>
      </c>
      <c r="H57" s="1679">
        <f t="shared" si="6"/>
        <v>0</v>
      </c>
      <c r="I57" s="1679">
        <f t="shared" si="6"/>
        <v>0</v>
      </c>
      <c r="J57" s="1679">
        <f t="shared" si="6"/>
        <v>0</v>
      </c>
      <c r="K57" s="1679">
        <f t="shared" si="6"/>
        <v>61976</v>
      </c>
      <c r="L57" s="1674">
        <f>SUM(L55:L56)</f>
        <v>66230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26863</v>
      </c>
      <c r="D60" s="1573"/>
      <c r="E60" s="1573">
        <v>27388</v>
      </c>
      <c r="F60" s="1573"/>
      <c r="G60" s="1573"/>
      <c r="H60" s="1573"/>
      <c r="I60" s="1574"/>
      <c r="J60" s="1574"/>
      <c r="K60" s="1678">
        <f t="shared" si="7"/>
        <v>54251</v>
      </c>
      <c r="L60" s="1573">
        <v>43700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21884</v>
      </c>
      <c r="D63" s="1573">
        <v>3478</v>
      </c>
      <c r="E63" s="1573">
        <v>12</v>
      </c>
      <c r="F63" s="1573">
        <v>24564</v>
      </c>
      <c r="G63" s="1573"/>
      <c r="H63" s="1573">
        <v>279</v>
      </c>
      <c r="I63" s="1574"/>
      <c r="J63" s="1574"/>
      <c r="K63" s="1678">
        <f t="shared" si="7"/>
        <v>50217</v>
      </c>
      <c r="L63" s="1573">
        <v>59700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48747</v>
      </c>
      <c r="D65" s="1674">
        <f t="shared" ref="D65:L65" si="8">SUM(D59:D64)</f>
        <v>3478</v>
      </c>
      <c r="E65" s="1674">
        <f t="shared" si="8"/>
        <v>27400</v>
      </c>
      <c r="F65" s="1674">
        <f t="shared" si="8"/>
        <v>24564</v>
      </c>
      <c r="G65" s="1674">
        <f t="shared" si="8"/>
        <v>0</v>
      </c>
      <c r="H65" s="1674">
        <f t="shared" si="8"/>
        <v>279</v>
      </c>
      <c r="I65" s="1674">
        <f t="shared" si="8"/>
        <v>0</v>
      </c>
      <c r="J65" s="1674">
        <f t="shared" si="8"/>
        <v>0</v>
      </c>
      <c r="K65" s="1674">
        <f t="shared" si="8"/>
        <v>104468</v>
      </c>
      <c r="L65" s="1674">
        <f t="shared" si="8"/>
        <v>103400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342751</v>
      </c>
      <c r="D74" s="1681">
        <f t="shared" ref="D74:K74" si="10">SUM(D42,D47,D53,D57,D65,D72,D73)</f>
        <v>44100</v>
      </c>
      <c r="E74" s="1681">
        <f t="shared" si="10"/>
        <v>34395</v>
      </c>
      <c r="F74" s="1681">
        <f t="shared" si="10"/>
        <v>57440</v>
      </c>
      <c r="G74" s="1681">
        <f t="shared" si="10"/>
        <v>0</v>
      </c>
      <c r="H74" s="1681">
        <f t="shared" si="10"/>
        <v>25129</v>
      </c>
      <c r="I74" s="1681">
        <f t="shared" si="10"/>
        <v>0</v>
      </c>
      <c r="J74" s="1681">
        <f t="shared" si="10"/>
        <v>0</v>
      </c>
      <c r="K74" s="1681">
        <f t="shared" si="10"/>
        <v>503815</v>
      </c>
      <c r="L74" s="1681">
        <f>SUM(L42,L47,L53,L57,L65,L72,L73)</f>
        <v>537625</v>
      </c>
    </row>
    <row r="75" spans="1:14" s="254" customFormat="1" ht="15.75" customHeight="1" thickTop="1" thickBot="1" x14ac:dyDescent="0.25">
      <c r="A75" s="1348" t="s">
        <v>47</v>
      </c>
      <c r="B75" s="1349" t="s">
        <v>571</v>
      </c>
      <c r="C75" s="1649"/>
      <c r="D75" s="1649"/>
      <c r="E75" s="1649"/>
      <c r="F75" s="1649">
        <v>546</v>
      </c>
      <c r="G75" s="1649"/>
      <c r="H75" s="1649"/>
      <c r="I75" s="1627"/>
      <c r="J75" s="1627"/>
      <c r="K75" s="1674">
        <f>SUM(C75:J75)</f>
        <v>546</v>
      </c>
      <c r="L75" s="1651">
        <v>1050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72530</v>
      </c>
      <c r="F79" s="1673"/>
      <c r="G79" s="1673"/>
      <c r="H79" s="1573"/>
      <c r="I79" s="1582"/>
      <c r="J79" s="1582"/>
      <c r="K79" s="1672">
        <f t="shared" si="11"/>
        <v>72530</v>
      </c>
      <c r="L79" s="1573">
        <v>298000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72530</v>
      </c>
      <c r="F84" s="1673"/>
      <c r="G84" s="1673"/>
      <c r="H84" s="1674">
        <f>SUM(H78:H83)</f>
        <v>0</v>
      </c>
      <c r="I84" s="1582"/>
      <c r="J84" s="1582"/>
      <c r="K84" s="1674">
        <f>SUM(K78:K83)</f>
        <v>72530</v>
      </c>
      <c r="L84" s="1674">
        <f>SUM(L78:L83)</f>
        <v>298000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182843</v>
      </c>
      <c r="I86" s="1582"/>
      <c r="J86" s="1582"/>
      <c r="K86" s="1681">
        <f t="shared" ref="K86:K98" si="12">H86</f>
        <v>182843</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182843</v>
      </c>
      <c r="I92" s="1582"/>
      <c r="J92" s="1582"/>
      <c r="K92" s="1681">
        <f t="shared" si="12"/>
        <v>182843</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72530</v>
      </c>
      <c r="F102" s="1673"/>
      <c r="G102" s="1673"/>
      <c r="H102" s="1681">
        <f>SUM(H84,H92,H100,H101)</f>
        <v>182843</v>
      </c>
      <c r="I102" s="1582"/>
      <c r="J102" s="1582"/>
      <c r="K102" s="1681">
        <f>SUM(K84,K92,K100,K101)</f>
        <v>255373</v>
      </c>
      <c r="L102" s="1681">
        <f>SUM(L84,L92,L100,L101)</f>
        <v>298000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v>
      </c>
      <c r="M113" s="502"/>
      <c r="N113" s="502"/>
    </row>
    <row r="114" spans="1:14" ht="12.75" customHeight="1" thickTop="1" thickBot="1" x14ac:dyDescent="0.25">
      <c r="A114" s="1380" t="s">
        <v>48</v>
      </c>
      <c r="B114" s="1388"/>
      <c r="C114" s="1674">
        <f>SUM(C33,C74,C75,C102,C112,C113)</f>
        <v>1231654</v>
      </c>
      <c r="D114" s="1674">
        <f t="shared" ref="D114:K114" si="13">SUM(D33,D74,D75,D102,D112,D113)</f>
        <v>170260</v>
      </c>
      <c r="E114" s="1674">
        <f t="shared" si="13"/>
        <v>114737</v>
      </c>
      <c r="F114" s="1674">
        <f t="shared" si="13"/>
        <v>95122</v>
      </c>
      <c r="G114" s="1674">
        <f t="shared" si="13"/>
        <v>0</v>
      </c>
      <c r="H114" s="1674">
        <f>SUM(H33,H74,H75,H102,H112,H113)</f>
        <v>237696</v>
      </c>
      <c r="I114" s="1674">
        <f t="shared" si="13"/>
        <v>0</v>
      </c>
      <c r="J114" s="1674">
        <f t="shared" si="13"/>
        <v>0</v>
      </c>
      <c r="K114" s="1674">
        <f t="shared" si="13"/>
        <v>1849469</v>
      </c>
      <c r="L114" s="1674">
        <f>SUM(L33,L74,L75,L102,L112,L113)</f>
        <v>1977905</v>
      </c>
    </row>
    <row r="115" spans="1:14" ht="13.5" thickTop="1" x14ac:dyDescent="0.2">
      <c r="A115" s="2261" t="s">
        <v>989</v>
      </c>
      <c r="B115" s="2262"/>
      <c r="C115" s="1675"/>
      <c r="D115" s="1675"/>
      <c r="E115" s="1675"/>
      <c r="F115" s="1675"/>
      <c r="G115" s="1675"/>
      <c r="H115" s="1675"/>
      <c r="I115" s="1675"/>
      <c r="J115" s="1675"/>
      <c r="K115" s="1689">
        <f>'Revenues 9-14'!C268-'Expenditures 15-22'!K114</f>
        <v>-127576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57610</v>
      </c>
      <c r="D124" s="1573">
        <v>7184</v>
      </c>
      <c r="E124" s="1573">
        <v>44207</v>
      </c>
      <c r="F124" s="1573">
        <v>44588</v>
      </c>
      <c r="G124" s="1573">
        <v>44023</v>
      </c>
      <c r="H124" s="1573">
        <v>614</v>
      </c>
      <c r="I124" s="1574"/>
      <c r="J124" s="1574"/>
      <c r="K124" s="1674">
        <f>SUM(C124:J124)</f>
        <v>198226</v>
      </c>
      <c r="L124" s="1573">
        <v>225425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57610</v>
      </c>
      <c r="D127" s="1674">
        <f t="shared" ref="D127:L127" si="14">SUM(D122:D126)</f>
        <v>7184</v>
      </c>
      <c r="E127" s="1674">
        <f t="shared" si="14"/>
        <v>44207</v>
      </c>
      <c r="F127" s="1674">
        <f t="shared" si="14"/>
        <v>44588</v>
      </c>
      <c r="G127" s="1674">
        <f t="shared" si="14"/>
        <v>44023</v>
      </c>
      <c r="H127" s="1674">
        <f t="shared" si="14"/>
        <v>614</v>
      </c>
      <c r="I127" s="1674">
        <f t="shared" si="14"/>
        <v>0</v>
      </c>
      <c r="J127" s="1674">
        <f t="shared" si="14"/>
        <v>0</v>
      </c>
      <c r="K127" s="1674">
        <f t="shared" si="14"/>
        <v>198226</v>
      </c>
      <c r="L127" s="1674">
        <f t="shared" si="14"/>
        <v>225425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57610</v>
      </c>
      <c r="D129" s="1681">
        <f t="shared" ref="D129:L129" si="15">SUM(D120,D127,D128)</f>
        <v>7184</v>
      </c>
      <c r="E129" s="1681">
        <f t="shared" si="15"/>
        <v>44207</v>
      </c>
      <c r="F129" s="1681">
        <f t="shared" si="15"/>
        <v>44588</v>
      </c>
      <c r="G129" s="1681">
        <f t="shared" si="15"/>
        <v>44023</v>
      </c>
      <c r="H129" s="1681">
        <f t="shared" si="15"/>
        <v>614</v>
      </c>
      <c r="I129" s="1681">
        <f t="shared" si="15"/>
        <v>0</v>
      </c>
      <c r="J129" s="1681">
        <f t="shared" si="15"/>
        <v>0</v>
      </c>
      <c r="K129" s="1681">
        <f t="shared" si="15"/>
        <v>198226</v>
      </c>
      <c r="L129" s="1681">
        <f t="shared" si="15"/>
        <v>225425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57610</v>
      </c>
      <c r="D151" s="1674">
        <f t="shared" ref="D151:K151" si="16">SUM(D129,D130,D139,D149,D150)</f>
        <v>7184</v>
      </c>
      <c r="E151" s="1674">
        <f t="shared" si="16"/>
        <v>44207</v>
      </c>
      <c r="F151" s="1674">
        <f t="shared" si="16"/>
        <v>44588</v>
      </c>
      <c r="G151" s="1674">
        <f t="shared" si="16"/>
        <v>44023</v>
      </c>
      <c r="H151" s="1674">
        <f t="shared" si="16"/>
        <v>614</v>
      </c>
      <c r="I151" s="1674">
        <f t="shared" si="16"/>
        <v>0</v>
      </c>
      <c r="J151" s="1674">
        <f t="shared" si="16"/>
        <v>0</v>
      </c>
      <c r="K151" s="1674">
        <f t="shared" si="16"/>
        <v>198226</v>
      </c>
      <c r="L151" s="1674">
        <f>SUM(L129,L130,L139,L149,L150)</f>
        <v>225425</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-28802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3494</v>
      </c>
      <c r="I169" s="1673"/>
      <c r="J169" s="1673"/>
      <c r="K169" s="1672">
        <f>SUM(C169:H169)</f>
        <v>3494</v>
      </c>
      <c r="L169" s="1695">
        <v>3494</v>
      </c>
    </row>
    <row r="170" spans="1:14" ht="33.75" customHeight="1" x14ac:dyDescent="0.2">
      <c r="A170" s="543" t="s">
        <v>1651</v>
      </c>
      <c r="B170" s="545" t="s">
        <v>31</v>
      </c>
      <c r="C170" s="1673"/>
      <c r="D170" s="1673"/>
      <c r="E170" s="1673"/>
      <c r="F170" s="1673"/>
      <c r="G170" s="1673"/>
      <c r="H170" s="1646">
        <v>85000</v>
      </c>
      <c r="I170" s="1673"/>
      <c r="J170" s="1673"/>
      <c r="K170" s="1672">
        <f>SUM(C170:J170)</f>
        <v>85000</v>
      </c>
      <c r="L170" s="1646">
        <v>85000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88494</v>
      </c>
      <c r="I172" s="1684"/>
      <c r="J172" s="1673"/>
      <c r="K172" s="1681">
        <f>SUM(K168,K169,K170,K171)</f>
        <v>88494</v>
      </c>
      <c r="L172" s="1681">
        <f>SUM(L168,L169,L170,L171)</f>
        <v>88494</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88494</v>
      </c>
      <c r="I174" s="1684"/>
      <c r="J174" s="1673"/>
      <c r="K174" s="1681">
        <f>SUM(K160,K172,K173)</f>
        <v>88494</v>
      </c>
      <c r="L174" s="1681">
        <f>SUM(L160,L172,L173)</f>
        <v>88494</v>
      </c>
    </row>
    <row r="175" spans="1:14" ht="13.5" thickTop="1" x14ac:dyDescent="0.2">
      <c r="A175" s="2261" t="s">
        <v>989</v>
      </c>
      <c r="B175" s="2262"/>
      <c r="C175" s="1673"/>
      <c r="D175" s="1673"/>
      <c r="E175" s="1673"/>
      <c r="F175" s="1673"/>
      <c r="G175" s="1673"/>
      <c r="H175" s="1675"/>
      <c r="I175" s="1673"/>
      <c r="J175" s="1673"/>
      <c r="K175" s="1689">
        <f>'Revenues 9-14'!E268-'Expenditures 15-22'!K174</f>
        <v>-13456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100744</v>
      </c>
      <c r="D182" s="1573">
        <v>1980</v>
      </c>
      <c r="E182" s="1573">
        <v>7980</v>
      </c>
      <c r="F182" s="1573">
        <v>18319</v>
      </c>
      <c r="G182" s="1573"/>
      <c r="H182" s="1573">
        <v>1306</v>
      </c>
      <c r="I182" s="1574"/>
      <c r="J182" s="1574"/>
      <c r="K182" s="1672">
        <f>SUM(C182:J182)</f>
        <v>130329</v>
      </c>
      <c r="L182" s="1573">
        <v>139965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100744</v>
      </c>
      <c r="D184" s="1681">
        <f t="shared" ref="D184:J184" si="17">SUM(D180,D182,D183)</f>
        <v>1980</v>
      </c>
      <c r="E184" s="1681">
        <f t="shared" si="17"/>
        <v>7980</v>
      </c>
      <c r="F184" s="1681">
        <f t="shared" si="17"/>
        <v>18319</v>
      </c>
      <c r="G184" s="1681">
        <f t="shared" si="17"/>
        <v>0</v>
      </c>
      <c r="H184" s="1681">
        <f t="shared" si="17"/>
        <v>1306</v>
      </c>
      <c r="I184" s="1681">
        <f t="shared" si="17"/>
        <v>0</v>
      </c>
      <c r="J184" s="1681">
        <f t="shared" si="17"/>
        <v>0</v>
      </c>
      <c r="K184" s="1681">
        <f>SUM(K180,K182,K183)</f>
        <v>130329</v>
      </c>
      <c r="L184" s="1681">
        <f>SUM(L180, L182:L183)</f>
        <v>139965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100744</v>
      </c>
      <c r="D210" s="1674">
        <f>SUM(D184,D185)</f>
        <v>1980</v>
      </c>
      <c r="E210" s="1674">
        <f>SUM(E184,E185,E196)</f>
        <v>7980</v>
      </c>
      <c r="F210" s="1674">
        <f>SUM(F184,F185)</f>
        <v>18319</v>
      </c>
      <c r="G210" s="1674">
        <f>SUM(G184,G185)</f>
        <v>0</v>
      </c>
      <c r="H210" s="1674">
        <f>SUM(H184,H185,H196,H208,H209)</f>
        <v>1306</v>
      </c>
      <c r="I210" s="1674">
        <f>SUM(I184,I185)</f>
        <v>0</v>
      </c>
      <c r="J210" s="1674">
        <f>SUM(J184,J185)</f>
        <v>0</v>
      </c>
      <c r="K210" s="1672">
        <f>SUM(K184,K185,K196,K208,K209)</f>
        <v>130329</v>
      </c>
      <c r="L210" s="1674">
        <f>SUM(L184,L185,L196,L208,L209)</f>
        <v>139965</v>
      </c>
    </row>
    <row r="211" spans="1:14" ht="13.5" thickTop="1" x14ac:dyDescent="0.2">
      <c r="A211" s="2261" t="s">
        <v>989</v>
      </c>
      <c r="B211" s="2262"/>
      <c r="C211" s="1675"/>
      <c r="D211" s="1675"/>
      <c r="E211" s="1675"/>
      <c r="F211" s="1675"/>
      <c r="G211" s="1675"/>
      <c r="H211" s="1675"/>
      <c r="I211" s="1673"/>
      <c r="J211" s="1673"/>
      <c r="K211" s="1689">
        <f>'Revenues 9-14'!F268-'Expenditures 15-22'!K210</f>
        <v>1606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8667</v>
      </c>
      <c r="E215" s="1673"/>
      <c r="F215" s="1673"/>
      <c r="G215" s="1673"/>
      <c r="H215" s="1673"/>
      <c r="I215" s="1673"/>
      <c r="J215" s="1673"/>
      <c r="K215" s="1672">
        <f>D215</f>
        <v>8667</v>
      </c>
      <c r="L215" s="1573">
        <v>8750</v>
      </c>
    </row>
    <row r="216" spans="1:14" x14ac:dyDescent="0.2">
      <c r="A216" s="1274" t="s">
        <v>162</v>
      </c>
      <c r="B216" s="503" t="s">
        <v>961</v>
      </c>
      <c r="C216" s="1673"/>
      <c r="D216" s="1574">
        <v>2794</v>
      </c>
      <c r="E216" s="1673"/>
      <c r="F216" s="1673"/>
      <c r="G216" s="1673"/>
      <c r="H216" s="1673"/>
      <c r="I216" s="1673"/>
      <c r="J216" s="1673"/>
      <c r="K216" s="1672">
        <f t="shared" ref="K216:K228" si="19">D216</f>
        <v>2794</v>
      </c>
      <c r="L216" s="1573">
        <v>3220</v>
      </c>
    </row>
    <row r="217" spans="1:14" x14ac:dyDescent="0.2">
      <c r="A217" s="1274" t="s">
        <v>163</v>
      </c>
      <c r="B217" s="503">
        <v>1200</v>
      </c>
      <c r="C217" s="1673"/>
      <c r="D217" s="1573">
        <v>6968</v>
      </c>
      <c r="E217" s="1673"/>
      <c r="F217" s="1673"/>
      <c r="G217" s="1673"/>
      <c r="H217" s="1673"/>
      <c r="I217" s="1673"/>
      <c r="J217" s="1673"/>
      <c r="K217" s="1672">
        <f t="shared" si="19"/>
        <v>6968</v>
      </c>
      <c r="L217" s="1573">
        <v>7175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582</v>
      </c>
      <c r="E219" s="1673"/>
      <c r="F219" s="1673"/>
      <c r="G219" s="1673"/>
      <c r="H219" s="1673"/>
      <c r="I219" s="1673"/>
      <c r="J219" s="1673"/>
      <c r="K219" s="1672">
        <f t="shared" si="19"/>
        <v>582</v>
      </c>
      <c r="L219" s="1573">
        <v>560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1789</v>
      </c>
      <c r="E223" s="1673"/>
      <c r="F223" s="1673"/>
      <c r="G223" s="1673"/>
      <c r="H223" s="1673"/>
      <c r="I223" s="1673"/>
      <c r="J223" s="1673"/>
      <c r="K223" s="1672">
        <f t="shared" si="19"/>
        <v>1789</v>
      </c>
      <c r="L223" s="1573">
        <v>2245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v>147</v>
      </c>
      <c r="E225" s="1673"/>
      <c r="F225" s="1673"/>
      <c r="G225" s="1673"/>
      <c r="H225" s="1673"/>
      <c r="I225" s="1673"/>
      <c r="J225" s="1673"/>
      <c r="K225" s="1672">
        <f t="shared" si="19"/>
        <v>147</v>
      </c>
      <c r="L225" s="1573">
        <v>175</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20947</v>
      </c>
      <c r="E229" s="1673"/>
      <c r="F229" s="1673"/>
      <c r="G229" s="1673"/>
      <c r="H229" s="1673"/>
      <c r="I229" s="1673"/>
      <c r="J229" s="1673"/>
      <c r="K229" s="1674">
        <f>SUM(K215:K228)</f>
        <v>20947</v>
      </c>
      <c r="L229" s="1674">
        <f>SUM(L215:L228)</f>
        <v>22125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2996</v>
      </c>
      <c r="E234" s="1673"/>
      <c r="F234" s="1673"/>
      <c r="G234" s="1673"/>
      <c r="H234" s="1673"/>
      <c r="I234" s="1673"/>
      <c r="J234" s="1673"/>
      <c r="K234" s="1672">
        <f t="shared" si="20"/>
        <v>2996</v>
      </c>
      <c r="L234" s="1573">
        <v>3200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797</v>
      </c>
      <c r="E236" s="1673"/>
      <c r="F236" s="1673"/>
      <c r="G236" s="1673"/>
      <c r="H236" s="1673"/>
      <c r="I236" s="1673"/>
      <c r="J236" s="1673"/>
      <c r="K236" s="1672">
        <f t="shared" si="20"/>
        <v>797</v>
      </c>
      <c r="L236" s="1573">
        <v>800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3793</v>
      </c>
      <c r="E238" s="1673"/>
      <c r="F238" s="1673"/>
      <c r="G238" s="1673"/>
      <c r="H238" s="1673"/>
      <c r="I238" s="1673"/>
      <c r="J238" s="1673"/>
      <c r="K238" s="1674">
        <f>SUM(K232:K237)</f>
        <v>3793</v>
      </c>
      <c r="L238" s="1674">
        <f>SUM(L232:L237)</f>
        <v>4000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11</v>
      </c>
      <c r="E240" s="1673"/>
      <c r="F240" s="1673"/>
      <c r="G240" s="1673"/>
      <c r="H240" s="1673"/>
      <c r="I240" s="1673"/>
      <c r="J240" s="1673"/>
      <c r="K240" s="1678">
        <f>D240</f>
        <v>11</v>
      </c>
      <c r="L240" s="1586">
        <v>135</v>
      </c>
    </row>
    <row r="241" spans="1:12" x14ac:dyDescent="0.2">
      <c r="A241" s="1274" t="s">
        <v>810</v>
      </c>
      <c r="B241" s="503">
        <v>2220</v>
      </c>
      <c r="C241" s="1673"/>
      <c r="D241" s="1573">
        <v>1472</v>
      </c>
      <c r="E241" s="1673"/>
      <c r="F241" s="1673"/>
      <c r="G241" s="1673"/>
      <c r="H241" s="1673"/>
      <c r="I241" s="1673"/>
      <c r="J241" s="1673"/>
      <c r="K241" s="1678">
        <f>D241</f>
        <v>1472</v>
      </c>
      <c r="L241" s="1573">
        <v>1825</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1483</v>
      </c>
      <c r="E243" s="1673"/>
      <c r="F243" s="1673"/>
      <c r="G243" s="1673"/>
      <c r="H243" s="1673"/>
      <c r="I243" s="1673"/>
      <c r="J243" s="1673"/>
      <c r="K243" s="1674">
        <f>SUM(K240:K242)</f>
        <v>1483</v>
      </c>
      <c r="L243" s="1674">
        <f>SUM(L240:L242)</f>
        <v>1960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275</v>
      </c>
      <c r="E245" s="1673"/>
      <c r="F245" s="1673"/>
      <c r="G245" s="1673"/>
      <c r="H245" s="1673"/>
      <c r="I245" s="1673"/>
      <c r="J245" s="1673"/>
      <c r="K245" s="1678">
        <f>D245</f>
        <v>275</v>
      </c>
      <c r="L245" s="1586">
        <v>295</v>
      </c>
    </row>
    <row r="246" spans="1:12" x14ac:dyDescent="0.2">
      <c r="A246" s="1274" t="s">
        <v>813</v>
      </c>
      <c r="B246" s="503">
        <v>2320</v>
      </c>
      <c r="C246" s="1673"/>
      <c r="D246" s="1573">
        <v>2999</v>
      </c>
      <c r="E246" s="1673"/>
      <c r="F246" s="1673"/>
      <c r="G246" s="1673"/>
      <c r="H246" s="1673"/>
      <c r="I246" s="1673"/>
      <c r="J246" s="1673"/>
      <c r="K246" s="1678">
        <f t="shared" ref="K246:K256" si="21">D246</f>
        <v>2999</v>
      </c>
      <c r="L246" s="1573">
        <v>3225</v>
      </c>
    </row>
    <row r="247" spans="1:12" x14ac:dyDescent="0.2">
      <c r="A247" s="1274" t="s">
        <v>814</v>
      </c>
      <c r="B247" s="503">
        <v>2330</v>
      </c>
      <c r="C247" s="1673"/>
      <c r="D247" s="1573">
        <v>146</v>
      </c>
      <c r="E247" s="1673"/>
      <c r="F247" s="1673"/>
      <c r="G247" s="1673"/>
      <c r="H247" s="1673"/>
      <c r="I247" s="1673"/>
      <c r="J247" s="1673"/>
      <c r="K247" s="1678">
        <f t="shared" si="21"/>
        <v>146</v>
      </c>
      <c r="L247" s="1573">
        <v>160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3420</v>
      </c>
      <c r="E257" s="1673"/>
      <c r="F257" s="1673"/>
      <c r="G257" s="1673"/>
      <c r="H257" s="1673"/>
      <c r="I257" s="1673"/>
      <c r="J257" s="1673"/>
      <c r="K257" s="1674">
        <f>SUM(K245:K256)</f>
        <v>3420</v>
      </c>
      <c r="L257" s="1674">
        <f>SUM(L245:L256)</f>
        <v>3680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3254</v>
      </c>
      <c r="E259" s="1673"/>
      <c r="F259" s="1673"/>
      <c r="G259" s="1673"/>
      <c r="H259" s="1673"/>
      <c r="I259" s="1673"/>
      <c r="J259" s="1673"/>
      <c r="K259" s="1678">
        <f>D259</f>
        <v>3254</v>
      </c>
      <c r="L259" s="1586">
        <v>3725</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3254</v>
      </c>
      <c r="E261" s="1673"/>
      <c r="F261" s="1673"/>
      <c r="G261" s="1673"/>
      <c r="H261" s="1673"/>
      <c r="I261" s="1673"/>
      <c r="J261" s="1673"/>
      <c r="K261" s="1674">
        <f>SUM(K259:K260)</f>
        <v>3254</v>
      </c>
      <c r="L261" s="1674">
        <f>SUM(L259:L260)</f>
        <v>3725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3237</v>
      </c>
      <c r="E264" s="1673"/>
      <c r="F264" s="1673"/>
      <c r="G264" s="1673"/>
      <c r="H264" s="1673"/>
      <c r="I264" s="1673"/>
      <c r="J264" s="1673"/>
      <c r="K264" s="1678">
        <f t="shared" ref="K264:K269" si="22">D264</f>
        <v>3237</v>
      </c>
      <c r="L264" s="1573">
        <v>3500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6612</v>
      </c>
      <c r="E266" s="1673"/>
      <c r="F266" s="1673"/>
      <c r="G266" s="1673"/>
      <c r="H266" s="1673"/>
      <c r="I266" s="1673"/>
      <c r="J266" s="1673"/>
      <c r="K266" s="1678">
        <f t="shared" si="22"/>
        <v>6612</v>
      </c>
      <c r="L266" s="1573">
        <v>7100</v>
      </c>
    </row>
    <row r="267" spans="1:14" x14ac:dyDescent="0.2">
      <c r="A267" s="1274" t="s">
        <v>947</v>
      </c>
      <c r="B267" s="503">
        <v>2550</v>
      </c>
      <c r="C267" s="1673"/>
      <c r="D267" s="1573">
        <v>9580</v>
      </c>
      <c r="E267" s="1673"/>
      <c r="F267" s="1673"/>
      <c r="G267" s="1673"/>
      <c r="H267" s="1673"/>
      <c r="I267" s="1673"/>
      <c r="J267" s="1673"/>
      <c r="K267" s="1678">
        <f t="shared" si="22"/>
        <v>9580</v>
      </c>
      <c r="L267" s="1573">
        <v>9275</v>
      </c>
    </row>
    <row r="268" spans="1:14" x14ac:dyDescent="0.2">
      <c r="A268" s="1274" t="s">
        <v>100</v>
      </c>
      <c r="B268" s="503">
        <v>2560</v>
      </c>
      <c r="C268" s="1673"/>
      <c r="D268" s="1573">
        <v>2222</v>
      </c>
      <c r="E268" s="1673"/>
      <c r="F268" s="1673"/>
      <c r="G268" s="1673"/>
      <c r="H268" s="1673"/>
      <c r="I268" s="1673"/>
      <c r="J268" s="1673"/>
      <c r="K268" s="1678">
        <f t="shared" si="22"/>
        <v>2222</v>
      </c>
      <c r="L268" s="1573">
        <v>2950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21651</v>
      </c>
      <c r="E270" s="1673"/>
      <c r="F270" s="1673"/>
      <c r="G270" s="1673"/>
      <c r="H270" s="1673"/>
      <c r="I270" s="1673"/>
      <c r="J270" s="1673"/>
      <c r="K270" s="1674">
        <f>SUM(K263:K269)</f>
        <v>21651</v>
      </c>
      <c r="L270" s="1674">
        <f>SUM(L263:L269)</f>
        <v>22825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33601</v>
      </c>
      <c r="E279" s="1673"/>
      <c r="F279" s="1673"/>
      <c r="G279" s="1673"/>
      <c r="H279" s="1673"/>
      <c r="I279" s="1673"/>
      <c r="J279" s="1673"/>
      <c r="K279" s="1681">
        <f>SUM(K238,K243,K257,K261,K270,K277,K278)</f>
        <v>33601</v>
      </c>
      <c r="L279" s="1681">
        <f>SUM(L238,L243,L257,L261,L270,L277,L278)</f>
        <v>36190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54548</v>
      </c>
      <c r="E295" s="1673"/>
      <c r="F295" s="1673"/>
      <c r="G295" s="1673"/>
      <c r="H295" s="1674">
        <f>H293</f>
        <v>0</v>
      </c>
      <c r="I295" s="1673"/>
      <c r="J295" s="1673"/>
      <c r="K295" s="1674">
        <f>SUM(K229,K279,K280,K285,K293,K294)</f>
        <v>54548</v>
      </c>
      <c r="L295" s="1674">
        <f>SUM(L229,L279,L280,L285,L293,L294)</f>
        <v>58315</v>
      </c>
    </row>
    <row r="296" spans="1:14" ht="13.5" thickTop="1" x14ac:dyDescent="0.2">
      <c r="A296" s="2261" t="s">
        <v>989</v>
      </c>
      <c r="B296" s="2262"/>
      <c r="C296" s="1673"/>
      <c r="D296" s="1675"/>
      <c r="E296" s="1673"/>
      <c r="F296" s="1673"/>
      <c r="G296" s="1673"/>
      <c r="H296" s="1707"/>
      <c r="I296" s="1673"/>
      <c r="J296" s="1673"/>
      <c r="K296" s="1689">
        <f>'Revenues 9-14'!G268-'Expenditures 15-22'!K295</f>
        <v>4046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7976</v>
      </c>
      <c r="F320" s="1574"/>
      <c r="G320" s="1574"/>
      <c r="H320" s="1574"/>
      <c r="I320" s="1574"/>
      <c r="J320" s="1574"/>
      <c r="K320" s="1672">
        <f t="shared" ref="K320:K327" si="24">SUM(C320:J320)</f>
        <v>7976</v>
      </c>
      <c r="L320" s="1574">
        <v>8000</v>
      </c>
      <c r="M320" s="539"/>
      <c r="N320" s="539"/>
    </row>
    <row r="321" spans="1:14" s="548" customFormat="1" x14ac:dyDescent="0.2">
      <c r="A321" s="1289" t="s">
        <v>297</v>
      </c>
      <c r="B321" s="567" t="s">
        <v>281</v>
      </c>
      <c r="C321" s="1574"/>
      <c r="D321" s="1574"/>
      <c r="E321" s="1574">
        <v>1843</v>
      </c>
      <c r="F321" s="1574"/>
      <c r="G321" s="1574"/>
      <c r="H321" s="1574"/>
      <c r="I321" s="1574"/>
      <c r="J321" s="1574"/>
      <c r="K321" s="1672">
        <f t="shared" si="24"/>
        <v>1843</v>
      </c>
      <c r="L321" s="1574">
        <v>5500</v>
      </c>
      <c r="M321" s="539"/>
      <c r="N321" s="539"/>
    </row>
    <row r="322" spans="1:14" s="548" customFormat="1" x14ac:dyDescent="0.2">
      <c r="A322" s="1289" t="s">
        <v>236</v>
      </c>
      <c r="B322" s="567" t="s">
        <v>282</v>
      </c>
      <c r="C322" s="1574"/>
      <c r="D322" s="1574"/>
      <c r="E322" s="1574">
        <v>23230</v>
      </c>
      <c r="F322" s="1574"/>
      <c r="G322" s="1574"/>
      <c r="H322" s="1574"/>
      <c r="I322" s="1574"/>
      <c r="J322" s="1574"/>
      <c r="K322" s="1672">
        <f t="shared" si="24"/>
        <v>23230</v>
      </c>
      <c r="L322" s="1574">
        <v>23500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33049</v>
      </c>
      <c r="F330" s="1674">
        <f t="shared" si="25"/>
        <v>0</v>
      </c>
      <c r="G330" s="1674">
        <f t="shared" si="25"/>
        <v>0</v>
      </c>
      <c r="H330" s="1674">
        <f t="shared" si="25"/>
        <v>0</v>
      </c>
      <c r="I330" s="1674">
        <f t="shared" si="25"/>
        <v>0</v>
      </c>
      <c r="J330" s="1674">
        <f t="shared" si="25"/>
        <v>0</v>
      </c>
      <c r="K330" s="1674">
        <f>SUM(K319:K329)</f>
        <v>33049</v>
      </c>
      <c r="L330" s="1674">
        <f>SUM(L319:L329)</f>
        <v>37000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33049</v>
      </c>
      <c r="F342" s="1674">
        <f>SUM(F330)</f>
        <v>0</v>
      </c>
      <c r="G342" s="1674">
        <f>SUM(G330)</f>
        <v>0</v>
      </c>
      <c r="H342" s="1674">
        <f>SUM(H330,H334,H340)</f>
        <v>0</v>
      </c>
      <c r="I342" s="1674">
        <f>SUM(I330)</f>
        <v>0</v>
      </c>
      <c r="J342" s="1674">
        <f>SUM(J330)</f>
        <v>0</v>
      </c>
      <c r="K342" s="1674">
        <f>SUM(K330,K334,K340)</f>
        <v>33049</v>
      </c>
      <c r="L342" s="1681">
        <f>SUM(L330,L334,L340,L341)</f>
        <v>37000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6300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microsoft.com/office/infopath/2007/PartnerControls"/>
    <ds:schemaRef ds:uri="http://purl.org/dc/elements/1.1/"/>
    <ds:schemaRef ds:uri="http://schemas.microsoft.com/office/2006/documentManagement/types"/>
    <ds:schemaRef ds:uri="http://purl.org/dc/dcmitype/"/>
    <ds:schemaRef ds:uri="d21dc803-237d-4c68-8692-8d731fd29118"/>
    <ds:schemaRef ds:uri="http://purl.org/dc/terms/"/>
    <ds:schemaRef ds:uri="4d435f69-8686-490b-bd6d-b153bf22ab50"/>
    <ds:schemaRef ds:uri="http://schemas.openxmlformats.org/package/2006/metadata/core-properties"/>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2020-09-02T14:12:03Z</cp:lastPrinted>
  <dcterms:created xsi:type="dcterms:W3CDTF">2003-10-29T19:06:34Z</dcterms:created>
  <dcterms:modified xsi:type="dcterms:W3CDTF">2020-09-23T15:12:25Z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