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4D50C3A-A390-49D6-B910-B90273694FE4}"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9" i="4" l="1"/>
  <c r="N57" i="184" l="1"/>
  <c r="N67" i="184"/>
  <c r="N66" i="184"/>
  <c r="N65" i="184"/>
  <c r="N64" i="184"/>
  <c r="N63" i="184"/>
  <c r="N62" i="184"/>
  <c r="N61" i="184"/>
  <c r="E67" i="184" l="1"/>
  <c r="E66" i="184"/>
  <c r="E65" i="184"/>
  <c r="E64" i="184"/>
  <c r="E63" i="184"/>
  <c r="E62" i="184"/>
  <c r="E61" i="184"/>
  <c r="E57" i="184"/>
  <c r="F15" i="184" l="1"/>
  <c r="F19" i="184" s="1"/>
  <c r="E17" i="184"/>
  <c r="E16"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3" i="127"/>
  <c r="B64"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8" i="36" l="1"/>
  <c r="B7153" i="106"/>
  <c r="D7153" i="106" s="1"/>
  <c r="E60" i="184"/>
  <c r="N60" i="184" s="1"/>
  <c r="B7135" i="106"/>
  <c r="D7135" i="106" s="1"/>
  <c r="E58" i="184"/>
  <c r="G30" i="108"/>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81" i="106" l="1"/>
  <c r="D1381" i="106" s="1"/>
  <c r="L16" i="11"/>
  <c r="B2061" i="106" s="1"/>
  <c r="D2061" i="106" s="1"/>
  <c r="E367" i="29"/>
  <c r="B3636" i="106" s="1"/>
  <c r="D3636" i="106" s="1"/>
  <c r="B3635" i="106"/>
  <c r="N58" i="184"/>
  <c r="N68" i="184" s="1"/>
  <c r="E68" i="184"/>
  <c r="L114" i="29"/>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J78" i="4" s="1"/>
  <c r="J10" i="4"/>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<sst xmlns="http://schemas.openxmlformats.org/spreadsheetml/2006/main" count="5154" uniqueCount="2085">
  <si>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</si>
  <si>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</si>
  <si>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</si>
  <si>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</si>
  <si>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</si>
  <si>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</si>
  <si>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</si>
  <si>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</si>
  <si>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</si>
  <si>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</si>
  <si>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</si>
  <si>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</si>
  <si>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</si>
  <si>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</si>
  <si>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</si>
  <si>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</si>
  <si>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</si>
  <si>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</si>
  <si>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</si>
  <si>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</si>
  <si>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</si>
  <si>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</si>
  <si>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</si>
  <si>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</si>
  <si>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</si>
  <si>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</si>
  <si>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</si>
  <si>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</si>
  <si>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</si>
  <si>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</si>
  <si>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</si>
  <si>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</si>
  <si>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</si>
  <si>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</si>
  <si>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</si>
  <si>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</si>
  <si>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</si>
  <si>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</si>
  <si>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</si>
  <si>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</si>
  <si>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</si>
  <si>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</si>
  <si>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</si>
  <si>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</si>
  <si>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</si>
  <si>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</si>
  <si>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</si>
  <si>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</si>
  <si>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</si>
  <si>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</si>
  <si>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</si>
  <si>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</si>
  <si>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</si>
  <si>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</si>
  <si>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</si>
  <si>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</si>
  <si>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</si>
  <si>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</si>
  <si>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</si>
  <si>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</si>
  <si>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</si>
  <si>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</si>
  <si>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</si>
  <si>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</si>
  <si>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</si>
  <si>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</si>
  <si>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</si>
  <si>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</si>
  <si>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</si>
  <si>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</si>
  <si>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</si>
  <si>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</si>
  <si>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</si>
  <si>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</si>
  <si>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</si>
  <si>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</si>
  <si>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</si>
  <si>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</si>
  <si>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</si>
  <si>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</si>
  <si>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</si>
  <si>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</si>
  <si>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</si>
  <si>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</si>
  <si>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</si>
  <si>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</si>
  <si>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</si>
  <si>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</si>
  <si>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</si>
  <si>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</si>
  <si>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</si>
  <si>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</si>
  <si>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</si>
  <si>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</si>
  <si>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</si>
  <si>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</si>
  <si>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</si>
  <si>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</si>
  <si>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</si>
  <si>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</si>
  <si>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</si>
  <si>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</si>
  <si>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</si>
  <si>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</si>
  <si>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</si>
  <si>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</si>
  <si>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</si>
  <si>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</si>
  <si>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</si>
  <si>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</si>
  <si>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</si>
  <si>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</si>
  <si>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</si>
  <si>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</si>
  <si>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</si>
  <si>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</si>
  <si>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</si>
  <si>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</si>
  <si>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</si>
  <si>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</si>
  <si>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</si>
  <si>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</si>
  <si>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</si>
  <si>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</si>
  <si>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</si>
  <si>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</si>
  <si>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</si>
  <si>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</si>
  <si>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</si>
  <si>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</si>
  <si>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</si>
  <si>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</si>
  <si>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</si>
  <si>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</si>
  <si>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</si>
  <si>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</si>
  <si>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</si>
  <si>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</si>
  <si>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</si>
  <si>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</si>
  <si>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</si>
  <si>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</si>
  <si>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</si>
  <si>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</si>
  <si>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</si>
  <si>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</si>
  <si>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</si>
  <si>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</si>
  <si>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</si>
  <si>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</si>
  <si>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</si>
  <si>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</si>
  <si>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</si>
  <si>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</si>
  <si>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</si>
  <si>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</si>
  <si>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</si>
  <si>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</si>
  <si>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</si>
  <si>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</si>
  <si>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</si>
  <si>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</si>
  <si>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</si>
  <si>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</si>
  <si>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</si>
  <si>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</si>
  <si>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</si>
  <si>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</si>
  <si>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</si>
  <si>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</si>
  <si>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</si>
  <si>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</si>
  <si>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</si>
  <si>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</si>
  <si>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</si>
  <si>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</si>
  <si>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</si>
  <si>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</si>
  <si>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</si>
  <si>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</si>
  <si>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</si>
  <si>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</si>
  <si>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</si>
  <si>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</si>
  <si>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</si>
  <si>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</si>
  <si>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</si>
  <si>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</si>
  <si>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</si>
  <si>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</si>
  <si>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</si>
  <si>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</si>
  <si>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</si>
  <si>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</si>
  <si>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</si>
  <si>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</si>
  <si>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</si>
  <si>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</si>
  <si>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</si>
  <si>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</si>
  <si>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</si>
  <si>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</si>
  <si>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</si>
  <si>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</si>
  <si>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</si>
  <si>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</si>
  <si>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</si>
  <si>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</si>
  <si>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</si>
  <si>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</si>
  <si>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</si>
  <si>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</si>
  <si>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</si>
  <si>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</si>
  <si>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</si>
  <si>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</si>
  <si>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</si>
  <si>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</si>
  <si>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</si>
  <si>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</si>
  <si>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</si>
  <si>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</si>
  <si>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</si>
  <si>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</si>
  <si>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</si>
  <si>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</si>
  <si>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</si>
  <si>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</si>
  <si>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</si>
  <si>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</si>
  <si>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</si>
  <si>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</si>
  <si>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</si>
  <si>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</si>
  <si>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</si>
  <si>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</si>
  <si>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</si>
  <si>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</si>
  <si>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</si>
  <si>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</si>
  <si>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</si>
  <si>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</si>
  <si>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</si>
  <si>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</si>
  <si>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</si>
  <si>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</si>
  <si>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</si>
  <si>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</si>
  <si>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</si>
  <si>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</si>
  <si>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</si>
  <si>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</si>
  <si>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</si>
  <si>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</si>
  <si>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</si>
  <si>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</si>
  <si>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</si>
  <si>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</si>
  <si>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</si>
  <si>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</si>
  <si>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</si>
  <si>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</si>
  <si>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</si>
  <si>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</si>
  <si>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</si>
  <si>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</si>
  <si>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</si>
  <si>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</si>
  <si>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</si>
  <si>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</si>
  <si>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</si>
  <si>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</si>
  <si>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</si>
  <si>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</si>
  <si>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</si>
  <si>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</si>
  <si>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</si>
  <si>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</si>
  <si>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</si>
  <si>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</si>
  <si>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</si>
  <si>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</si>
  <si>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</si>
  <si>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</si>
  <si>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</si>
  <si>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</si>
  <si>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</si>
  <si>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</si>
  <si>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</si>
  <si>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</si>
  <si>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</si>
  <si>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</si>
  <si>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</si>
  <si>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</si>
  <si>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</si>
  <si>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</si>
  <si>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</si>
  <si>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</si>
  <si>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</si>
  <si>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</si>
  <si>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</si>
  <si>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</si>
  <si>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</si>
  <si>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</si>
  <si>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</si>
  <si>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</si>
  <si>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</si>
  <si>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</si>
  <si>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</si>
  <si>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</si>
  <si>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</si>
  <si>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</si>
  <si>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</si>
  <si>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</si>
  <si>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</si>
  <si>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</si>
  <si>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</si>
  <si>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</si>
  <si>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</si>
  <si>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</si>
  <si>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</si>
  <si>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</si>
  <si>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</si>
  <si>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</si>
  <si>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</si>
  <si>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</si>
  <si>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</si>
  <si>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</si>
  <si>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</si>
  <si>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</si>
  <si>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</si>
  <si>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</si>
  <si>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</si>
  <si>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</si>
  <si>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</si>
  <si>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</si>
  <si>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</si>
  <si>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</si>
  <si>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</si>
  <si>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</si>
  <si>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</si>
  <si>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</si>
  <si>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</si>
  <si>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</si>
  <si>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</si>
  <si>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</si>
  <si>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</si>
  <si>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</si>
  <si>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</si>
  <si>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</si>
  <si>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</si>
  <si>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</si>
  <si>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</si>
  <si>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</si>
  <si>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</si>
  <si>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</si>
  <si>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</si>
  <si>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</si>
  <si>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</si>
  <si>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</si>
  <si>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</si>
  <si>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</si>
  <si>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</si>
  <si>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</si>
  <si>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</si>
  <si>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</si>
  <si>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</si>
  <si>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</si>
  <si>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</si>
  <si>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</si>
  <si>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</si>
  <si>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</si>
  <si>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</si>
  <si>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</si>
  <si>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</si>
  <si>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</si>
  <si>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</si>
  <si>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</si>
  <si>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</si>
  <si>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</si>
  <si>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</si>
  <si>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</si>
  <si>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</si>
  <si>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</si>
  <si>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</si>
  <si>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</si>
  <si>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</si>
  <si>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</si>
  <si>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</si>
  <si>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</si>
  <si>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</si>
  <si>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</si>
  <si>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</si>
  <si>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</si>
  <si>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</si>
  <si>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</si>
  <si>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</si>
  <si>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</si>
  <si>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</si>
  <si>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</si>
  <si>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</si>
  <si>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</si>
  <si>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</si>
  <si>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</si>
  <si>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</si>
  <si>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</si>
  <si>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</si>
  <si>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</si>
  <si>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</si>
  <si>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</si>
  <si>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</si>
  <si>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</si>
  <si>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</si>
  <si>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</si>
  <si>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</si>
  <si>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</si>
  <si>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</si>
  <si>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</si>
  <si>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</si>
  <si>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</si>
  <si>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</si>
  <si>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</si>
  <si>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</si>
  <si>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</si>
  <si>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</si>
  <si>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</si>
  <si>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</si>
  <si>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</si>
  <si>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</si>
  <si>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</si>
  <si>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</si>
  <si>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</si>
  <si>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</si>
  <si>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</si>
  <si>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</si>
  <si>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</si>
  <si>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</si>
  <si>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</si>
  <si>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</si>
  <si>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</si>
  <si>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</si>
  <si>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</si>
  <si>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</si>
  <si>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</si>
  <si>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</si>
  <si>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</si>
  <si>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</si>
  <si>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</si>
  <si>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</si>
  <si>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</si>
  <si>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</si>
  <si>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</si>
  <si>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</si>
  <si>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</si>
  <si>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</si>
  <si>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</si>
  <si>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</si>
  <si>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</si>
  <si>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</si>
  <si>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</si>
  <si>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</si>
  <si>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</si>
  <si>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</si>
  <si>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</si>
  <si>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</si>
  <si>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</si>
  <si>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</si>
  <si>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</si>
  <si>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</si>
  <si>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</si>
  <si>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</si>
  <si>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</si>
  <si>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</si>
  <si>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</si>
  <si>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</si>
  <si>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</si>
  <si>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</si>
  <si>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</si>
  <si>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</si>
  <si>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</si>
  <si>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</si>
  <si>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</si>
  <si>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</si>
  <si>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</si>
  <si>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</si>
  <si>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</si>
  <si>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</si>
  <si>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</si>
  <si>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</si>
  <si>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</si>
  <si>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</si>
  <si>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</si>
  <si>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</si>
  <si>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</si>
  <si>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</si>
  <si>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</si>
  <si>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</si>
  <si>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</si>
  <si>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</si>
  <si>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</si>
  <si>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</si>
  <si>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</si>
  <si>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</si>
  <si>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</si>
  <si>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</si>
  <si>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</si>
  <si>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</si>
  <si>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</si>
  <si>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</si>
  <si>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</si>
  <si>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</si>
  <si>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</si>
  <si>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</si>
  <si>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</si>
  <si>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</si>
  <si>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</si>
  <si>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</si>
  <si>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</si>
  <si>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</si>
  <si>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</si>
  <si>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</si>
  <si>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</si>
  <si>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</si>
  <si>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</si>
  <si>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</si>
  <si>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</si>
  <si>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</si>
  <si>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</si>
  <si>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</si>
  <si>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</si>
  <si>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</si>
  <si>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</si>
  <si>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</si>
  <si>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</si>
  <si>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</si>
  <si>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</si>
  <si>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</si>
  <si>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</si>
  <si>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</si>
  <si>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</si>
  <si>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</si>
  <si>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</si>
  <si>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</si>
  <si>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</si>
  <si>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</si>
  <si>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</si>
  <si>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</si>
  <si>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</si>
  <si>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</si>
  <si>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</si>
  <si>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</si>
  <si>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</si>
  <si>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</si>
  <si>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</si>
  <si>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</si>
  <si>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</si>
  <si>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</si>
  <si>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</si>
  <si>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</si>
  <si>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</si>
  <si>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</si>
  <si>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</si>
  <si>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</si>
  <si>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</si>
  <si>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</si>
  <si>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</si>
  <si>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</si>
  <si>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</si>
  <si>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</si>
  <si>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</si>
  <si>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</si>
  <si>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</si>
  <si>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</si>
  <si>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</si>
  <si>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</si>
  <si>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</si>
  <si>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</si>
  <si>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</si>
  <si>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</si>
  <si>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</si>
  <si>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</si>
  <si>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</si>
  <si>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</si>
  <si>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</si>
  <si>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</si>
  <si>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</si>
  <si>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</si>
  <si>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</si>
  <si>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</si>
  <si>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</si>
  <si>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</si>
  <si>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</si>
  <si>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</si>
  <si>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</si>
  <si>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</si>
  <si>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</si>
  <si>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</si>
  <si>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</si>
  <si>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</si>
  <si>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</si>
  <si>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</si>
  <si>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</si>
  <si>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</si>
  <si>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</si>
  <si>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</si>
  <si>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</si>
  <si>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</si>
  <si>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</si>
  <si>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</si>
  <si>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</si>
  <si>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</si>
  <si>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</si>
  <si>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</si>
  <si>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</si>
  <si>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</si>
  <si>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</si>
  <si>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</si>
  <si>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</si>
  <si>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</si>
  <si>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</si>
  <si>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</si>
  <si>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</si>
  <si>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</si>
  <si>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</si>
  <si>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</si>
  <si>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</si>
  <si>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</si>
  <si>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</si>
  <si>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</si>
  <si>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</si>
  <si>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</si>
  <si>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</si>
  <si>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</si>
  <si>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</si>
  <si>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</si>
  <si>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</si>
  <si>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</si>
  <si>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</si>
  <si>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</si>
  <si>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</si>
  <si>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</si>
  <si>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</si>
  <si>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</si>
  <si>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</si>
  <si>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</si>
  <si>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</si>
  <si>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</si>
  <si>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</si>
  <si>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</si>
  <si>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</si>
  <si>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</si>
  <si>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</si>
  <si>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</si>
  <si>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</si>
  <si>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</si>
  <si>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</si>
  <si>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</si>
  <si>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</si>
  <si>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</si>
  <si>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</si>
  <si>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</si>
  <si>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</si>
  <si>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</si>
  <si>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</si>
  <si>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</si>
  <si>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</si>
  <si>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</si>
  <si>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</si>
  <si>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</si>
  <si>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</si>
  <si>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</si>
  <si>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</si>
  <si>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</si>
  <si>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</si>
  <si>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</si>
  <si>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</si>
  <si>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</si>
  <si>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</si>
  <si>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</si>
  <si>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</si>
  <si>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</si>
  <si>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</si>
  <si>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</si>
  <si>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</si>
  <si>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</si>
  <si>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</si>
  <si>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</si>
  <si>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</si>
  <si>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</si>
  <si>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</si>
  <si>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</si>
  <si>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</si>
  <si>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</si>
  <si>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</si>
  <si>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</si>
  <si>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</si>
  <si>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</si>
  <si>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</si>
  <si>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</si>
  <si>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</si>
  <si>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</si>
  <si>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</si>
  <si>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</si>
  <si>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</si>
  <si>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</si>
  <si>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</si>
  <si>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</si>
  <si>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</si>
  <si>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</si>
  <si>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</si>
  <si>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</si>
  <si>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</si>
  <si>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</si>
  <si>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</si>
  <si>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</si>
  <si>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</si>
  <si>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</si>
  <si>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</si>
  <si>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</si>
  <si>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</si>
  <si>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</si>
  <si>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</si>
  <si>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</si>
  <si>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</si>
  <si>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</si>
  <si>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</si>
  <si>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</si>
  <si>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</si>
  <si>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</si>
  <si>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</si>
  <si>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</si>
  <si>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</si>
  <si>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</si>
  <si>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</si>
  <si>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</si>
  <si>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</si>
  <si>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</si>
  <si>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</si>
  <si>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</si>
  <si>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</si>
  <si>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</si>
  <si>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</si>
  <si>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</si>
  <si>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</si>
  <si>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</si>
  <si>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</si>
  <si>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</si>
  <si>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</si>
  <si>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</si>
  <si>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</si>
  <si>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</si>
  <si>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</si>
  <si>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</si>
  <si>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</si>
  <si>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</si>
  <si>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</si>
  <si>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</si>
  <si>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</si>
  <si>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</si>
  <si>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</si>
  <si>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</si>
  <si>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</si>
  <si>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</si>
  <si>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</si>
  <si>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</si>
  <si>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</si>
  <si>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</si>
  <si>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</si>
  <si>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</si>
  <si>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</si>
  <si>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</si>
  <si>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</si>
  <si>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</si>
  <si>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</si>
  <si>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</si>
  <si>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</si>
  <si>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</si>
  <si>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</si>
  <si>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</si>
  <si>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</si>
  <si>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</si>
  <si>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</si>
  <si>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</si>
  <si>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</si>
  <si>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</si>
  <si>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</si>
  <si>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</si>
  <si>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</si>
  <si>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</si>
  <si>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</si>
  <si>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</si>
  <si>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</si>
  <si>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</si>
  <si>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</si>
  <si>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</si>
  <si>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</si>
  <si>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</si>
  <si>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</si>
  <si>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</si>
  <si>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</si>
  <si>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</si>
  <si>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</si>
  <si>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</si>
  <si>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</si>
  <si>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</si>
  <si>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</si>
  <si>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</si>
  <si>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</si>
  <si>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</si>
  <si>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</si>
  <si>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</si>
  <si>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</si>
  <si>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</si>
  <si>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</si>
  <si>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</si>
  <si>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</si>
  <si>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</si>
  <si>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</si>
  <si>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</si>
  <si>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</si>
  <si>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</si>
  <si>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</si>
  <si>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</si>
  <si>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</si>
  <si>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</si>
  <si>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</si>
  <si>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</si>
  <si>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</si>
  <si>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</si>
  <si>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</si>
  <si>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</si>
  <si>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</si>
  <si>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</si>
  <si>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</si>
  <si>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</si>
  <si>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</si>
  <si>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</si>
  <si>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</si>
  <si>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</si>
  <si>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</si>
  <si>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</si>
  <si>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</si>
  <si>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</si>
  <si>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</si>
  <si>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</si>
  <si>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</si>
  <si>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</si>
  <si>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</si>
  <si>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</si>
  <si>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</si>
  <si>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</si>
  <si>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</si>
  <si>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</si>
  <si>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</si>
  <si>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</si>
  <si>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</si>
  <si>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</si>
  <si>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</si>
  <si>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</si>
  <si>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</si>
  <si>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</si>
  <si>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</si>
  <si>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</si>
  <si>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</si>
  <si>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</si>
  <si>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</si>
  <si>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</si>
  <si>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</si>
  <si>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</si>
  <si>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</si>
  <si>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</si>
  <si>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</si>
  <si>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</si>
  <si>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</si>
  <si>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</si>
  <si>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</si>
  <si>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</si>
  <si>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</si>
  <si>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</si>
  <si>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</si>
  <si>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</si>
  <si>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</si>
  <si>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</si>
  <si>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</si>
  <si>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</si>
  <si>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</si>
  <si>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</si>
  <si>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</si>
  <si>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</si>
  <si>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</si>
  <si>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</si>
  <si>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</si>
  <si>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</si>
  <si>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</si>
  <si>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</si>
  <si>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</si>
  <si>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</si>
  <si>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</si>
  <si>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</si>
  <si>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</si>
  <si>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</si>
  <si>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</si>
  <si>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</si>
  <si>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</si>
  <si>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</si>
  <si>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</si>
  <si>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</si>
  <si>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</si>
  <si>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</si>
  <si>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</si>
  <si>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</si>
  <si>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</si>
  <si>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</si>
  <si>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</si>
  <si>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</si>
  <si>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</si>
  <si>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</si>
  <si>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</si>
  <si>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</si>
  <si>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</si>
  <si>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</si>
  <si>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</si>
  <si>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</si>
  <si>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</si>
  <si>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</si>
  <si>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</si>
  <si>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</si>
  <si>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</si>
  <si>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</si>
  <si>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</si>
  <si>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</si>
  <si>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</si>
  <si>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</si>
  <si>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</si>
  <si>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</si>
  <si>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</si>
  <si>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</si>
  <si>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</si>
  <si>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</si>
  <si>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</si>
  <si>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</si>
  <si>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</si>
  <si>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</si>
  <si>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</si>
  <si>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</si>
  <si>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</si>
  <si>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</si>
  <si>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</si>
  <si>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</si>
  <si>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</si>
  <si>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</si>
  <si>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</si>
  <si>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</si>
  <si>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</si>
  <si>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</si>
  <si>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</si>
  <si>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</si>
  <si>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</si>
  <si>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</si>
  <si>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</si>
  <si>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</si>
  <si>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</si>
  <si>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</si>
  <si>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</si>
  <si>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</si>
  <si>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</si>
  <si>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</si>
  <si>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</si>
  <si>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</si>
  <si>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</si>
  <si>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</si>
  <si>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</si>
  <si>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</si>
  <si>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</si>
  <si>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</si>
  <si>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</si>
  <si>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</si>
  <si>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</si>
  <si>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</si>
  <si>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</si>
  <si>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</si>
  <si>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</si>
  <si>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</si>
  <si>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</si>
  <si>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</si>
  <si>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</si>
  <si>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</si>
  <si>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</si>
  <si>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</si>
  <si>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</si>
  <si>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</si>
  <si>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</si>
  <si>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</si>
  <si>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</si>
  <si>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</si>
  <si>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</si>
  <si>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</si>
  <si>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</si>
  <si>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</si>
  <si>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</si>
  <si>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</si>
  <si>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</si>
  <si>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</si>
  <si>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</si>
  <si>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</si>
  <si>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</si>
  <si>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</si>
  <si>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</si>
  <si>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</si>
  <si>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</si>
  <si>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</si>
  <si>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</si>
  <si>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</si>
  <si>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</si>
  <si>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</si>
  <si>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</si>
  <si>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</si>
  <si>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</si>
  <si>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</si>
  <si>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</si>
  <si>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</si>
  <si>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</si>
  <si>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</si>
  <si>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</si>
  <si>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</si>
  <si>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</si>
  <si>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</si>
  <si>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</si>
  <si>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</si>
  <si>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</si>
  <si>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</si>
  <si>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</si>
  <si>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</si>
  <si>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</si>
  <si>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</si>
  <si>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</si>
  <si>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</si>
  <si>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</si>
  <si>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</si>
  <si>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</si>
  <si>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</si>
  <si>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</si>
  <si>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</si>
  <si>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</si>
  <si>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</si>
  <si>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</si>
  <si>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</si>
  <si>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</si>
  <si>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</si>
  <si>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</si>
  <si>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</si>
  <si>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</si>
  <si>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</si>
  <si>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</si>
  <si>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</si>
  <si>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</si>
  <si>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</si>
  <si>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</si>
  <si>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</si>
  <si>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</si>
  <si>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</si>
  <si>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</si>
  <si>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</si>
  <si>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</si>
  <si>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</si>
  <si>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</si>
  <si>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</si>
  <si>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</si>
  <si>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</si>
  <si>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</si>
  <si>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</si>
  <si>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</si>
  <si>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</si>
  <si>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</si>
  <si>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</si>
  <si>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</si>
  <si>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</si>
  <si>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</si>
  <si>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</si>
  <si>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</si>
  <si>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</si>
  <si>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</si>
  <si>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</si>
  <si>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</si>
  <si>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</si>
  <si>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</si>
  <si>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</si>
  <si>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</si>
  <si>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</si>
  <si>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</si>
  <si>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</si>
  <si>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</si>
  <si>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</si>
  <si>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</si>
  <si>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</si>
  <si>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</si>
  <si>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</si>
  <si>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</si>
  <si>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</si>
  <si>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</si>
  <si>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</si>
  <si>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</si>
  <si>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</si>
  <si>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</si>
  <si>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</si>
  <si>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</si>
  <si>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</si>
  <si>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</si>
  <si>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</si>
  <si>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</si>
  <si>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</si>
  <si>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</si>
  <si>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</si>
  <si>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</si>
  <si>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</si>
  <si>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</si>
  <si>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</si>
  <si>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</si>
  <si>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</si>
  <si>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</si>
  <si>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</si>
  <si>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</si>
  <si>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</si>
  <si>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</si>
  <si>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</si>
  <si>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</si>
  <si>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</si>
  <si>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</si>
  <si>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</si>
  <si>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</si>
  <si>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</si>
  <si>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</si>
  <si>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</si>
  <si>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</si>
  <si>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</si>
  <si>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</si>
  <si>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</si>
  <si>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</si>
  <si>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</si>
  <si>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</si>
  <si>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</si>
  <si>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</si>
  <si>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</si>
  <si>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</si>
  <si>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</si>
  <si>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</si>
  <si>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</si>
  <si>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</si>
  <si>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</si>
  <si>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</si>
  <si>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</si>
  <si>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</si>
  <si>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</si>
  <si>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</si>
  <si>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</si>
  <si>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</si>
  <si>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</si>
  <si>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</si>
  <si>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</si>
  <si>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</si>
  <si>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</si>
  <si>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</si>
  <si>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</si>
  <si>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</si>
  <si>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</si>
  <si>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</si>
  <si>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</si>
  <si>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</si>
  <si>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</si>
  <si>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</si>
  <si>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</si>
  <si>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</si>
  <si>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</si>
  <si>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</si>
  <si>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</si>
  <si>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</si>
  <si>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</si>
  <si>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</si>
  <si>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</si>
  <si>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</si>
  <si>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</si>
  <si>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</si>
  <si>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</si>
  <si>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</si>
  <si>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</si>
  <si>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</si>
  <si>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</si>
  <si>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</si>
  <si>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</si>
  <si>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</si>
  <si>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</si>
  <si>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</si>
  <si>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</si>
  <si>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</si>
  <si>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</si>
  <si>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</si>
  <si>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</si>
  <si>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</si>
  <si>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</si>
  <si>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</si>
  <si>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</si>
  <si>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</si>
  <si>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</si>
  <si>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</si>
  <si>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</si>
  <si>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</si>
  <si>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</si>
  <si>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</si>
  <si>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</si>
  <si>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</si>
  <si>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</si>
  <si>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</si>
  <si>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</si>
  <si>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</si>
  <si>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</si>
  <si>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</si>
  <si>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</si>
  <si>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</si>
  <si>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</si>
  <si>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</si>
  <si>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</si>
  <si>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</si>
  <si>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</si>
  <si>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</si>
  <si>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</si>
  <si>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</si>
  <si>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</si>
  <si>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</si>
  <si>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</si>
  <si>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</si>
  <si>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</si>
  <si>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</si>
  <si>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</si>
  <si>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</si>
  <si>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</si>
  <si>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</si>
  <si>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</si>
  <si>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</si>
  <si>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</si>
  <si>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</si>
  <si>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</si>
  <si>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</si>
  <si>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</si>
  <si>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</si>
  <si>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</si>
  <si>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</si>
  <si>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</si>
  <si>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</si>
  <si>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</si>
  <si>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</si>
  <si>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</si>
  <si>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</si>
  <si>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</si>
  <si>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</si>
  <si>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</si>
  <si>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</si>
  <si>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</si>
  <si>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</si>
  <si>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</si>
  <si>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</si>
  <si>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</si>
  <si>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</si>
  <si>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</si>
  <si>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</si>
  <si>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</si>
  <si>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</si>
  <si>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</si>
  <si>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</si>
  <si>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</si>
  <si>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</si>
  <si>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</si>
  <si>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</si>
  <si>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</si>
  <si>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</si>
  <si>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</si>
  <si>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</si>
  <si>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</si>
  <si>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</si>
  <si>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</si>
  <si>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</si>
  <si>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</si>
  <si>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</si>
  <si>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</si>
  <si>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</si>
  <si>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</si>
  <si>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</si>
  <si>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</si>
  <si>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</si>
  <si>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</si>
  <si>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</si>
  <si>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</si>
  <si>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</si>
  <si>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</si>
  <si>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</si>
  <si>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</si>
  <si>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</si>
  <si>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</si>
  <si>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</si>
  <si>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</si>
  <si>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</si>
  <si>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</si>
  <si>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</si>
  <si>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</si>
  <si>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</si>
  <si>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</si>
  <si>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</si>
  <si>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</si>
  <si>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</si>
  <si>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</si>
  <si>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</si>
  <si>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</si>
  <si>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</si>
  <si>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</si>
  <si>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</si>
  <si>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</si>
  <si>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</si>
  <si>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</si>
  <si>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</si>
  <si>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</si>
  <si>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</si>
  <si>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</si>
  <si>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</si>
  <si>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</si>
  <si>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</si>
  <si>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</si>
  <si>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</si>
  <si>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</si>
  <si>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</si>
  <si>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</si>
  <si>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</si>
  <si>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</si>
  <si>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</si>
  <si>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</si>
  <si>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</si>
  <si>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</si>
  <si>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</si>
  <si>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</si>
  <si>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</si>
  <si>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</si>
  <si>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</si>
  <si>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</si>
  <si>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</si>
  <si>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</si>
  <si>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</si>
  <si>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</si>
  <si>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</si>
  <si>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</si>
  <si>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</si>
  <si>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</si>
  <si>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</si>
  <si>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</si>
  <si>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</si>
  <si>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</si>
  <si>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</si>
  <si>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</si>
  <si>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</si>
  <si>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</si>
  <si>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</si>
  <si>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</si>
  <si>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</si>
  <si>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</si>
  <si>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</si>
  <si>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</si>
  <si>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</si>
  <si>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</si>
  <si>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</si>
  <si>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</si>
  <si>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</si>
  <si>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</si>
  <si>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</si>
  <si>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</si>
  <si>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</si>
  <si>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</si>
  <si>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</si>
  <si>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</si>
  <si>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</si>
  <si>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</si>
  <si>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</si>
  <si>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</si>
  <si>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</si>
  <si>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</si>
  <si>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</si>
  <si>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</si>
  <si>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</si>
  <si>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</si>
  <si>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</si>
  <si>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</si>
  <si>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</si>
  <si>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</si>
  <si>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</si>
  <si>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</si>
  <si>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</si>
  <si>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</si>
  <si>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</si>
  <si>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</si>
  <si>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</si>
  <si>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</si>
  <si>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</si>
  <si>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</si>
  <si>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</si>
  <si>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</si>
  <si>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</si>
  <si>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</si>
  <si>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</si>
  <si>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</si>
  <si>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</si>
  <si>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</si>
  <si>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</si>
  <si>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</si>
  <si>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</si>
  <si>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</si>
  <si>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</si>
  <si>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</si>
  <si>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</si>
  <si>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</si>
  <si>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</si>
  <si>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</si>
  <si>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</si>
  <si>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</si>
  <si>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</si>
  <si>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</si>
  <si>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</si>
  <si>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</si>
  <si>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</si>
  <si>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</si>
  <si>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</si>
  <si>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</si>
  <si>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</si>
  <si>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</si>
  <si>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</si>
  <si>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</si>
  <si>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</si>
  <si>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</si>
  <si>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</si>
  <si>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</si>
  <si>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</si>
  <si>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</si>
  <si>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</si>
  <si>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</si>
  <si>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</si>
  <si>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</si>
  <si>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</si>
  <si>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</si>
  <si>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</si>
  <si>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</si>
  <si>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</si>
  <si>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</si>
  <si>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</si>
  <si>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</si>
  <si>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</si>
  <si>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</si>
  <si>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</si>
  <si>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</si>
  <si>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</si>
  <si>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</si>
  <si>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</si>
  <si>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</si>
  <si>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</si>
  <si>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</si>
  <si>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</si>
  <si>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</si>
  <si>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</si>
  <si>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</si>
  <si>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</si>
  <si>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</si>
  <si>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</si>
  <si>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</si>
  <si>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</si>
  <si>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</si>
  <si>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</si>
  <si>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</si>
  <si>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</si>
  <si>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</si>
  <si>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</si>
  <si>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</si>
  <si>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</si>
  <si>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</si>
  <si>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</si>
  <si>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</si>
  <si>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</si>
  <si>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</si>
  <si>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</si>
  <si>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</si>
  <si>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</si>
  <si>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</si>
  <si>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</si>
  <si>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</si>
  <si>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</si>
  <si>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</si>
  <si>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</si>
  <si>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</si>
  <si>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</si>
  <si>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</si>
  <si>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</si>
  <si>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</si>
  <si>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</si>
  <si>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</si>
  <si>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</si>
  <si>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</si>
  <si>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</si>
  <si>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</si>
  <si>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</si>
  <si>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</si>
  <si>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</si>
  <si>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</si>
  <si>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</si>
  <si>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</si>
  <si>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</si>
  <si>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</si>
  <si>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</si>
  <si>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</si>
  <si>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</si>
  <si>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</si>
  <si>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</si>
  <si>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</si>
  <si>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</si>
  <si>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</si>
  <si>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</si>
  <si>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</si>
  <si>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</si>
  <si>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</si>
  <si>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</si>
  <si>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</si>
  <si>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</si>
  <si>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</si>
  <si>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</si>
  <si>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</si>
  <si>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</si>
  <si>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</si>
  <si>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</si>
  <si>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</si>
  <si>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</si>
  <si>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</si>
  <si>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</si>
  <si>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</si>
  <si>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</si>
  <si>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</si>
  <si>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</si>
  <si>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</si>
  <si>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</si>
  <si>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</si>
  <si>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</si>
  <si>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</si>
  <si>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</si>
  <si>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</si>
  <si>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</si>
  <si>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</si>
  <si>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</si>
  <si>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</si>
  <si>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</si>
  <si>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</si>
  <si>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</si>
  <si>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</si>
  <si>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</si>
  <si>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</si>
  <si>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</si>
  <si>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</si>
  <si>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</si>
  <si>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</si>
  <si>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</si>
  <si>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</si>
  <si>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</si>
  <si>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</si>
  <si>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</si>
  <si>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</si>
  <si>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</si>
  <si>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</si>
  <si>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</si>
  <si>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</si>
  <si>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</si>
  <si>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</si>
  <si>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</si>
  <si>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</si>
  <si>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</si>
  <si>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</si>
  <si>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</si>
  <si>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</si>
  <si>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</si>
  <si>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</si>
  <si>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</si>
  <si>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</si>
  <si>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</si>
  <si>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</si>
  <si>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</si>
  <si>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</si>
  <si>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</si>
  <si>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</si>
  <si>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</si>
  <si>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</si>
  <si>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</si>
  <si>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</si>
  <si>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</si>
  <si>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</si>
  <si>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</si>
  <si>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</si>
  <si>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</si>
  <si>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</si>
  <si>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</si>
  <si>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</si>
  <si>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</si>
  <si>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</si>
  <si>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</si>
  <si>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</si>
  <si>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</si>
  <si>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</si>
  <si>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</si>
  <si>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</si>
  <si>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</si>
  <si>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</si>
  <si>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</si>
  <si>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</si>
  <si>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</si>
  <si>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</si>
  <si>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</si>
  <si>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</si>
  <si>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</si>
  <si>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</si>
  <si>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</si>
  <si>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</si>
  <si>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</si>
  <si>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</si>
  <si>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</si>
  <si>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</si>
  <si>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</si>
  <si>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</si>
  <si>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</si>
  <si>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</si>
  <si>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</si>
  <si>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</si>
  <si>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</si>
  <si>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</si>
  <si>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</si>
  <si>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</si>
  <si>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</si>
  <si>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</si>
  <si>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</si>
  <si>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</si>
  <si>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</si>
  <si>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</si>
  <si>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</si>
  <si>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</si>
  <si>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</si>
  <si>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</si>
  <si>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</si>
  <si>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</si>
  <si>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</si>
  <si>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</si>
  <si>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</si>
  <si>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</si>
  <si>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</si>
  <si>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</si>
  <si>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</si>
  <si>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</si>
  <si>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</si>
  <si>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</si>
  <si>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</si>
  <si>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</si>
  <si>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</si>
  <si>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</si>
  <si>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</si>
  <si>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</si>
  <si>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</si>
  <si>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</si>
  <si>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</si>
  <si>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</si>
  <si>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</si>
  <si>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</si>
  <si>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</si>
  <si>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</si>
  <si>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</si>
  <si>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</si>
  <si>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</si>
  <si>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</si>
  <si>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</si>
  <si>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</si>
  <si>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</si>
  <si>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</si>
  <si>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</si>
  <si>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</si>
  <si>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</si>
  <si>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</si>
  <si>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</si>
  <si>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</si>
  <si>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</si>
  <si>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</si>
  <si>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</si>
  <si>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</si>
  <si>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</si>
  <si>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</si>
  <si>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</si>
  <si>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</si>
  <si>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</si>
  <si>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</si>
  <si>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</si>
  <si>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</si>
  <si>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</si>
  <si>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</si>
  <si>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</si>
  <si>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</si>
  <si>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</si>
  <si>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</si>
  <si>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</si>
  <si>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</si>
  <si>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</si>
  <si>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</si>
  <si>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</si>
  <si>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</si>
  <si>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</si>
  <si>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</si>
  <si>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</si>
  <si>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</si>
  <si>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</si>
  <si>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</si>
  <si>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</si>
  <si>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</si>
  <si>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</si>
  <si>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</si>
  <si>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</si>
  <si>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</si>
  <si>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</si>
  <si>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</si>
  <si>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</si>
  <si>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</si>
  <si>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</si>
  <si>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</si>
  <si>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</si>
  <si>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</si>
  <si>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</si>
  <si>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</si>
  <si>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</si>
  <si>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</si>
  <si>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</si>
  <si>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</si>
  <si>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</si>
  <si>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</si>
  <si>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</si>
  <si>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</si>
  <si>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</si>
  <si>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</si>
  <si>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</si>
  <si>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</si>
  <si>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</si>
  <si>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</si>
  <si>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</si>
  <si>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</si>
  <si>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</si>
  <si>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</si>
  <si>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</si>
  <si>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</si>
  <si>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</si>
  <si>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</si>
  <si>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</si>
  <si>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</si>
  <si>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</si>
  <si>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</si>
  <si>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</si>
  <si>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</si>
  <si>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</si>
  <si>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</si>
  <si>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</si>
  <si>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</si>
  <si>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</si>
  <si>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</si>
  <si>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</si>
  <si>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</si>
  <si>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</si>
  <si>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</si>
  <si>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</si>
  <si>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</si>
  <si>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</si>
  <si>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</si>
  <si>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</si>
  <si>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</si>
  <si>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</si>
  <si>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</si>
  <si>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</si>
  <si>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</si>
  <si>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</si>
  <si>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</si>
  <si>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</si>
  <si>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</si>
  <si>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</si>
  <si>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</si>
  <si>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</si>
  <si>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</si>
  <si>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</si>
  <si>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</si>
  <si>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</si>
  <si>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</si>
  <si>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</si>
  <si>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</si>
  <si>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</si>
  <si>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</si>
  <si>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</si>
  <si>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</si>
  <si>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</si>
  <si>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</si>
  <si>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</si>
  <si>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</si>
  <si>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</si>
  <si>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</si>
  <si>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</si>
  <si>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</si>
  <si>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</si>
  <si>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</si>
  <si>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</si>
  <si>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</si>
  <si>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</si>
  <si>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</si>
  <si>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</si>
  <si>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</si>
  <si>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</si>
  <si>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</si>
  <si>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</si>
  <si>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</si>
  <si>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</si>
  <si>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</si>
  <si>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</si>
  <si>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</si>
  <si>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</si>
  <si>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</si>
  <si>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</si>
  <si>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</si>
  <si>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</si>
  <si>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</si>
  <si>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</si>
  <si>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</si>
  <si>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</si>
  <si>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</si>
  <si>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</si>
  <si>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</si>
  <si>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</si>
  <si>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</si>
  <si>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</si>
  <si>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</si>
  <si>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</si>
  <si>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</si>
  <si>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</si>
  <si>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</si>
  <si>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</si>
  <si>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</si>
  <si>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</si>
  <si>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</si>
  <si>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</si>
  <si>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</si>
  <si>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</si>
  <si>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</si>
  <si>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</si>
  <si>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</si>
  <si>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</si>
  <si>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</si>
  <si>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</si>
  <si>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</si>
  <si>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</si>
  <si>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</si>
  <si>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</si>
  <si>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</si>
  <si>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</si>
  <si>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</si>
  <si>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</si>
  <si>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</si>
  <si>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</si>
  <si>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</si>
  <si>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</si>
  <si>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</si>
  <si>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</si>
  <si>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</si>
  <si>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</si>
  <si>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</si>
  <si>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</si>
  <si>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</si>
  <si>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</si>
  <si>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</si>
  <si>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</si>
  <si>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</si>
  <si>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</si>
  <si>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</si>
  <si>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</si>
  <si>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</si>
  <si>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</si>
  <si>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</si>
  <si>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</si>
  <si>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</si>
  <si>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</si>
  <si>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</si>
  <si>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</si>
  <si>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</si>
  <si>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</si>
  <si>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</si>
  <si>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</si>
  <si>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</si>
  <si>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</si>
  <si>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</si>
  <si>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</si>
  <si>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</si>
  <si>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</si>
  <si>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</si>
  <si>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</si>
  <si>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</si>
  <si>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</si>
  <si>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</si>
  <si>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</si>
  <si>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</si>
  <si>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</si>
  <si>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</si>
  <si>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</si>
  <si>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</si>
  <si>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</si>
  <si>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</si>
  <si>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</si>
  <si>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</si>
  <si>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</si>
  <si>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</si>
  <si>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</si>
  <si>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</si>
  <si>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</si>
  <si>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</si>
  <si>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</si>
  <si>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</si>
  <si>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</si>
  <si>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</si>
  <si>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</si>
  <si>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</si>
  <si>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</si>
  <si>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</si>
  <si>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</si>
  <si>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</si>
  <si>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</si>
  <si>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</si>
  <si>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</si>
  <si>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</si>
  <si>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</si>
  <si>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</si>
  <si>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</si>
  <si>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</si>
  <si>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</si>
  <si>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</si>
  <si>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</si>
  <si>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</si>
  <si>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</si>
  <si>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</si>
  <si>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</si>
  <si>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</si>
  <si>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</si>
  <si>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</si>
  <si>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</si>
  <si>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</si>
  <si>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</si>
  <si>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</si>
  <si>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</si>
  <si>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</si>
  <si>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</si>
  <si>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</si>
  <si>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</si>
  <si>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</si>
  <si>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</si>
  <si>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</si>
  <si>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</si>
  <si>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</si>
  <si>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</si>
  <si>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</si>
  <si>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</si>
  <si>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</si>
  <si>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</si>
  <si>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</si>
  <si>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</si>
  <si>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</si>
  <si>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</si>
  <si>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</si>
  <si>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</si>
  <si>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</si>
  <si>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</si>
  <si>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</si>
  <si>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</si>
  <si>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</si>
  <si>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</si>
  <si>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</si>
  <si>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</si>
  <si>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</si>
  <si>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</si>
  <si>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</si>
  <si>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</si>
  <si>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</si>
  <si>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</si>
  <si>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</si>
  <si>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</si>
  <si>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</si>
  <si>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</si>
  <si>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</si>
  <si>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</si>
  <si>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</si>
  <si>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</si>
  <si>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</si>
  <si>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</si>
  <si>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</si>
  <si>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</si>
  <si>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</si>
  <si>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</si>
  <si>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</si>
  <si>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</si>
  <si>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</si>
  <si>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</si>
  <si>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</si>
  <si>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</si>
  <si>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</si>
  <si>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</si>
  <si>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</si>
  <si>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</si>
  <si>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</si>
  <si>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</si>
  <si>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</si>
  <si>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</si>
  <si>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</si>
  <si>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</si>
  <si>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</si>
  <si>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</si>
  <si>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</si>
  <si>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</si>
  <si>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</si>
  <si>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</si>
  <si>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</si>
  <si>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</si>
  <si>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</si>
  <si>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</si>
  <si>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</si>
  <si>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</si>
  <si>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</si>
  <si>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</si>
  <si>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</si>
  <si>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</si>
  <si>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</si>
  <si>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</si>
  <si>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</si>
  <si>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</si>
  <si>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</si>
  <si>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</si>
  <si>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</si>
  <si>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</si>
  <si>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</si>
  <si>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</si>
  <si>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</si>
  <si>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</si>
  <si>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</si>
  <si>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</si>
  <si>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</si>
  <si>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</si>
  <si>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</si>
  <si>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</si>
  <si>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</si>
  <si>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</si>
  <si>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</si>
  <si>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</si>
  <si>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</si>
  <si>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300 North 7th Street</t>
  </si>
  <si>
    <t>Cornell</t>
  </si>
  <si>
    <t>gschoonover@cornellgradeschool.org</t>
  </si>
  <si>
    <t>Geoff Schoonover</t>
  </si>
  <si>
    <t>815-358-2214</t>
  </si>
  <si>
    <t>815-358-2217</t>
  </si>
  <si>
    <t>Mack &amp; Associates, P.C.</t>
  </si>
  <si>
    <t>Tawnya Mack, CPA</t>
  </si>
  <si>
    <t>116 E. Washingston St., Suite One</t>
  </si>
  <si>
    <t>Morris</t>
  </si>
  <si>
    <t>IL</t>
  </si>
  <si>
    <t>815-942-3306</t>
  </si>
  <si>
    <t>815-942-9430</t>
  </si>
  <si>
    <t>066-005100</t>
  </si>
  <si>
    <t>tmack@mackcpas.com</t>
  </si>
  <si>
    <t>G.O Alternate Revenue Bonds-2011</t>
  </si>
  <si>
    <t>G.O Alternate Revenue Bonds-2019</t>
  </si>
  <si>
    <t>TriCom</t>
  </si>
  <si>
    <t>ROE Job Bank</t>
  </si>
  <si>
    <t>Graymont Grade School;Flanagan-Cornell District 74; Rooks Creek School District</t>
  </si>
  <si>
    <t>LCSSU</t>
  </si>
  <si>
    <t>Flanagan-Cornell District 74</t>
  </si>
  <si>
    <t>Page 10, Line 74- Education Fund - Other Food Service - Kitchen Supply Sales</t>
  </si>
  <si>
    <t>Page 18, 171 - Debt Services - Other - Bond Agent Fees</t>
  </si>
  <si>
    <t>Page 10, Line 81- Education Fund- Other supplies sold</t>
  </si>
  <si>
    <t>PDF in Opinion Page</t>
  </si>
  <si>
    <t>Ideal Environment ENG. Inc</t>
  </si>
  <si>
    <t>ED-Instruction- Purchased Services</t>
  </si>
  <si>
    <t>O&amp;M - O&amp;M Plant - Purchased Services</t>
  </si>
  <si>
    <t>Page 10, 108- Education Fund - Other Local Revenue - Reimbursements and Other Miscellaneous</t>
  </si>
  <si>
    <t>Page 13, Line 203- School Improvement Grant</t>
  </si>
  <si>
    <t>Cornell CCSD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</si>
</sst>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14" fontId="58" fillId="0" borderId="0" xfId="3" applyNumberFormat="1" applyFont="1" applyBorder="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3"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17053426004</v>
      </c>
      <c r="B13" s="2103"/>
      <c r="C13" s="2103"/>
      <c r="D13" s="2103"/>
      <c r="E13" s="2103"/>
      <c r="F13" s="2103"/>
      <c r="G13" s="2103"/>
      <c r="H13" s="2104"/>
      <c r="I13" s="31"/>
      <c r="J13" s="30"/>
      <c r="K13" s="28"/>
      <c r="L13" s="30"/>
      <c r="M13" s="30"/>
      <c r="N13" s="30"/>
      <c r="O13" s="30"/>
      <c r="P13" s="30"/>
      <c r="Q13" s="30"/>
      <c r="R13" s="30"/>
      <c r="S13" s="30"/>
      <c r="T13" s="2108" t="s">
        <v>2059</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2060</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2084</v>
      </c>
      <c r="B17" s="2076"/>
      <c r="C17" s="2076"/>
      <c r="D17" s="2076"/>
      <c r="E17" s="2076"/>
      <c r="F17" s="2076"/>
      <c r="G17" s="2076"/>
      <c r="H17" s="2101"/>
      <c r="T17" s="2119" t="s">
        <v>2061</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2062</v>
      </c>
      <c r="U19" s="2040"/>
      <c r="V19" s="2040"/>
      <c r="W19" s="2041"/>
      <c r="X19" s="2117" t="s">
        <v>2063</v>
      </c>
      <c r="Y19" s="2118"/>
      <c r="Z19" s="2115">
        <v>60450</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0" t="s">
        <v>2064</v>
      </c>
      <c r="U21" s="2131"/>
      <c r="V21" s="2131"/>
      <c r="W21" s="2131"/>
      <c r="X21" s="2136" t="s">
        <v>2065</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2055</v>
      </c>
      <c r="B23" s="2093"/>
      <c r="C23" s="2093"/>
      <c r="D23" s="2093"/>
      <c r="E23" s="2093"/>
      <c r="F23" s="2093"/>
      <c r="G23" s="2093"/>
      <c r="H23" s="2094"/>
      <c r="T23" s="2075" t="s">
        <v>2066</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61319</v>
      </c>
      <c r="B25" s="2040"/>
      <c r="C25" s="2040"/>
      <c r="D25" s="2040"/>
      <c r="E25" s="2040"/>
      <c r="F25" s="2040"/>
      <c r="G25" s="2040"/>
      <c r="H25" s="2041"/>
      <c r="I25" s="110"/>
      <c r="J25" s="2064"/>
      <c r="K25" s="2064"/>
      <c r="L25" s="2064"/>
      <c r="M25" s="2064"/>
      <c r="N25" s="2064"/>
      <c r="O25" s="2064"/>
      <c r="P25" s="2064"/>
      <c r="Q25" s="2064"/>
      <c r="R25" s="2064"/>
      <c r="S25" s="2065"/>
      <c r="T25" s="2126" t="s">
        <v>2067</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2056</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2055</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2057</v>
      </c>
      <c r="B42" s="2059"/>
      <c r="C42" s="2060"/>
      <c r="D42" s="2058" t="s">
        <v>2058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701031</v>
      </c>
      <c r="C4" s="1722"/>
      <c r="D4" s="1723">
        <f>B4-C4</f>
        <v>701031</v>
      </c>
      <c r="E4" s="1722">
        <v>717879</v>
      </c>
      <c r="F4" s="1723">
        <f>E4-C4</f>
        <v>717879</v>
      </c>
    </row>
    <row r="5" spans="1:8" ht="13.7" customHeight="1" x14ac:dyDescent="0.2">
      <c r="A5" s="579" t="s">
        <v>865</v>
      </c>
      <c r="B5" s="1724">
        <f>'Revenues 9-14'!D5</f>
        <v>109467</v>
      </c>
      <c r="C5" s="1664"/>
      <c r="D5" s="1725">
        <f t="shared" ref="D5:D18" si="0">B5-C5</f>
        <v>109467</v>
      </c>
      <c r="E5" s="1664">
        <v>123817</v>
      </c>
      <c r="F5" s="1725">
        <f>E5-C5</f>
        <v>123817</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80741</v>
      </c>
      <c r="C7" s="1664"/>
      <c r="D7" s="1725">
        <f t="shared" si="0"/>
        <v>80741</v>
      </c>
      <c r="E7" s="1664">
        <v>82684</v>
      </c>
      <c r="F7" s="1725">
        <f t="shared" si="1"/>
        <v>82684</v>
      </c>
    </row>
    <row r="8" spans="1:8" ht="13.7" customHeight="1" x14ac:dyDescent="0.2">
      <c r="A8" s="579" t="s">
        <v>1169</v>
      </c>
      <c r="B8" s="1724">
        <f>'Revenues 9-14'!G5</f>
        <v>28556</v>
      </c>
      <c r="C8" s="1664"/>
      <c r="D8" s="1725">
        <f t="shared" si="0"/>
        <v>28556</v>
      </c>
      <c r="E8" s="1664">
        <v>29246</v>
      </c>
      <c r="F8" s="1725">
        <f t="shared" si="1"/>
        <v>29246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3447</v>
      </c>
      <c r="C10" s="1664"/>
      <c r="D10" s="1725">
        <f t="shared" si="0"/>
        <v>3447</v>
      </c>
      <c r="E10" s="1664">
        <v>3534</v>
      </c>
      <c r="F10" s="1725">
        <f t="shared" si="1"/>
        <v>3534</v>
      </c>
    </row>
    <row r="11" spans="1:8" x14ac:dyDescent="0.2">
      <c r="A11" s="579" t="s">
        <v>406</v>
      </c>
      <c r="B11" s="1724">
        <f>'Revenues 9-14'!J5</f>
        <v>32494</v>
      </c>
      <c r="C11" s="1664"/>
      <c r="D11" s="1725">
        <f t="shared" si="0"/>
        <v>32494</v>
      </c>
      <c r="E11" s="1664">
        <v>33279</v>
      </c>
      <c r="F11" s="1725">
        <f t="shared" si="1"/>
        <v>33279</v>
      </c>
    </row>
    <row r="12" spans="1:8" ht="13.7" customHeight="1" x14ac:dyDescent="0.2">
      <c r="A12" s="579" t="s">
        <v>156</v>
      </c>
      <c r="B12" s="1724">
        <f>'Revenues 9-14'!K5</f>
        <v>6895</v>
      </c>
      <c r="C12" s="1664"/>
      <c r="D12" s="1725">
        <f t="shared" si="0"/>
        <v>6895</v>
      </c>
      <c r="E12" s="1664">
        <v>7065</v>
      </c>
      <c r="F12" s="1725">
        <f t="shared" si="1"/>
        <v>7065</v>
      </c>
    </row>
    <row r="13" spans="1:8" ht="13.7" customHeight="1" x14ac:dyDescent="0.2">
      <c r="A13" s="579" t="s">
        <v>930</v>
      </c>
      <c r="B13" s="1724">
        <f>SUM('Revenues 9-14'!C6:D6)</f>
        <v>4039</v>
      </c>
      <c r="C13" s="1664"/>
      <c r="D13" s="1725">
        <f t="shared" si="0"/>
        <v>4039</v>
      </c>
      <c r="E13" s="1664">
        <v>4138</v>
      </c>
      <c r="F13" s="1725">
        <f t="shared" si="1"/>
        <v>4138</v>
      </c>
    </row>
    <row r="14" spans="1:8" ht="13.7" customHeight="1" x14ac:dyDescent="0.2">
      <c r="A14" s="579" t="s">
        <v>407</v>
      </c>
      <c r="B14" s="1724">
        <f>SUM('Revenues 9-14'!C7:D7,'Revenues 9-14'!F7:H7)</f>
        <v>3940</v>
      </c>
      <c r="C14" s="1664"/>
      <c r="D14" s="1725">
        <f t="shared" si="0"/>
        <v>3940</v>
      </c>
      <c r="E14" s="1664">
        <v>4037</v>
      </c>
      <c r="F14" s="1725">
        <f t="shared" si="1"/>
        <v>4037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24618</v>
      </c>
      <c r="C16" s="1664"/>
      <c r="D16" s="1725">
        <f t="shared" si="0"/>
        <v>24618</v>
      </c>
      <c r="E16" s="1664">
        <v>25212</v>
      </c>
      <c r="F16" s="1725">
        <f t="shared" si="1"/>
        <v>25212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995228</v>
      </c>
      <c r="C19" s="1726">
        <f>SUM(C4:C18)</f>
        <v>0</v>
      </c>
      <c r="D19" s="1726">
        <f>SUM(D4:D18)</f>
        <v>995228</v>
      </c>
      <c r="E19" s="1726">
        <f>SUM(E4:E18)</f>
        <v>1030891</v>
      </c>
      <c r="F19" s="1726">
        <f>SUM(F4:F18)</f>
        <v>1030891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7" colorId="8" zoomScale="110" zoomScaleNormal="110" workbookViewId="0">
      <selection activeCell="I32" sqref="I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40664</v>
      </c>
      <c r="C31" s="1734">
        <v>450000</v>
      </c>
      <c r="D31" s="1735">
        <v>6</v>
      </c>
      <c r="E31" s="1734">
        <v>30000</v>
      </c>
      <c r="F31" s="1734">
        <v>0</v>
      </c>
      <c r="G31" s="1734">
        <v>0</v>
      </c>
      <c r="H31" s="1734">
        <v>30000</v>
      </c>
      <c r="I31" s="1736">
        <f>((E31+F31)-H31)+G31</f>
        <v>0</v>
      </c>
      <c r="J31" s="1734"/>
      <c r="K31" s="596"/>
    </row>
    <row r="32" spans="1:11" ht="12" customHeight="1" x14ac:dyDescent="0.2">
      <c r="A32" s="594" t="s">
        <v>2069</v>
      </c>
      <c r="B32" s="595">
        <v>43565</v>
      </c>
      <c r="C32" s="1734">
        <v>239700</v>
      </c>
      <c r="D32" s="1735">
        <v>3</v>
      </c>
      <c r="E32" s="1734">
        <v>239700</v>
      </c>
      <c r="F32" s="1734">
        <v>0</v>
      </c>
      <c r="G32" s="1734">
        <v>0</v>
      </c>
      <c r="H32" s="1734">
        <v>239700</v>
      </c>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689700</v>
      </c>
      <c r="D49" s="1742"/>
      <c r="E49" s="1736">
        <f t="shared" ref="E49:J49" si="2">SUM(E31:E48)</f>
        <v>269700</v>
      </c>
      <c r="F49" s="1736">
        <f t="shared" si="2"/>
        <v>0</v>
      </c>
      <c r="G49" s="1736">
        <f t="shared" si="2"/>
        <v>0</v>
      </c>
      <c r="H49" s="1736">
        <f t="shared" si="2"/>
        <v>269700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3940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61111</v>
      </c>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3940</v>
      </c>
      <c r="I12" s="1755">
        <f>SUM(I5:I11)</f>
        <v>0</v>
      </c>
      <c r="J12" s="1755">
        <f>SUM(J5:J11)</f>
        <v>61111</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3940</v>
      </c>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v>61111</v>
      </c>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61111</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3940</v>
      </c>
      <c r="I23" s="1755">
        <f>SUM(I14:I16,I21,I22)</f>
        <v>0</v>
      </c>
      <c r="J23" s="1755">
        <f>SUM(J14:J16,J21,J22)</f>
        <v>61111</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8000</v>
      </c>
      <c r="D5" s="1770"/>
      <c r="E5" s="1770"/>
      <c r="F5" s="1765">
        <f>(C5+D5)-E5</f>
        <v>8000</v>
      </c>
      <c r="G5" s="676"/>
      <c r="H5" s="680"/>
      <c r="I5" s="680"/>
      <c r="J5" s="680"/>
      <c r="K5" s="637"/>
      <c r="L5" s="1442">
        <f>F5-K5</f>
        <v>8000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1404324</v>
      </c>
      <c r="D8" s="1771"/>
      <c r="E8" s="1771"/>
      <c r="F8" s="1765">
        <f>(C8+D8)-E8</f>
        <v>1404324</v>
      </c>
      <c r="G8" s="681">
        <v>50</v>
      </c>
      <c r="H8" s="619">
        <v>692683</v>
      </c>
      <c r="I8" s="619">
        <v>33075</v>
      </c>
      <c r="J8" s="619"/>
      <c r="K8" s="1442">
        <f>(H8+I8)-J8</f>
        <v>725758</v>
      </c>
      <c r="L8" s="1442">
        <f>F8-K8</f>
        <v>678566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7104</v>
      </c>
      <c r="D10" s="1772"/>
      <c r="E10" s="1772"/>
      <c r="F10" s="1773">
        <f>(C10+D10)-E10</f>
        <v>7104</v>
      </c>
      <c r="G10" s="681">
        <v>20</v>
      </c>
      <c r="H10" s="683">
        <v>7104</v>
      </c>
      <c r="I10" s="683"/>
      <c r="J10" s="683"/>
      <c r="K10" s="1442">
        <f>(H10+I10)-J10</f>
        <v>7104</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351020</v>
      </c>
      <c r="D12" s="1771">
        <v>6546</v>
      </c>
      <c r="E12" s="1771"/>
      <c r="F12" s="1765">
        <f>(C12+D12)-E12</f>
        <v>357566</v>
      </c>
      <c r="G12" s="681">
        <v>10</v>
      </c>
      <c r="H12" s="619">
        <v>326256</v>
      </c>
      <c r="I12" s="619">
        <v>7865</v>
      </c>
      <c r="J12" s="619"/>
      <c r="K12" s="1442">
        <f>(H12+I12)-J12</f>
        <v>334121</v>
      </c>
      <c r="L12" s="1442">
        <f>F12-K12</f>
        <v>23445</v>
      </c>
    </row>
    <row r="13" spans="1:14" ht="14.25" thickTop="1" thickBot="1" x14ac:dyDescent="0.25">
      <c r="A13" s="684" t="s">
        <v>1112</v>
      </c>
      <c r="B13" s="679">
        <v>252</v>
      </c>
      <c r="C13" s="1771">
        <v>71491</v>
      </c>
      <c r="D13" s="1771">
        <v>7850</v>
      </c>
      <c r="E13" s="1771"/>
      <c r="F13" s="1765">
        <f>(C13+D13)-E13</f>
        <v>79341</v>
      </c>
      <c r="G13" s="681">
        <v>5</v>
      </c>
      <c r="H13" s="619">
        <v>54223</v>
      </c>
      <c r="I13" s="619">
        <v>6435</v>
      </c>
      <c r="J13" s="619"/>
      <c r="K13" s="1442">
        <f>(H13+I13)-J13</f>
        <v>60658</v>
      </c>
      <c r="L13" s="1442">
        <f>F13-K13</f>
        <v>18683</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1841939</v>
      </c>
      <c r="D16" s="1765">
        <f>SUM(D3,D5:D6,D8:D10,D12:D15)</f>
        <v>14396</v>
      </c>
      <c r="E16" s="1765">
        <f>SUM(E3,E5:E6,E8:E10,E12:E15)</f>
        <v>0</v>
      </c>
      <c r="F16" s="1765">
        <f>SUM(F3,F5:F6,F8:F10,F12:F15)</f>
        <v>1856335</v>
      </c>
      <c r="G16" s="681"/>
      <c r="H16" s="1435">
        <f>SUM(H3,H6,H8:H10,H12:H14,)</f>
        <v>1080266</v>
      </c>
      <c r="I16" s="1435">
        <f>SUM(I3,I6,I8:I10,I12:I14,)</f>
        <v>47375</v>
      </c>
      <c r="J16" s="1435">
        <f>SUM(J3,J6,J8:J10,J12:J14,)</f>
        <v>0</v>
      </c>
      <c r="K16" s="1435">
        <f>(H16+I16)-J16</f>
        <v>1127641</v>
      </c>
      <c r="L16" s="1435">
        <f>F16-K16</f>
        <v>728694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47375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1063672</v>
      </c>
      <c r="G8" s="701"/>
    </row>
    <row r="9" spans="1:9" x14ac:dyDescent="0.2">
      <c r="A9" s="705" t="s">
        <v>457</v>
      </c>
      <c r="B9" s="706" t="s">
        <v>1848</v>
      </c>
      <c r="C9" s="707"/>
      <c r="D9" s="705" t="s">
        <v>498</v>
      </c>
      <c r="E9" s="704"/>
      <c r="F9" s="1775">
        <f>'Expenditures 15-22'!K151</f>
        <v>131952</v>
      </c>
      <c r="G9" s="708"/>
    </row>
    <row r="10" spans="1:9" x14ac:dyDescent="0.2">
      <c r="A10" s="705" t="s">
        <v>496</v>
      </c>
      <c r="B10" s="706" t="s">
        <v>1849</v>
      </c>
      <c r="C10" s="707"/>
      <c r="D10" s="705" t="s">
        <v>498</v>
      </c>
      <c r="E10" s="704"/>
      <c r="F10" s="1775">
        <f>'Expenditures 15-22'!K174</f>
        <v>270909</v>
      </c>
      <c r="G10" s="708"/>
    </row>
    <row r="11" spans="1:9" x14ac:dyDescent="0.2">
      <c r="A11" s="705" t="s">
        <v>458</v>
      </c>
      <c r="B11" s="706" t="s">
        <v>1850</v>
      </c>
      <c r="C11" s="707"/>
      <c r="D11" s="705" t="s">
        <v>498</v>
      </c>
      <c r="E11" s="704"/>
      <c r="F11" s="1775">
        <f>'Expenditures 15-22'!K210</f>
        <v>71661</v>
      </c>
      <c r="G11" s="708"/>
    </row>
    <row r="12" spans="1:9" x14ac:dyDescent="0.2">
      <c r="A12" s="705" t="s">
        <v>459</v>
      </c>
      <c r="B12" s="706" t="s">
        <v>1851</v>
      </c>
      <c r="C12" s="707"/>
      <c r="D12" s="705" t="s">
        <v>498</v>
      </c>
      <c r="E12" s="704"/>
      <c r="F12" s="1775">
        <f>'Expenditures 15-22'!K295</f>
        <v>40540</v>
      </c>
      <c r="G12" s="708"/>
    </row>
    <row r="13" spans="1:9" x14ac:dyDescent="0.2">
      <c r="A13" s="705" t="s">
        <v>106</v>
      </c>
      <c r="B13" s="706" t="s">
        <v>1852</v>
      </c>
      <c r="C13" s="707"/>
      <c r="D13" s="705" t="s">
        <v>498</v>
      </c>
      <c r="E13" s="704"/>
      <c r="F13" s="1775">
        <f>'Expenditures 15-22'!K342</f>
        <v>31200</v>
      </c>
      <c r="G13" s="709"/>
    </row>
    <row r="14" spans="1:9" ht="12" customHeight="1" thickBot="1" x14ac:dyDescent="0.25">
      <c r="A14" s="1443"/>
      <c r="B14" s="1444"/>
      <c r="C14" s="1445"/>
      <c r="D14" s="1446" t="s">
        <v>498</v>
      </c>
      <c r="E14" s="1447" t="s">
        <v>952</v>
      </c>
      <c r="F14" s="1776">
        <f>SUM(F8:F13)</f>
        <v>1609934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73431</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1727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269700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344858</v>
      </c>
      <c r="G77" s="701"/>
    </row>
    <row r="78" spans="1:9" s="728" customFormat="1" ht="12" customHeight="1" thickTop="1" thickBot="1" x14ac:dyDescent="0.25">
      <c r="A78" s="1450"/>
      <c r="B78" s="1448"/>
      <c r="C78" s="1445"/>
      <c r="D78" s="1449" t="s">
        <v>2012</v>
      </c>
      <c r="E78" s="1447"/>
      <c r="F78" s="1788">
        <f>(F14-F77)</f>
        <v>1265076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102.43600000000001</v>
      </c>
      <c r="G79" s="733"/>
      <c r="H79" s="705"/>
      <c r="I79" s="705"/>
    </row>
    <row r="80" spans="1:9" s="728" customFormat="1" ht="12" customHeight="1" thickBot="1" x14ac:dyDescent="0.25">
      <c r="A80" s="1452"/>
      <c r="B80" s="1448"/>
      <c r="C80" s="1445"/>
      <c r="D80" s="1449" t="s">
        <v>2013</v>
      </c>
      <c r="E80" s="1447" t="s">
        <v>952</v>
      </c>
      <c r="F80" s="1790">
        <f>IF(F79&gt;0,F78/F79," Complete Line 79")</f>
        <v>12349.916045140379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16136</v>
      </c>
      <c r="G95" s="745"/>
    </row>
    <row r="96" spans="1:7" x14ac:dyDescent="0.2">
      <c r="A96" s="741" t="s">
        <v>139</v>
      </c>
      <c r="B96" s="741" t="s">
        <v>174</v>
      </c>
      <c r="C96" s="743">
        <v>1700</v>
      </c>
      <c r="D96" s="751" t="str">
        <f>'Revenues 9-14'!A82</f>
        <v>Total District/School Activity Income</v>
      </c>
      <c r="E96" s="739"/>
      <c r="F96" s="1793">
        <f>SUM('Revenues 9-14'!C82,'Revenues 9-14'!D82)</f>
        <v>171</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22621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394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52341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33732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31632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1500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1979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160506</v>
      </c>
    </row>
    <row r="176" spans="1:7" ht="12" customHeight="1" x14ac:dyDescent="0.2">
      <c r="A176" s="1443"/>
      <c r="B176" s="1453"/>
      <c r="C176" s="1454"/>
      <c r="D176" s="1455" t="s">
        <v>2014</v>
      </c>
      <c r="E176" s="1456"/>
      <c r="F176" s="1793">
        <f>'PCTC-OEPP 27-28'!F78-F175</f>
        <v>1104570</v>
      </c>
    </row>
    <row r="177" spans="1:9" ht="12" customHeight="1" x14ac:dyDescent="0.2">
      <c r="A177" s="1443"/>
      <c r="B177" s="1453"/>
      <c r="C177" s="1454"/>
      <c r="D177" s="1455" t="s">
        <v>1794</v>
      </c>
      <c r="E177" s="1456"/>
      <c r="F177" s="1793">
        <f>'Cap Outlay Deprec 26'!I18</f>
        <v>47375</v>
      </c>
    </row>
    <row r="178" spans="1:9" ht="12" customHeight="1" x14ac:dyDescent="0.2">
      <c r="A178" s="1443"/>
      <c r="B178" s="1453"/>
      <c r="C178" s="1454"/>
      <c r="D178" s="1455" t="s">
        <v>2015</v>
      </c>
      <c r="E178" s="1456"/>
      <c r="F178" s="1793">
        <f>F176+F177</f>
        <v>1151945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102.43600000000001</v>
      </c>
      <c r="G179" s="763"/>
      <c r="I179" s="701"/>
    </row>
    <row r="180" spans="1:9" ht="12" customHeight="1" thickBot="1" x14ac:dyDescent="0.25">
      <c r="A180" s="1443"/>
      <c r="B180" s="1457"/>
      <c r="C180" s="1454"/>
      <c r="D180" s="1455" t="s">
        <v>2017</v>
      </c>
      <c r="E180" s="1456" t="s">
        <v>1528</v>
      </c>
      <c r="F180" s="1798">
        <f>F178/F179</f>
        <v>11245.509391229645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C30" sqref="C3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2080</v>
      </c>
      <c r="B18" s="1908">
        <v>101000300</v>
      </c>
      <c r="C18" s="2035" t="s">
        <v>2070</v>
      </c>
      <c r="D18" s="1886">
        <v>26780</v>
      </c>
      <c r="E18" s="1906" t="str">
        <f t="shared" ref="E18:E81" si="0">IF(D18&lt;25000,D18,"25,000")</f>
        <v>25,000</v>
      </c>
      <c r="F18" s="1906">
        <f t="shared" ref="F18:F81" si="1">IF(D18&gt;=25000,(D18-E18),"0")</f>
        <v>1780</v>
      </c>
      <c r="G18" s="1887"/>
    </row>
    <row r="19" spans="1:7" x14ac:dyDescent="0.25">
      <c r="A19" s="2037" t="s">
        <v>2081</v>
      </c>
      <c r="B19" s="1908">
        <v>202540300</v>
      </c>
      <c r="C19" s="2038" t="s">
        <v>2079</v>
      </c>
      <c r="D19" s="1886">
        <v>6552</v>
      </c>
      <c r="E19" s="1906">
        <f t="shared" si="0"/>
        <v>6552</v>
      </c>
      <c r="F19" s="1906" t="str">
        <f t="shared" si="1"/>
        <v>0</v>
      </c>
    </row>
    <row r="20" spans="1:7" x14ac:dyDescent="0.25">
      <c r="A20" s="2037"/>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33332</v>
      </c>
      <c r="E142" s="1893">
        <f>SUM(E18:E141)</f>
        <v>6552</v>
      </c>
      <c r="F142" s="1894">
        <f>SUM(F18:F141)</f>
        <v>1780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40944</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733171</v>
      </c>
      <c r="F19" s="1802"/>
      <c r="G19" s="1804">
        <f>'Expenditures 15-22'!K33-SUM('Expenditures 15-22'!G33,'Expenditures 15-22'!I33)+'Expenditures 15-22'!D229</f>
        <v>733171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17079</v>
      </c>
      <c r="F21" s="1805"/>
      <c r="G21" s="1808">
        <f>'Expenditures 15-22'!K42-SUM('Expenditures 15-22'!G42,'Expenditures 15-22'!I42)+'Expenditures 15-22'!K120-SUM('Expenditures 15-22'!G120,'Expenditures 15-22'!I120)+'Expenditures 15-22'!K180-SUM('Expenditures 15-22'!G180,'Expenditures 15-22'!I180)+'Expenditures 15-22'!D238</f>
        <v>17079</v>
      </c>
      <c r="H21" s="817"/>
      <c r="I21" s="157"/>
    </row>
    <row r="22" spans="1:9" s="542" customFormat="1" ht="12" customHeight="1" x14ac:dyDescent="0.2">
      <c r="A22" s="824" t="s">
        <v>560</v>
      </c>
      <c r="B22" s="825"/>
      <c r="C22" s="823">
        <v>2200</v>
      </c>
      <c r="D22" s="1805"/>
      <c r="E22" s="1807">
        <f>'Expenditures 15-22'!K47-SUM('Expenditures 15-22'!G47,'Expenditures 15-22'!I47)+'Expenditures 15-22'!D243</f>
        <v>19417</v>
      </c>
      <c r="F22" s="1805"/>
      <c r="G22" s="1808">
        <f>'Expenditures 15-22'!K47-SUM('Expenditures 15-22'!G47,'Expenditures 15-22'!I47)+'Expenditures 15-22'!D243</f>
        <v>19417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123073</v>
      </c>
      <c r="F23" s="1805"/>
      <c r="G23" s="1807">
        <f>'Expenditures 15-22'!K53-SUM('Expenditures 15-22'!G53,'Expenditures 15-22'!I53)+'Expenditures 15-22'!D257+'Expenditures 15-22'!K330-SUM('Expenditures 15-22'!G330,'Expenditures 15-22'!I330)</f>
        <v>123073</v>
      </c>
      <c r="H23" s="817"/>
      <c r="I23" s="157"/>
    </row>
    <row r="24" spans="1:9" s="542" customFormat="1" ht="12" customHeight="1" x14ac:dyDescent="0.2">
      <c r="A24" s="824" t="s">
        <v>562</v>
      </c>
      <c r="B24" s="825"/>
      <c r="C24" s="823">
        <v>2400</v>
      </c>
      <c r="D24" s="1805"/>
      <c r="E24" s="1807">
        <f>'Expenditures 15-22'!K57-SUM('Expenditures 15-22'!G57,'Expenditures 15-22'!I57)+'Expenditures 15-22'!D261</f>
        <v>88443</v>
      </c>
      <c r="F24" s="1805"/>
      <c r="G24" s="1808">
        <f>'Expenditures 15-22'!K57-SUM('Expenditures 15-22'!G57,'Expenditures 15-22'!I57)+'Expenditures 15-22'!D261</f>
        <v>88443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139466</v>
      </c>
      <c r="F28" s="1809">
        <f>'Expenditures 15-22'!K61-SUM('Expenditures 15-22'!G61,'Expenditures 15-22'!I61)+'Expenditures 15-22'!K124-SUM('Expenditures 15-22'!G124,'Expenditures 15-22'!I124)+'Expenditures 15-22'!D266-E9</f>
        <v>139466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71661</v>
      </c>
      <c r="F29" s="1805"/>
      <c r="G29" s="1808">
        <f>'Expenditures 15-22'!K62-SUM('Expenditures 15-22'!G62,'Expenditures 15-22'!I62)+'Expenditures 15-22'!K125-SUM('Expenditures 15-22'!G125,'Expenditures 15-22'!I125)+'Expenditures 15-22'!K182-SUM('Expenditures 15-22'!G182,'Expenditures 15-22'!I182)+'Expenditures 15-22'!D267</f>
        <v>71661</v>
      </c>
      <c r="H29" s="815"/>
    </row>
    <row r="30" spans="1:9" ht="12" customHeight="1" x14ac:dyDescent="0.2">
      <c r="A30" s="824" t="s">
        <v>100</v>
      </c>
      <c r="B30" s="827"/>
      <c r="C30" s="823">
        <v>2560</v>
      </c>
      <c r="D30" s="1805"/>
      <c r="E30" s="1807">
        <f>'Expenditures 15-22'!K63-SUM('Expenditures 15-22'!G63,'Expenditures 15-22'!I63)+'Expenditures 15-22'!D268-E10</f>
        <v>30613</v>
      </c>
      <c r="F30" s="1805"/>
      <c r="G30" s="1807">
        <f>'Expenditures 15-22'!K63-SUM('Expenditures 15-22'!G63,'Expenditures 15-22'!I63)+'Expenditures 15-22'!D268-E10</f>
        <v>30613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-1780</v>
      </c>
      <c r="F40" s="1805"/>
      <c r="G40" s="1809">
        <f>-'Contracts Paid in CY 29'!F142</f>
        <v>-1780</v>
      </c>
    </row>
    <row r="41" spans="1:7" ht="12" customHeight="1" x14ac:dyDescent="0.2">
      <c r="A41" s="828" t="s">
        <v>155</v>
      </c>
      <c r="B41" s="829"/>
      <c r="C41" s="830"/>
      <c r="D41" s="1809">
        <f>SUM(D19:D39)</f>
        <v>0</v>
      </c>
      <c r="E41" s="1809">
        <f>SUM(E19:E40)</f>
        <v>1221143</v>
      </c>
      <c r="F41" s="1809">
        <f>SUM(F19:F39)</f>
        <v>139466</v>
      </c>
      <c r="G41" s="1809">
        <f>SUM(G19:G40)</f>
        <v>1081677</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0</v>
      </c>
      <c r="F43" s="1458" t="s">
        <v>470</v>
      </c>
      <c r="G43" s="1810">
        <f>F41</f>
        <v>139466</v>
      </c>
    </row>
    <row r="44" spans="1:7" ht="12" customHeight="1" x14ac:dyDescent="0.2">
      <c r="A44" s="817"/>
      <c r="B44" s="157"/>
      <c r="C44" s="831"/>
      <c r="D44" s="1458" t="s">
        <v>471</v>
      </c>
      <c r="E44" s="1810">
        <f>E41</f>
        <v>1221143</v>
      </c>
      <c r="F44" s="1458" t="s">
        <v>471</v>
      </c>
      <c r="G44" s="1810">
        <f>G41</f>
        <v>1081677</v>
      </c>
    </row>
    <row r="45" spans="1:7" ht="12" customHeight="1" x14ac:dyDescent="0.2">
      <c r="A45" s="817"/>
      <c r="B45" s="157"/>
      <c r="C45" s="157"/>
      <c r="D45" s="1459" t="s">
        <v>999</v>
      </c>
      <c r="E45" s="1811">
        <f>(E43/E44)</f>
        <v>0</v>
      </c>
      <c r="F45" s="1459" t="s">
        <v>999</v>
      </c>
      <c r="G45" s="1811">
        <f>(G43/G44)</f>
        <v>0.1289349778168529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Cornell CCSD 426</v>
      </c>
      <c r="D6" s="2417"/>
      <c r="E6" s="2417"/>
      <c r="F6" s="1482"/>
      <c r="G6" s="1507"/>
      <c r="L6" s="1507"/>
      <c r="M6" s="1855"/>
      <c r="N6" s="1855"/>
      <c r="O6" s="1855"/>
    </row>
    <row r="7" spans="1:15" ht="11.25" customHeight="1" thickBot="1" x14ac:dyDescent="0.3">
      <c r="A7" s="1480"/>
      <c r="B7" s="1481"/>
      <c r="C7" s="2418">
        <f>COVER!A13</f>
        <v>17053426004</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2051</v>
      </c>
      <c r="D23" s="1495" t="s">
        <v>2051</v>
      </c>
      <c r="E23" s="1498"/>
      <c r="F23" s="1497" t="s">
        <v>2071</v>
      </c>
      <c r="G23" s="1507"/>
      <c r="H23" s="1507">
        <f t="shared" si="0"/>
        <v>5</v>
      </c>
      <c r="I23" s="1507">
        <f t="shared" si="1"/>
        <v>5</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2072</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2074</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12" sqref="N1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9" t="str">
        <f>COVER!A17</f>
        <v>Cornell CCSD 426</v>
      </c>
      <c r="K6" s="2439"/>
      <c r="L6" s="2453"/>
      <c r="M6" s="838"/>
      <c r="N6" s="1998"/>
    </row>
    <row r="7" spans="1:14" x14ac:dyDescent="0.2">
      <c r="A7" s="2454" t="s">
        <v>864</v>
      </c>
      <c r="B7" s="2455"/>
      <c r="C7" s="2455"/>
      <c r="D7" s="2455"/>
      <c r="E7" s="2456"/>
      <c r="F7" s="839"/>
      <c r="G7" s="838"/>
      <c r="H7" s="838"/>
      <c r="I7" s="1924" t="s">
        <v>369</v>
      </c>
      <c r="J7" s="2441">
        <f>COVER!A13</f>
        <v>17053426004</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7" t="s">
        <v>478</v>
      </c>
      <c r="B11" s="2458"/>
      <c r="C11" s="245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75314</v>
      </c>
      <c r="F12" s="1942"/>
      <c r="G12" s="1968">
        <f>G68</f>
        <v>31200</v>
      </c>
      <c r="H12" s="1944">
        <f t="shared" ref="H12:H18" si="0">SUM(E12:G12)</f>
        <v>106514</v>
      </c>
      <c r="I12" s="1943">
        <v>78458</v>
      </c>
      <c r="J12" s="1942"/>
      <c r="K12" s="1943"/>
      <c r="L12" s="1944">
        <f t="shared" ref="L12:L18" si="1">SUM(I12:K12)</f>
        <v>78458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75314</v>
      </c>
      <c r="F19" s="1950">
        <f t="shared" si="2"/>
        <v>0</v>
      </c>
      <c r="G19" s="1950">
        <f t="shared" ref="G19" si="3">SUM(G12:G17)-G18</f>
        <v>31200</v>
      </c>
      <c r="H19" s="1950">
        <f t="shared" si="2"/>
        <v>106514</v>
      </c>
      <c r="I19" s="1950">
        <f t="shared" si="2"/>
        <v>78458</v>
      </c>
      <c r="J19" s="1950">
        <f t="shared" si="2"/>
        <v>0</v>
      </c>
      <c r="K19" s="1950">
        <f t="shared" si="2"/>
        <v>0</v>
      </c>
      <c r="L19" s="1950">
        <f t="shared" si="2"/>
        <v>78458</v>
      </c>
      <c r="M19" s="838"/>
      <c r="N19" s="1998"/>
    </row>
    <row r="20" spans="1:14" ht="13.5" thickTop="1" x14ac:dyDescent="0.2">
      <c r="A20" s="2003">
        <v>9</v>
      </c>
      <c r="B20" s="2463" t="s">
        <v>2021</v>
      </c>
      <c r="C20" s="2463"/>
      <c r="D20" s="2464"/>
      <c r="E20" s="1951"/>
      <c r="F20" s="1951"/>
      <c r="G20" s="1951"/>
      <c r="H20" s="1951"/>
      <c r="I20" s="1951"/>
      <c r="J20" s="1951"/>
      <c r="K20" s="1951"/>
      <c r="L20" s="1952">
        <f>IF(AND(H19&gt;0,L19&gt;0),(((L19-H19)/H19)),"Enter Budget Data")</f>
        <v>-0.26340199410406145</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5"/>
      <c r="D27" s="2465"/>
      <c r="E27" s="843"/>
      <c r="F27" s="2466"/>
      <c r="G27" s="2466"/>
      <c r="H27" s="2466"/>
      <c r="I27" s="838"/>
      <c r="J27" s="838"/>
      <c r="K27" s="838"/>
      <c r="L27" s="838"/>
      <c r="M27" s="838"/>
      <c r="N27" s="1998"/>
    </row>
    <row r="28" spans="1:14" x14ac:dyDescent="0.2">
      <c r="A28" s="1997"/>
      <c r="B28" s="2007"/>
      <c r="C28" s="1957" t="s">
        <v>1026</v>
      </c>
      <c r="D28" s="844"/>
      <c r="E28" s="1958"/>
      <c r="F28" s="2467" t="s">
        <v>1492</v>
      </c>
      <c r="G28" s="2467"/>
      <c r="H28" s="2467"/>
      <c r="I28" s="838"/>
      <c r="J28" s="838"/>
      <c r="K28" s="838"/>
      <c r="L28" s="838"/>
      <c r="M28" s="838"/>
      <c r="N28" s="1998"/>
    </row>
    <row r="29" spans="1:14" x14ac:dyDescent="0.2">
      <c r="A29" s="1997"/>
      <c r="B29" s="2007"/>
      <c r="C29" s="2468"/>
      <c r="D29" s="2468"/>
      <c r="E29" s="845"/>
      <c r="F29" s="2468"/>
      <c r="G29" s="2468"/>
      <c r="H29" s="2468"/>
      <c r="I29" s="838"/>
      <c r="J29" s="838"/>
      <c r="K29" s="838"/>
      <c r="L29" s="838"/>
      <c r="M29" s="838"/>
      <c r="N29" s="1998"/>
    </row>
    <row r="30" spans="1:14" x14ac:dyDescent="0.2">
      <c r="A30" s="1997"/>
      <c r="B30" s="2007"/>
      <c r="C30" s="1960" t="s">
        <v>1544</v>
      </c>
      <c r="D30" s="838"/>
      <c r="E30" s="1959"/>
      <c r="F30" s="2452" t="s">
        <v>1493</v>
      </c>
      <c r="G30" s="2452"/>
      <c r="H30" s="245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9" t="s">
        <v>2024</v>
      </c>
      <c r="D34" s="2430"/>
      <c r="E34" s="2430"/>
      <c r="F34" s="2430"/>
      <c r="G34" s="2430"/>
      <c r="H34" s="2430"/>
      <c r="I34" s="2430"/>
      <c r="J34" s="2430"/>
      <c r="K34" s="2016"/>
      <c r="L34" s="838"/>
      <c r="M34" s="838"/>
      <c r="N34" s="1998"/>
    </row>
    <row r="35" spans="1:14" x14ac:dyDescent="0.2">
      <c r="A35" s="1997"/>
      <c r="B35" s="838"/>
      <c r="C35" s="2430"/>
      <c r="D35" s="2430"/>
      <c r="E35" s="2430"/>
      <c r="F35" s="2430"/>
      <c r="G35" s="2430"/>
      <c r="H35" s="2430"/>
      <c r="I35" s="2430"/>
      <c r="J35" s="24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9" t="s">
        <v>2025</v>
      </c>
      <c r="D37" s="2430"/>
      <c r="E37" s="2430"/>
      <c r="F37" s="2430"/>
      <c r="G37" s="2430"/>
      <c r="H37" s="2430"/>
      <c r="I37" s="2430"/>
      <c r="J37" s="2430"/>
      <c r="K37" s="2016"/>
      <c r="L37" s="2018"/>
      <c r="M37" s="838"/>
      <c r="N37" s="1998"/>
    </row>
    <row r="38" spans="1:14" x14ac:dyDescent="0.2">
      <c r="A38" s="1997"/>
      <c r="B38" s="838"/>
      <c r="C38" s="2430"/>
      <c r="D38" s="2430"/>
      <c r="E38" s="2430"/>
      <c r="F38" s="2430"/>
      <c r="G38" s="2430"/>
      <c r="H38" s="2430"/>
      <c r="I38" s="2430"/>
      <c r="J38" s="24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1" t="s">
        <v>2026</v>
      </c>
      <c r="D40" s="2432"/>
      <c r="E40" s="2432"/>
      <c r="F40" s="2432"/>
      <c r="G40" s="2432"/>
      <c r="H40" s="2432"/>
      <c r="I40" s="2432"/>
      <c r="J40" s="24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9" t="str">
        <f>J6</f>
        <v>Cornell CCSD 426</v>
      </c>
      <c r="M52" s="2439"/>
      <c r="N52" s="2440"/>
    </row>
    <row r="53" spans="1:14" x14ac:dyDescent="0.2">
      <c r="A53" s="1982"/>
      <c r="B53" s="1983"/>
      <c r="C53" s="1983"/>
      <c r="D53" s="1983"/>
      <c r="E53" s="1983"/>
      <c r="F53" s="1983"/>
      <c r="G53" s="1983"/>
      <c r="H53" s="1983"/>
      <c r="I53" s="1983"/>
      <c r="J53" s="1983"/>
      <c r="K53" s="1924" t="s">
        <v>369</v>
      </c>
      <c r="L53" s="2441">
        <f>J7</f>
        <v>17053426004</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2030</v>
      </c>
      <c r="H55" s="2445"/>
      <c r="I55" s="2445"/>
      <c r="J55" s="2445"/>
      <c r="K55" s="2445"/>
      <c r="L55" s="2445"/>
      <c r="M55" s="2445"/>
      <c r="N55" s="2446"/>
    </row>
    <row r="56" spans="1:14" ht="63.75" x14ac:dyDescent="0.2">
      <c r="A56" s="2447" t="s">
        <v>2031</v>
      </c>
      <c r="B56" s="2448"/>
      <c r="C56" s="244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0" t="s">
        <v>296</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2041</v>
      </c>
      <c r="B58" s="2428"/>
      <c r="C58" s="2428"/>
      <c r="D58" s="1967">
        <v>2362</v>
      </c>
      <c r="E58" s="1977">
        <f>'Expenditures 15-22'!K320</f>
        <v>11788</v>
      </c>
      <c r="F58" s="1972"/>
      <c r="G58" s="2031">
        <v>11788</v>
      </c>
      <c r="H58" s="2032"/>
      <c r="I58" s="2032"/>
      <c r="J58" s="2032"/>
      <c r="K58" s="2032"/>
      <c r="L58" s="2032"/>
      <c r="M58" s="2032"/>
      <c r="N58" s="1975">
        <f>IF((SUM(G58:M58))=E58,SUM(G58:M58),"Column N does not agree with Column E")</f>
        <v>11788</v>
      </c>
    </row>
    <row r="59" spans="1:14" ht="24.75" customHeight="1" x14ac:dyDescent="0.2">
      <c r="A59" s="2421" t="s">
        <v>297</v>
      </c>
      <c r="B59" s="2422"/>
      <c r="C59" s="2422"/>
      <c r="D59" s="1967">
        <v>2363</v>
      </c>
      <c r="E59" s="1977">
        <f>'Expenditures 15-22'!K321</f>
        <v>6978</v>
      </c>
      <c r="F59" s="1972"/>
      <c r="G59" s="2031">
        <v>6978</v>
      </c>
      <c r="H59" s="2032"/>
      <c r="I59" s="2032"/>
      <c r="J59" s="2032"/>
      <c r="K59" s="2032"/>
      <c r="L59" s="2032"/>
      <c r="M59" s="2032"/>
      <c r="N59" s="1975">
        <f>IF((SUM(G59:M59))=E59,SUM(G59:M59),"Column N does not agree with Column E")</f>
        <v>6978</v>
      </c>
    </row>
    <row r="60" spans="1:14" ht="24" customHeight="1" x14ac:dyDescent="0.2">
      <c r="A60" s="2421" t="s">
        <v>236</v>
      </c>
      <c r="B60" s="2422"/>
      <c r="C60" s="2422"/>
      <c r="D60" s="1967">
        <v>2364</v>
      </c>
      <c r="E60" s="1977">
        <f>'Expenditures 15-22'!K322</f>
        <v>12434</v>
      </c>
      <c r="F60" s="1972"/>
      <c r="G60" s="2031">
        <v>12434</v>
      </c>
      <c r="H60" s="2032"/>
      <c r="I60" s="2032"/>
      <c r="J60" s="2032"/>
      <c r="K60" s="2032"/>
      <c r="L60" s="2032"/>
      <c r="M60" s="2032"/>
      <c r="N60" s="1975">
        <f t="shared" ref="N60:N67" si="4">IF((SUM(G60:M60))=E60,SUM(G60:M60),"Column N does not agree with Column E")</f>
        <v>12434</v>
      </c>
    </row>
    <row r="61" spans="1:14" ht="24.75" customHeight="1" x14ac:dyDescent="0.2">
      <c r="A61" s="2421" t="s">
        <v>697</v>
      </c>
      <c r="B61" s="2422"/>
      <c r="C61" s="2422"/>
      <c r="D61" s="1967">
        <v>2365</v>
      </c>
      <c r="E61" s="1977">
        <f>'Expenditures 15-22'!K323</f>
        <v>0</v>
      </c>
      <c r="F61" s="1972"/>
      <c r="G61" s="2031"/>
      <c r="H61" s="2032"/>
      <c r="I61" s="2032"/>
      <c r="J61" s="2032"/>
      <c r="K61" s="2032"/>
      <c r="L61" s="2032"/>
      <c r="M61" s="2032"/>
      <c r="N61" s="1975">
        <f t="shared" si="4"/>
        <v>0</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1022</v>
      </c>
      <c r="B63" s="2428"/>
      <c r="C63" s="2428"/>
      <c r="D63" s="1967">
        <v>2367</v>
      </c>
      <c r="E63" s="1977">
        <f>'Expenditures 15-22'!K325</f>
        <v>0</v>
      </c>
      <c r="F63" s="1972"/>
      <c r="G63" s="2031"/>
      <c r="H63" s="2032"/>
      <c r="I63" s="2032"/>
      <c r="J63" s="2032"/>
      <c r="K63" s="2032"/>
      <c r="L63" s="2032"/>
      <c r="M63" s="2032"/>
      <c r="N63" s="1975">
        <f t="shared" si="4"/>
        <v>0</v>
      </c>
    </row>
    <row r="64" spans="1:14" ht="24" customHeight="1" x14ac:dyDescent="0.2">
      <c r="A64" s="2421" t="s">
        <v>1023</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965</v>
      </c>
      <c r="B65" s="2422"/>
      <c r="C65" s="2422"/>
      <c r="D65" s="1967">
        <v>2369</v>
      </c>
      <c r="E65" s="1977">
        <f>'Expenditures 15-22'!K327</f>
        <v>0</v>
      </c>
      <c r="F65" s="1972"/>
      <c r="G65" s="2031"/>
      <c r="H65" s="2032"/>
      <c r="I65" s="2032"/>
      <c r="J65" s="2032"/>
      <c r="K65" s="2032"/>
      <c r="L65" s="2032"/>
      <c r="M65" s="2032"/>
      <c r="N65" s="1975">
        <f t="shared" si="4"/>
        <v>0</v>
      </c>
    </row>
    <row r="66" spans="1:14" ht="24" customHeight="1" x14ac:dyDescent="0.2">
      <c r="A66" s="2421" t="s">
        <v>469</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2042</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1151</v>
      </c>
      <c r="B68" s="2426"/>
      <c r="C68" s="2426"/>
      <c r="D68" s="1970"/>
      <c r="E68" s="1974">
        <f>SUM(E57:E67)</f>
        <v>31200</v>
      </c>
      <c r="F68" s="1973"/>
      <c r="G68" s="1974">
        <f t="shared" ref="G68:N68" si="5">SUM(G57:G67)</f>
        <v>31200</v>
      </c>
      <c r="H68" s="1974">
        <f t="shared" si="5"/>
        <v>0</v>
      </c>
      <c r="I68" s="1974">
        <f t="shared" si="5"/>
        <v>0</v>
      </c>
      <c r="J68" s="1974">
        <f t="shared" si="5"/>
        <v>0</v>
      </c>
      <c r="K68" s="1974">
        <f t="shared" si="5"/>
        <v>0</v>
      </c>
      <c r="L68" s="1974">
        <f t="shared" si="5"/>
        <v>0</v>
      </c>
      <c r="M68" s="1974">
        <f t="shared" si="5"/>
        <v>0</v>
      </c>
      <c r="N68" s="1988">
        <f t="shared" si="5"/>
        <v>31200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B10" sqref="B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2082</v>
      </c>
    </row>
    <row r="7" spans="1:2" x14ac:dyDescent="0.2">
      <c r="A7" s="847">
        <v>3</v>
      </c>
      <c r="B7" s="307" t="s">
        <v>2076</v>
      </c>
    </row>
    <row r="8" spans="1:2" x14ac:dyDescent="0.2">
      <c r="A8" s="847">
        <v>4</v>
      </c>
      <c r="B8" s="307" t="s">
        <v>2077</v>
      </c>
    </row>
    <row r="9" spans="1:2" x14ac:dyDescent="0.2">
      <c r="A9" s="848">
        <v>5</v>
      </c>
      <c r="B9" s="307" t="s">
        <v>2083</v>
      </c>
    </row>
    <row r="10" spans="1:2" x14ac:dyDescent="0.2">
      <c r="A10" s="848">
        <v>6</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Cornell CCSD 426</v>
      </c>
    </row>
    <row r="64" spans="1:2" x14ac:dyDescent="0.2">
      <c r="A64" s="848"/>
      <c r="B64" s="849">
        <f>COVER!A13</f>
        <v>17053426004</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1114947</v>
      </c>
      <c r="C8" s="1813">
        <f>'Acct Summary 7-8'!D8</f>
        <v>109972</v>
      </c>
      <c r="D8" s="1813">
        <f>'Acct Summary 7-8'!F8</f>
        <v>133082</v>
      </c>
      <c r="E8" s="1813">
        <f>'Acct Summary 7-8'!I8</f>
        <v>3447</v>
      </c>
      <c r="F8" s="1813">
        <f>SUM(B8:E8)</f>
        <v>1361448</v>
      </c>
    </row>
    <row r="9" spans="1:8" s="858" customFormat="1" ht="14.25" customHeight="1" thickBot="1" x14ac:dyDescent="0.25">
      <c r="A9" s="857" t="s">
        <v>1353</v>
      </c>
      <c r="B9" s="1814">
        <f>'Acct Summary 7-8'!C17</f>
        <v>1063672</v>
      </c>
      <c r="C9" s="1814">
        <f>'Acct Summary 7-8'!D17</f>
        <v>131952</v>
      </c>
      <c r="D9" s="1814">
        <f>'Acct Summary 7-8'!F17</f>
        <v>71661</v>
      </c>
      <c r="E9" s="1813"/>
      <c r="F9" s="1813">
        <f>SUM(B9:E9)</f>
        <v>1267285</v>
      </c>
    </row>
    <row r="10" spans="1:8" s="858" customFormat="1" ht="14.25" thickTop="1" thickBot="1" x14ac:dyDescent="0.25">
      <c r="A10" s="859" t="s">
        <v>1354</v>
      </c>
      <c r="B10" s="1815">
        <f>(B8-B9)</f>
        <v>51275</v>
      </c>
      <c r="C10" s="1815">
        <f>(C8-C9)</f>
        <v>-21980</v>
      </c>
      <c r="D10" s="1815">
        <f>(D8-D9)</f>
        <v>61421</v>
      </c>
      <c r="E10" s="1814">
        <f>(E8-E9)</f>
        <v>3447</v>
      </c>
      <c r="F10" s="1816">
        <f>SUM(F8-F9)</f>
        <v>94163</v>
      </c>
    </row>
    <row r="11" spans="1:8" s="858" customFormat="1" ht="14.25" thickTop="1" thickBot="1" x14ac:dyDescent="0.25">
      <c r="A11" s="860" t="s">
        <v>1903</v>
      </c>
      <c r="B11" s="1817">
        <f>'Acct Summary 7-8'!C81</f>
        <v>723172</v>
      </c>
      <c r="C11" s="1817">
        <f>'Acct Summary 7-8'!D81</f>
        <v>-17693</v>
      </c>
      <c r="D11" s="1817">
        <f>'Acct Summary 7-8'!F81</f>
        <v>233381</v>
      </c>
      <c r="E11" s="1817">
        <f>'Acct Summary 7-8'!I81</f>
        <v>0</v>
      </c>
      <c r="F11" s="1818">
        <f>SUM(B11:E11)</f>
        <v>938860</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C25" sqref="C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17053426004</v>
      </c>
      <c r="E2" s="1542">
        <v>2020</v>
      </c>
      <c r="F2" s="1542">
        <v>1</v>
      </c>
      <c r="G2" s="1899">
        <v>101000300</v>
      </c>
    </row>
    <row r="3" spans="1:7" ht="15" x14ac:dyDescent="0.25">
      <c r="A3" t="s">
        <v>950</v>
      </c>
      <c r="B3" s="135" t="str">
        <f>COVER!A15</f>
        <v>Livingston</v>
      </c>
      <c r="E3" s="1830" t="s">
        <v>1971</v>
      </c>
      <c r="F3" s="1830" t="s">
        <v>1970</v>
      </c>
      <c r="G3" s="1899">
        <v>101000400</v>
      </c>
    </row>
    <row r="4" spans="1:7" ht="15" x14ac:dyDescent="0.25">
      <c r="A4" t="s">
        <v>1000</v>
      </c>
      <c r="B4" s="135" t="str">
        <f>COVER!A17</f>
        <v>Cornell CCSD 426</v>
      </c>
      <c r="E4" s="1828">
        <v>44119</v>
      </c>
      <c r="F4" s="1829">
        <v>44151</v>
      </c>
      <c r="G4" s="1899">
        <v>101000600</v>
      </c>
    </row>
    <row r="5" spans="1:7" ht="15" x14ac:dyDescent="0.25">
      <c r="A5" t="s">
        <v>699</v>
      </c>
      <c r="B5" s="135" t="str">
        <f>COVER!A38</f>
        <v>Geoff Schoonover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Washingston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36251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723172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660664</v>
      </c>
      <c r="D92" s="2" t="str">
        <f t="shared" si="0"/>
        <v>Error?</v>
      </c>
      <c r="G92" s="1899">
        <v>102640600</v>
      </c>
    </row>
    <row r="93" spans="1:7" ht="15" x14ac:dyDescent="0.25">
      <c r="A93" s="5">
        <v>32</v>
      </c>
      <c r="B93" s="1832">
        <f>'Assets-Liab 5-6'!C41</f>
        <v>723172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2537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20230</v>
      </c>
      <c r="C122" s="2" t="s">
        <v>569</v>
      </c>
      <c r="D122" s="2" t="str">
        <f t="shared" si="0"/>
        <v>Error?</v>
      </c>
      <c r="G122" s="1899">
        <v>203000300</v>
      </c>
    </row>
    <row r="123" spans="1:7" ht="15" x14ac:dyDescent="0.25">
      <c r="A123" s="5">
        <v>62</v>
      </c>
      <c r="B123" s="1832">
        <f>'Assets-Liab 5-6'!D39</f>
        <v>-17693</v>
      </c>
      <c r="D123" s="2" t="str">
        <f t="shared" si="0"/>
        <v>Error?</v>
      </c>
      <c r="G123" s="1899">
        <v>203000400</v>
      </c>
    </row>
    <row r="124" spans="1:7" ht="15" x14ac:dyDescent="0.25">
      <c r="A124" s="5">
        <v>63</v>
      </c>
      <c r="B124" s="1832">
        <f>'Assets-Liab 5-6'!D41</f>
        <v>2537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47441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47441</v>
      </c>
      <c r="D140" s="2" t="str">
        <f t="shared" si="1"/>
        <v>Error?</v>
      </c>
    </row>
    <row r="141" spans="1:7" x14ac:dyDescent="0.2">
      <c r="A141" s="5">
        <v>80</v>
      </c>
      <c r="B141" s="1832">
        <f>'Assets-Liab 5-6'!E41</f>
        <v>47441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233381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233381</v>
      </c>
      <c r="D170" s="2" t="str">
        <f t="shared" si="1"/>
        <v>Error?</v>
      </c>
    </row>
    <row r="171" spans="1:4" x14ac:dyDescent="0.2">
      <c r="A171" s="5">
        <v>110</v>
      </c>
      <c r="B171" s="1832">
        <f>'Assets-Liab 5-6'!F41</f>
        <v>233381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59359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19126</v>
      </c>
      <c r="D189" s="2" t="str">
        <f t="shared" si="1"/>
        <v>Error?</v>
      </c>
    </row>
    <row r="190" spans="1:4" x14ac:dyDescent="0.2">
      <c r="A190" s="5">
        <v>129</v>
      </c>
      <c r="B190" s="1832">
        <f>'Assets-Liab 5-6'!G41</f>
        <v>59359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63503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63503</v>
      </c>
      <c r="D212" s="2" t="str">
        <f t="shared" si="2"/>
        <v>Error?</v>
      </c>
    </row>
    <row r="213" spans="1:4" x14ac:dyDescent="0.2">
      <c r="A213" s="12">
        <v>152</v>
      </c>
      <c r="B213" s="1832">
        <f>'Assets-Liab 5-6'!H41</f>
        <v>63503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8000</v>
      </c>
      <c r="D273" s="2" t="str">
        <f t="shared" si="3"/>
        <v>Error?</v>
      </c>
    </row>
    <row r="274" spans="1:4" x14ac:dyDescent="0.2">
      <c r="A274" s="5">
        <v>213</v>
      </c>
      <c r="B274" s="1832">
        <f>'Assets-Liab 5-6'!M17</f>
        <v>678566</v>
      </c>
      <c r="D274" s="2" t="str">
        <f t="shared" si="3"/>
        <v>Error?</v>
      </c>
    </row>
    <row r="275" spans="1:4" x14ac:dyDescent="0.2">
      <c r="A275" s="5">
        <v>214</v>
      </c>
      <c r="B275" s="1832">
        <f>'Assets-Liab 5-6'!M18</f>
        <v>0</v>
      </c>
      <c r="D275" s="2" t="str">
        <f t="shared" si="3"/>
        <v>Error?</v>
      </c>
    </row>
    <row r="276" spans="1:4" x14ac:dyDescent="0.2">
      <c r="A276" s="5">
        <v>215</v>
      </c>
      <c r="B276" s="1832">
        <f>'Assets-Liab 5-6'!M19</f>
        <v>42128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728694</v>
      </c>
      <c r="C279" s="2" t="s">
        <v>569</v>
      </c>
      <c r="D279" s="2" t="str">
        <f t="shared" si="3"/>
        <v>Error?</v>
      </c>
    </row>
    <row r="280" spans="1:4" x14ac:dyDescent="0.2">
      <c r="A280" s="5">
        <v>219</v>
      </c>
      <c r="B280" s="1832">
        <f>'Assets-Liab 5-6'!M40</f>
        <v>728694</v>
      </c>
      <c r="D280" s="2" t="str">
        <f t="shared" si="3"/>
        <v>Error?</v>
      </c>
    </row>
    <row r="281" spans="1:4" x14ac:dyDescent="0.2">
      <c r="A281" s="5">
        <v>220</v>
      </c>
      <c r="B281" s="1832">
        <f>'Assets-Liab 5-6'!M41</f>
        <v>728694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478938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17989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577586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57707</v>
      </c>
      <c r="D733" s="2" t="str">
        <f t="shared" si="10"/>
        <v>Error?</v>
      </c>
    </row>
    <row r="734" spans="1:4" x14ac:dyDescent="0.2">
      <c r="A734" s="5">
        <v>673</v>
      </c>
      <c r="B734" s="1832">
        <f>'Expenditures 15-22'!C53</f>
        <v>57707</v>
      </c>
      <c r="C734" s="2" t="s">
        <v>569</v>
      </c>
      <c r="D734" s="2" t="str">
        <f t="shared" si="10"/>
        <v>Error?</v>
      </c>
    </row>
    <row r="735" spans="1:4" x14ac:dyDescent="0.2">
      <c r="A735" s="5">
        <v>674</v>
      </c>
      <c r="B735" s="1832">
        <f>'Expenditures 15-22'!C55</f>
        <v>77493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77493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40944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40944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176144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753730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65903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88898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13804</v>
      </c>
      <c r="D791" s="2" t="str">
        <f t="shared" si="11"/>
        <v>Error?</v>
      </c>
    </row>
    <row r="792" spans="1:4" x14ac:dyDescent="0.2">
      <c r="A792" s="5">
        <v>731</v>
      </c>
      <c r="B792" s="1832">
        <f>'Expenditures 15-22'!D53</f>
        <v>13804</v>
      </c>
      <c r="C792" s="2" t="s">
        <v>569</v>
      </c>
      <c r="D792" s="2" t="str">
        <f t="shared" si="11"/>
        <v>Error?</v>
      </c>
    </row>
    <row r="793" spans="1:4" x14ac:dyDescent="0.2">
      <c r="A793" s="5">
        <v>732</v>
      </c>
      <c r="B793" s="1832">
        <f>'Expenditures 15-22'!D55</f>
        <v>4849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4849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18653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107551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29655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3037</v>
      </c>
      <c r="D833" s="2" t="str">
        <f t="shared" si="12"/>
        <v>Error?</v>
      </c>
    </row>
    <row r="834" spans="1:4" x14ac:dyDescent="0.2">
      <c r="A834" s="5">
        <v>773</v>
      </c>
      <c r="B834" s="1832">
        <f>'Expenditures 15-22'!E14</f>
        <v>153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32845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17079</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17079</v>
      </c>
      <c r="C843" s="2" t="s">
        <v>569</v>
      </c>
      <c r="D843" s="2" t="str">
        <f t="shared" si="12"/>
        <v>Error?</v>
      </c>
    </row>
    <row r="844" spans="1:4" x14ac:dyDescent="0.2">
      <c r="A844" s="5">
        <v>783</v>
      </c>
      <c r="B844" s="1832">
        <f>'Expenditures 15-22'!E44</f>
        <v>2589</v>
      </c>
      <c r="D844" s="2" t="str">
        <f t="shared" si="12"/>
        <v>Error?</v>
      </c>
    </row>
    <row r="845" spans="1:4" x14ac:dyDescent="0.2">
      <c r="A845" s="5">
        <v>784</v>
      </c>
      <c r="B845" s="1832">
        <f>'Expenditures 15-22'!E45</f>
        <v>11894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14483</v>
      </c>
      <c r="C847" s="2" t="s">
        <v>569</v>
      </c>
      <c r="D847" s="2" t="str">
        <f t="shared" si="12"/>
        <v>Error?</v>
      </c>
    </row>
    <row r="848" spans="1:4" x14ac:dyDescent="0.2">
      <c r="A848" s="5">
        <v>787</v>
      </c>
      <c r="B848" s="1832">
        <f>'Expenditures 15-22'!E49</f>
        <v>7933</v>
      </c>
      <c r="D848" s="2" t="str">
        <f t="shared" si="12"/>
        <v>Error?</v>
      </c>
    </row>
    <row r="849" spans="1:4" x14ac:dyDescent="0.2">
      <c r="A849" s="5">
        <v>788</v>
      </c>
      <c r="B849" s="1832">
        <f>'Expenditures 15-22'!E50</f>
        <v>1875</v>
      </c>
      <c r="D849" s="2" t="str">
        <f t="shared" si="12"/>
        <v>Error?</v>
      </c>
    </row>
    <row r="850" spans="1:4" x14ac:dyDescent="0.2">
      <c r="A850" s="5">
        <v>789</v>
      </c>
      <c r="B850" s="1832">
        <f>'Expenditures 15-22'!E53</f>
        <v>9808</v>
      </c>
      <c r="C850" s="2" t="s">
        <v>569</v>
      </c>
      <c r="D850" s="2" t="str">
        <f t="shared" si="12"/>
        <v>Error?</v>
      </c>
    </row>
    <row r="851" spans="1:4" x14ac:dyDescent="0.2">
      <c r="A851" s="5">
        <v>790</v>
      </c>
      <c r="B851" s="1832">
        <f>'Expenditures 15-22'!E55</f>
        <v>377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377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1870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1870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43617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93030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16487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965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17861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749</v>
      </c>
      <c r="D903" s="2" t="str">
        <f t="shared" si="13"/>
        <v>Error?</v>
      </c>
    </row>
    <row r="904" spans="1:4" x14ac:dyDescent="0.2">
      <c r="A904" s="5">
        <v>843</v>
      </c>
      <c r="B904" s="1832">
        <f>'Expenditures 15-22'!F46</f>
        <v>4185</v>
      </c>
      <c r="D904" s="2" t="str">
        <f t="shared" si="13"/>
        <v>Error?</v>
      </c>
    </row>
    <row r="905" spans="1:4" x14ac:dyDescent="0.2">
      <c r="A905" s="5">
        <v>844</v>
      </c>
      <c r="B905" s="1832">
        <f>'Expenditures 15-22'!F47</f>
        <v>4934</v>
      </c>
      <c r="C905" s="2" t="s">
        <v>569</v>
      </c>
      <c r="D905" s="2" t="str">
        <f t="shared" si="13"/>
        <v>Error?</v>
      </c>
    </row>
    <row r="906" spans="1:4" x14ac:dyDescent="0.2">
      <c r="A906" s="5">
        <v>845</v>
      </c>
      <c r="B906" s="1832">
        <f>'Expenditures 15-22'!F49</f>
        <v>148</v>
      </c>
      <c r="D906" s="2" t="str">
        <f t="shared" si="13"/>
        <v>Error?</v>
      </c>
    </row>
    <row r="907" spans="1:4" x14ac:dyDescent="0.2">
      <c r="A907" s="5">
        <v>846</v>
      </c>
      <c r="B907" s="1832">
        <f>'Expenditures 15-22'!F50</f>
        <v>763</v>
      </c>
      <c r="D907" s="2" t="str">
        <f t="shared" si="13"/>
        <v>Error?</v>
      </c>
    </row>
    <row r="908" spans="1:4" x14ac:dyDescent="0.2">
      <c r="A908" s="5">
        <v>847</v>
      </c>
      <c r="B908" s="1832">
        <f>'Expenditures 15-22'!F53</f>
        <v>911</v>
      </c>
      <c r="C908" s="2" t="s">
        <v>569</v>
      </c>
      <c r="D908" s="2" t="str">
        <f t="shared" si="13"/>
        <v>Error?</v>
      </c>
    </row>
    <row r="909" spans="1:4" x14ac:dyDescent="0.2">
      <c r="A909" s="5">
        <v>848</v>
      </c>
      <c r="B909" s="1832">
        <f>'Expenditures 15-22'!F55</f>
        <v>183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183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20775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20775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26803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44664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2762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2762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3907</v>
      </c>
      <c r="D1022" s="2" t="str">
        <f t="shared" si="14"/>
        <v>Error?</v>
      </c>
    </row>
    <row r="1023" spans="1:4" x14ac:dyDescent="0.2">
      <c r="A1023" s="5">
        <v>962</v>
      </c>
      <c r="B1023" s="1832">
        <f>'Expenditures 15-22'!H50</f>
        <v>1165</v>
      </c>
      <c r="D1023" s="2" t="str">
        <f t="shared" ref="D1023:D1086" si="15">IF(ISBLANK(B1023),"OK",IF(A1023-B1023=0,"OK","Error?"))</f>
        <v>Error?</v>
      </c>
    </row>
    <row r="1024" spans="1:4" x14ac:dyDescent="0.2">
      <c r="A1024" s="5">
        <v>963</v>
      </c>
      <c r="B1024" s="1832">
        <f>'Expenditures 15-22'!H53</f>
        <v>5072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5072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56863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64697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590983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3037</v>
      </c>
      <c r="C1105" s="2" t="s">
        <v>569</v>
      </c>
      <c r="D1105" s="2" t="str">
        <f t="shared" si="16"/>
        <v>Error?</v>
      </c>
    </row>
    <row r="1106" spans="1:4" x14ac:dyDescent="0.2">
      <c r="A1106" s="5">
        <v>1045</v>
      </c>
      <c r="B1106" s="1832">
        <f>'Expenditures 15-22'!K14</f>
        <v>21869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719952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17079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17079</v>
      </c>
      <c r="C1115" s="2" t="s">
        <v>569</v>
      </c>
      <c r="D1115" s="2" t="str">
        <f t="shared" si="16"/>
        <v>Error?</v>
      </c>
    </row>
    <row r="1116" spans="1:4" x14ac:dyDescent="0.2">
      <c r="A1116" s="5">
        <v>1055</v>
      </c>
      <c r="B1116" s="1832">
        <f>'Expenditures 15-22'!K44</f>
        <v>2589</v>
      </c>
      <c r="C1116" s="2" t="s">
        <v>569</v>
      </c>
      <c r="D1116" s="2" t="str">
        <f t="shared" si="16"/>
        <v>Error?</v>
      </c>
    </row>
    <row r="1117" spans="1:4" x14ac:dyDescent="0.2">
      <c r="A1117" s="5">
        <v>1056</v>
      </c>
      <c r="B1117" s="1832">
        <f>'Expenditures 15-22'!K45</f>
        <v>12643</v>
      </c>
      <c r="C1117" s="2" t="s">
        <v>569</v>
      </c>
      <c r="D1117" s="2" t="str">
        <f t="shared" si="16"/>
        <v>Error?</v>
      </c>
    </row>
    <row r="1118" spans="1:4" x14ac:dyDescent="0.2">
      <c r="A1118" s="5">
        <v>1057</v>
      </c>
      <c r="B1118" s="1832">
        <f>'Expenditures 15-22'!K46</f>
        <v>4185</v>
      </c>
      <c r="C1118" s="2" t="s">
        <v>569</v>
      </c>
      <c r="D1118" s="2" t="str">
        <f t="shared" si="16"/>
        <v>Error?</v>
      </c>
    </row>
    <row r="1119" spans="1:4" x14ac:dyDescent="0.2">
      <c r="A1119" s="5">
        <v>1058</v>
      </c>
      <c r="B1119" s="1832">
        <f>'Expenditures 15-22'!K47</f>
        <v>19417</v>
      </c>
      <c r="C1119" s="2" t="s">
        <v>569</v>
      </c>
      <c r="D1119" s="2" t="str">
        <f t="shared" si="16"/>
        <v>Error?</v>
      </c>
    </row>
    <row r="1120" spans="1:4" x14ac:dyDescent="0.2">
      <c r="A1120" s="5">
        <v>1059</v>
      </c>
      <c r="B1120" s="1832">
        <f>'Expenditures 15-22'!K49</f>
        <v>11988</v>
      </c>
      <c r="C1120" s="2" t="s">
        <v>569</v>
      </c>
      <c r="D1120" s="2" t="str">
        <f t="shared" si="16"/>
        <v>Error?</v>
      </c>
    </row>
    <row r="1121" spans="1:4" x14ac:dyDescent="0.2">
      <c r="A1121" s="5">
        <v>1060</v>
      </c>
      <c r="B1121" s="1832">
        <f>'Expenditures 15-22'!K50</f>
        <v>75314</v>
      </c>
      <c r="C1121" s="2" t="s">
        <v>569</v>
      </c>
      <c r="D1121" s="2" t="str">
        <f t="shared" si="16"/>
        <v>Error?</v>
      </c>
    </row>
    <row r="1122" spans="1:4" x14ac:dyDescent="0.2">
      <c r="A1122" s="5">
        <v>1061</v>
      </c>
      <c r="B1122" s="1832">
        <f>'Expenditures 15-22'!K53</f>
        <v>87302</v>
      </c>
      <c r="C1122" s="2" t="s">
        <v>569</v>
      </c>
      <c r="D1122" s="2" t="str">
        <f t="shared" si="16"/>
        <v>Error?</v>
      </c>
    </row>
    <row r="1123" spans="1:4" x14ac:dyDescent="0.2">
      <c r="A1123" s="5">
        <v>1062</v>
      </c>
      <c r="B1123" s="1832">
        <f>'Expenditures 15-22'!K55</f>
        <v>82902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82902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63589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63589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270289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73431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1063672</v>
      </c>
      <c r="C1152" s="2" t="s">
        <v>569</v>
      </c>
      <c r="D1152" s="2" t="str">
        <f t="shared" si="17"/>
        <v>Error?</v>
      </c>
    </row>
    <row r="1153" spans="1:4" x14ac:dyDescent="0.2">
      <c r="A1153" s="5">
        <v>1092</v>
      </c>
      <c r="B1153" s="1832">
        <f>'Expenditures 15-22'!K115</f>
        <v>51275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47205</v>
      </c>
      <c r="D1221" s="2" t="str">
        <f t="shared" si="18"/>
        <v>Error?</v>
      </c>
    </row>
    <row r="1222" spans="1:4" x14ac:dyDescent="0.2">
      <c r="A1222" s="10">
        <v>1161</v>
      </c>
      <c r="B1222" s="1832"/>
      <c r="D1222" s="2" t="str">
        <f t="shared" si="18"/>
        <v>OK</v>
      </c>
    </row>
    <row r="1223" spans="1:4" x14ac:dyDescent="0.2">
      <c r="A1223" s="5">
        <v>1162</v>
      </c>
      <c r="B1223" s="1832">
        <f>'Expenditures 15-22'!C127</f>
        <v>47205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47205</v>
      </c>
      <c r="C1225" s="2" t="s">
        <v>569</v>
      </c>
      <c r="D1225" s="2" t="str">
        <f t="shared" si="18"/>
        <v>Error?</v>
      </c>
    </row>
    <row r="1226" spans="1:4" x14ac:dyDescent="0.2">
      <c r="A1226" s="5">
        <v>1165</v>
      </c>
      <c r="B1226" s="1832">
        <f>'Expenditures 15-22'!C151</f>
        <v>47205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8386</v>
      </c>
      <c r="D1229" s="2" t="str">
        <f t="shared" si="18"/>
        <v>Error?</v>
      </c>
    </row>
    <row r="1230" spans="1:4" x14ac:dyDescent="0.2">
      <c r="A1230" s="10">
        <v>1169</v>
      </c>
      <c r="B1230" s="1832"/>
      <c r="D1230" s="2" t="str">
        <f t="shared" si="18"/>
        <v>OK</v>
      </c>
    </row>
    <row r="1231" spans="1:4" x14ac:dyDescent="0.2">
      <c r="A1231" s="5">
        <v>1170</v>
      </c>
      <c r="B1231" s="1832">
        <f>'Expenditures 15-22'!D127</f>
        <v>8386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8386</v>
      </c>
      <c r="C1233" s="2" t="s">
        <v>569</v>
      </c>
      <c r="D1233" s="2" t="str">
        <f t="shared" si="18"/>
        <v>Error?</v>
      </c>
    </row>
    <row r="1234" spans="1:4" x14ac:dyDescent="0.2">
      <c r="A1234" s="5">
        <v>1173</v>
      </c>
      <c r="B1234" s="1832">
        <f>'Expenditures 15-22'!D151</f>
        <v>8386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39562</v>
      </c>
      <c r="D1237" s="2" t="str">
        <f t="shared" si="18"/>
        <v>Error?</v>
      </c>
    </row>
    <row r="1238" spans="1:4" x14ac:dyDescent="0.2">
      <c r="A1238" s="10">
        <v>1177</v>
      </c>
      <c r="B1238" s="1832"/>
      <c r="D1238" s="2" t="str">
        <f t="shared" si="18"/>
        <v>OK</v>
      </c>
    </row>
    <row r="1239" spans="1:4" x14ac:dyDescent="0.2">
      <c r="A1239" s="5">
        <v>1178</v>
      </c>
      <c r="B1239" s="1832">
        <f>'Expenditures 15-22'!E127</f>
        <v>39562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39562</v>
      </c>
      <c r="C1241" s="2" t="s">
        <v>569</v>
      </c>
      <c r="D1241" s="2" t="str">
        <f t="shared" si="18"/>
        <v>Error?</v>
      </c>
    </row>
    <row r="1242" spans="1:4" x14ac:dyDescent="0.2">
      <c r="A1242" s="5">
        <v>1181</v>
      </c>
      <c r="B1242" s="1832">
        <f>'Expenditures 15-22'!E151</f>
        <v>39562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35072</v>
      </c>
      <c r="D1245" s="2" t="str">
        <f t="shared" si="18"/>
        <v>Error?</v>
      </c>
    </row>
    <row r="1246" spans="1:4" x14ac:dyDescent="0.2">
      <c r="A1246" s="10">
        <v>1185</v>
      </c>
      <c r="B1246" s="1832"/>
      <c r="D1246" s="2" t="str">
        <f t="shared" si="18"/>
        <v>OK</v>
      </c>
    </row>
    <row r="1247" spans="1:4" x14ac:dyDescent="0.2">
      <c r="A1247" s="5">
        <v>1186</v>
      </c>
      <c r="B1247" s="1832">
        <f>'Expenditures 15-22'!F127</f>
        <v>35072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35072</v>
      </c>
      <c r="C1249" s="2" t="s">
        <v>569</v>
      </c>
      <c r="D1249" s="2" t="str">
        <f t="shared" si="18"/>
        <v>Error?</v>
      </c>
    </row>
    <row r="1250" spans="1:4" x14ac:dyDescent="0.2">
      <c r="A1250" s="5">
        <v>1189</v>
      </c>
      <c r="B1250" s="1832">
        <f>'Expenditures 15-22'!F151</f>
        <v>35072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1727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1727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1727</v>
      </c>
      <c r="C1258" s="2" t="s">
        <v>569</v>
      </c>
      <c r="D1258" s="2" t="str">
        <f t="shared" si="18"/>
        <v>Error?</v>
      </c>
    </row>
    <row r="1259" spans="1:4" x14ac:dyDescent="0.2">
      <c r="A1259" s="5">
        <v>1198</v>
      </c>
      <c r="B1259" s="1832">
        <f>'Expenditures 15-22'!G151</f>
        <v>1727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131952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131952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131952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131952</v>
      </c>
      <c r="C1288" s="2" t="s">
        <v>569</v>
      </c>
      <c r="D1288" s="2" t="str">
        <f t="shared" si="19"/>
        <v>Error?</v>
      </c>
    </row>
    <row r="1289" spans="1:4" x14ac:dyDescent="0.2">
      <c r="A1289" s="5">
        <v>1228</v>
      </c>
      <c r="B1289" s="1832">
        <f>'Expenditures 15-22'!K152</f>
        <v>-21980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269700</v>
      </c>
      <c r="D1315" s="2" t="str">
        <f t="shared" si="19"/>
        <v>Error?</v>
      </c>
    </row>
    <row r="1316" spans="1:4" x14ac:dyDescent="0.2">
      <c r="A1316" s="5">
        <v>1255</v>
      </c>
      <c r="B1316" s="1832">
        <f>'Expenditures 15-22'!H171</f>
        <v>384</v>
      </c>
      <c r="D1316" s="2" t="str">
        <f t="shared" si="19"/>
        <v>Error?</v>
      </c>
    </row>
    <row r="1317" spans="1:4" x14ac:dyDescent="0.2">
      <c r="A1317" s="5">
        <v>1256</v>
      </c>
      <c r="B1317" s="1832">
        <f>'Expenditures 15-22'!H172</f>
        <v>270909</v>
      </c>
      <c r="C1317" s="2" t="s">
        <v>569</v>
      </c>
      <c r="D1317" s="2" t="str">
        <f t="shared" si="19"/>
        <v>Error?</v>
      </c>
    </row>
    <row r="1318" spans="1:4" x14ac:dyDescent="0.2">
      <c r="A1318" s="5">
        <v>1257</v>
      </c>
      <c r="B1318" s="1832">
        <f>'Expenditures 15-22'!H174</f>
        <v>270909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269700</v>
      </c>
      <c r="C1329" s="2" t="s">
        <v>569</v>
      </c>
      <c r="D1329" s="2" t="str">
        <f t="shared" si="19"/>
        <v>Error?</v>
      </c>
    </row>
    <row r="1330" spans="1:4" x14ac:dyDescent="0.2">
      <c r="A1330" s="5">
        <v>1269</v>
      </c>
      <c r="B1330" s="1832">
        <f>'Expenditures 15-22'!K171</f>
        <v>384</v>
      </c>
      <c r="C1330" s="2" t="s">
        <v>569</v>
      </c>
      <c r="D1330" s="2" t="str">
        <f t="shared" si="19"/>
        <v>Error?</v>
      </c>
    </row>
    <row r="1331" spans="1:4" x14ac:dyDescent="0.2">
      <c r="A1331" s="5">
        <v>1270</v>
      </c>
      <c r="B1331" s="1832">
        <f>'Expenditures 15-22'!K172</f>
        <v>270909</v>
      </c>
      <c r="C1331" s="2" t="s">
        <v>569</v>
      </c>
      <c r="D1331" s="2" t="str">
        <f t="shared" si="19"/>
        <v>Error?</v>
      </c>
    </row>
    <row r="1332" spans="1:4" x14ac:dyDescent="0.2">
      <c r="A1332" s="5">
        <v>1271</v>
      </c>
      <c r="B1332" s="1832">
        <f>'Expenditures 15-22'!K174</f>
        <v>270909</v>
      </c>
      <c r="C1332" s="2" t="s">
        <v>569</v>
      </c>
      <c r="D1332" s="2" t="str">
        <f t="shared" si="19"/>
        <v>Error?</v>
      </c>
    </row>
    <row r="1333" spans="1:4" x14ac:dyDescent="0.2">
      <c r="A1333" s="5">
        <v>1272</v>
      </c>
      <c r="B1333" s="1832">
        <f>'Expenditures 15-22'!K175</f>
        <v>-209798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71661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71661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71661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71661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71661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71661</v>
      </c>
      <c r="C1388" s="2" t="s">
        <v>569</v>
      </c>
      <c r="D1388" s="2" t="str">
        <f t="shared" si="20"/>
        <v>Error?</v>
      </c>
    </row>
    <row r="1389" spans="1:4" x14ac:dyDescent="0.2">
      <c r="A1389" s="5">
        <v>1328</v>
      </c>
      <c r="B1389" s="1832">
        <f>'Expenditures 15-22'!K211</f>
        <v>61421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1274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13219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4571</v>
      </c>
      <c r="D1423" s="2" t="str">
        <f t="shared" si="21"/>
        <v>Error?</v>
      </c>
    </row>
    <row r="1424" spans="1:4" x14ac:dyDescent="0.2">
      <c r="A1424" s="5">
        <v>1363</v>
      </c>
      <c r="B1424" s="1832">
        <f>'Expenditures 15-22'!D257</f>
        <v>4571</v>
      </c>
      <c r="C1424" s="2" t="s">
        <v>569</v>
      </c>
      <c r="D1424" s="2" t="str">
        <f t="shared" si="21"/>
        <v>Error?</v>
      </c>
    </row>
    <row r="1425" spans="1:4" x14ac:dyDescent="0.2">
      <c r="A1425" s="5">
        <v>1364</v>
      </c>
      <c r="B1425" s="1832">
        <f>'Expenditures 15-22'!D259</f>
        <v>5541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5541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9241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7968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17209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27321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40540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1274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13219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4571</v>
      </c>
      <c r="C1487" s="2" t="s">
        <v>569</v>
      </c>
      <c r="D1487" s="2" t="str">
        <f t="shared" si="22"/>
        <v>Error?</v>
      </c>
    </row>
    <row r="1488" spans="1:4" x14ac:dyDescent="0.2">
      <c r="A1488" s="5">
        <v>1427</v>
      </c>
      <c r="B1488" s="1832">
        <f>'Expenditures 15-22'!K257</f>
        <v>4571</v>
      </c>
      <c r="C1488" s="2" t="s">
        <v>569</v>
      </c>
      <c r="D1488" s="2" t="str">
        <f t="shared" si="22"/>
        <v>Error?</v>
      </c>
    </row>
    <row r="1489" spans="1:4" x14ac:dyDescent="0.2">
      <c r="A1489" s="5">
        <v>1428</v>
      </c>
      <c r="B1489" s="1832">
        <f>'Expenditures 15-22'!K259</f>
        <v>5541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5541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9241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7968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17209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27321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40540</v>
      </c>
      <c r="C1517" s="2" t="s">
        <v>569</v>
      </c>
      <c r="D1517" s="2" t="str">
        <f t="shared" si="22"/>
        <v>Error?</v>
      </c>
    </row>
    <row r="1518" spans="1:4" x14ac:dyDescent="0.2">
      <c r="A1518" s="5">
        <v>1457</v>
      </c>
      <c r="B1518" s="1832">
        <f>'Expenditures 15-22'!K296</f>
        <v>12634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50000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911597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723172</v>
      </c>
      <c r="C1630" s="2" t="s">
        <v>569</v>
      </c>
      <c r="D1630" s="2" t="str">
        <f t="shared" si="24"/>
        <v>Error?</v>
      </c>
    </row>
    <row r="1631" spans="1:4" x14ac:dyDescent="0.2">
      <c r="A1631" s="5">
        <v>1570</v>
      </c>
      <c r="B1631" s="1832">
        <f>'Acct Summary 7-8'!D79</f>
        <v>840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-17693</v>
      </c>
      <c r="C1644" s="2" t="s">
        <v>569</v>
      </c>
      <c r="D1644" s="2" t="str">
        <f t="shared" si="24"/>
        <v>Error?</v>
      </c>
    </row>
    <row r="1645" spans="1:4" x14ac:dyDescent="0.2">
      <c r="A1645" s="5">
        <v>1584</v>
      </c>
      <c r="B1645" s="1832">
        <f>'Acct Summary 7-8'!E79</f>
        <v>17539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47441</v>
      </c>
      <c r="C1658" s="2" t="s">
        <v>569</v>
      </c>
      <c r="D1658" s="2" t="str">
        <f t="shared" si="24"/>
        <v>Error?</v>
      </c>
    </row>
    <row r="1659" spans="1:4" x14ac:dyDescent="0.2">
      <c r="A1659" s="5">
        <v>1598</v>
      </c>
      <c r="B1659" s="1832">
        <f>'Acct Summary 7-8'!F79</f>
        <v>171960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233381</v>
      </c>
      <c r="C1672" s="2" t="s">
        <v>569</v>
      </c>
      <c r="D1672" s="2" t="str">
        <f t="shared" si="25"/>
        <v>Error?</v>
      </c>
    </row>
    <row r="1673" spans="1:4" x14ac:dyDescent="0.2">
      <c r="A1673" s="5">
        <v>1612</v>
      </c>
      <c r="B1673" s="1832">
        <f>'Acct Summary 7-8'!G79</f>
        <v>46725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59359</v>
      </c>
      <c r="C1686" s="2" t="s">
        <v>569</v>
      </c>
      <c r="D1686" s="2" t="str">
        <f t="shared" si="25"/>
        <v>Error?</v>
      </c>
    </row>
    <row r="1687" spans="1:4" x14ac:dyDescent="0.2">
      <c r="A1687" s="5">
        <v>1626</v>
      </c>
      <c r="B1687" s="1832">
        <f>'Acct Summary 7-8'!H79</f>
        <v>13503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63503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701031</v>
      </c>
      <c r="C1744" s="2" t="s">
        <v>569</v>
      </c>
      <c r="D1744" s="2" t="str">
        <f t="shared" si="26"/>
        <v>Error?</v>
      </c>
    </row>
    <row r="1745" spans="1:5" x14ac:dyDescent="0.2">
      <c r="A1745" s="5">
        <v>1684</v>
      </c>
      <c r="B1745" s="1832">
        <f>'Tax Sched 23'!B5</f>
        <v>109467</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80741</v>
      </c>
      <c r="C1747" s="2" t="s">
        <v>569</v>
      </c>
      <c r="D1747" s="2" t="str">
        <f t="shared" si="26"/>
        <v>Error?</v>
      </c>
    </row>
    <row r="1748" spans="1:5" x14ac:dyDescent="0.2">
      <c r="A1748" s="5">
        <v>1687</v>
      </c>
      <c r="B1748" s="1832">
        <f>'Tax Sched 23'!B8</f>
        <v>28556</v>
      </c>
      <c r="C1748" s="2" t="s">
        <v>569</v>
      </c>
      <c r="D1748" s="2" t="str">
        <f t="shared" si="26"/>
        <v>Error?</v>
      </c>
    </row>
    <row r="1749" spans="1:5" x14ac:dyDescent="0.2">
      <c r="A1749" s="5">
        <v>1688</v>
      </c>
      <c r="B1749" s="1832">
        <f>'Tax Sched 23'!B10</f>
        <v>3447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32494</v>
      </c>
      <c r="C1752" s="2" t="s">
        <v>569</v>
      </c>
      <c r="D1752" s="2" t="str">
        <f t="shared" si="26"/>
        <v>Error?</v>
      </c>
    </row>
    <row r="1753" spans="1:5" x14ac:dyDescent="0.2">
      <c r="A1753" s="5">
        <v>1692</v>
      </c>
      <c r="B1753" s="1832">
        <f>'Tax Sched 23'!B12</f>
        <v>6895</v>
      </c>
      <c r="C1753" s="2" t="s">
        <v>569</v>
      </c>
      <c r="D1753" s="2" t="str">
        <f t="shared" si="26"/>
        <v>Error?</v>
      </c>
    </row>
    <row r="1754" spans="1:5" x14ac:dyDescent="0.2">
      <c r="A1754" s="5">
        <v>1693</v>
      </c>
      <c r="B1754" s="1832">
        <f>'Tax Sched 23'!B14</f>
        <v>3940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995228</v>
      </c>
      <c r="C1759" s="2" t="s">
        <v>569</v>
      </c>
      <c r="D1759" s="2" t="str">
        <f t="shared" si="26"/>
        <v>Error?</v>
      </c>
    </row>
    <row r="1760" spans="1:5" x14ac:dyDescent="0.2">
      <c r="A1760" s="5">
        <v>1699</v>
      </c>
      <c r="B1760" s="1832">
        <f>'Tax Sched 23'!D4</f>
        <v>701031</v>
      </c>
      <c r="C1760" s="2" t="s">
        <v>569</v>
      </c>
      <c r="D1760" s="2" t="str">
        <f t="shared" si="26"/>
        <v>Error?</v>
      </c>
    </row>
    <row r="1761" spans="1:7" x14ac:dyDescent="0.2">
      <c r="A1761" s="5">
        <v>1700</v>
      </c>
      <c r="B1761" s="1832">
        <f>'Tax Sched 23'!D5</f>
        <v>109467</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80741</v>
      </c>
      <c r="C1763" s="2" t="s">
        <v>569</v>
      </c>
      <c r="D1763" s="2" t="str">
        <f t="shared" si="26"/>
        <v>Error?</v>
      </c>
    </row>
    <row r="1764" spans="1:7" x14ac:dyDescent="0.2">
      <c r="A1764" s="5">
        <v>1703</v>
      </c>
      <c r="B1764" s="1832">
        <f>'Tax Sched 23'!D8</f>
        <v>28556</v>
      </c>
      <c r="C1764" s="2" t="s">
        <v>569</v>
      </c>
      <c r="D1764" s="2" t="str">
        <f t="shared" si="26"/>
        <v>Error?</v>
      </c>
    </row>
    <row r="1765" spans="1:7" x14ac:dyDescent="0.2">
      <c r="A1765" s="5">
        <v>1704</v>
      </c>
      <c r="B1765" s="1832">
        <f>'Tax Sched 23'!D10</f>
        <v>3447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32494</v>
      </c>
      <c r="C1768" s="2" t="s">
        <v>569</v>
      </c>
      <c r="D1768" s="2" t="str">
        <f t="shared" si="26"/>
        <v>Error?</v>
      </c>
    </row>
    <row r="1769" spans="1:7" x14ac:dyDescent="0.2">
      <c r="A1769" s="5">
        <v>1708</v>
      </c>
      <c r="B1769" s="1832">
        <f>'Tax Sched 23'!D12</f>
        <v>6895</v>
      </c>
      <c r="C1769" s="2" t="s">
        <v>569</v>
      </c>
      <c r="D1769" s="2" t="str">
        <f t="shared" si="26"/>
        <v>Error?</v>
      </c>
    </row>
    <row r="1770" spans="1:7" x14ac:dyDescent="0.2">
      <c r="A1770" s="5">
        <v>1709</v>
      </c>
      <c r="B1770" s="1832">
        <f>'Tax Sched 23'!D14</f>
        <v>3940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995228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717879</v>
      </c>
      <c r="C1792" s="2" t="s">
        <v>569</v>
      </c>
      <c r="D1792" s="2" t="str">
        <f t="shared" si="27"/>
        <v>Error?</v>
      </c>
    </row>
    <row r="1793" spans="1:4" x14ac:dyDescent="0.2">
      <c r="A1793" s="5">
        <v>1732</v>
      </c>
      <c r="B1793" s="1832">
        <f>'Tax Sched 23'!F5</f>
        <v>123817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82684</v>
      </c>
      <c r="C1795" s="2" t="s">
        <v>569</v>
      </c>
      <c r="D1795" s="2" t="str">
        <f t="shared" si="27"/>
        <v>Error?</v>
      </c>
    </row>
    <row r="1796" spans="1:4" x14ac:dyDescent="0.2">
      <c r="A1796" s="5">
        <v>1735</v>
      </c>
      <c r="B1796" s="1832">
        <f>'Tax Sched 23'!F8</f>
        <v>29246</v>
      </c>
      <c r="C1796" s="2" t="s">
        <v>569</v>
      </c>
      <c r="D1796" s="2" t="str">
        <f t="shared" si="27"/>
        <v>Error?</v>
      </c>
    </row>
    <row r="1797" spans="1:4" x14ac:dyDescent="0.2">
      <c r="A1797" s="5">
        <v>1736</v>
      </c>
      <c r="B1797" s="1832">
        <f>'Tax Sched 23'!F10</f>
        <v>3534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33279</v>
      </c>
      <c r="C1800" s="2" t="s">
        <v>569</v>
      </c>
      <c r="D1800" s="2" t="str">
        <f t="shared" si="27"/>
        <v>Error?</v>
      </c>
    </row>
    <row r="1801" spans="1:4" x14ac:dyDescent="0.2">
      <c r="A1801" s="5">
        <v>1740</v>
      </c>
      <c r="B1801" s="1832">
        <f>'Tax Sched 23'!F12</f>
        <v>7065</v>
      </c>
      <c r="C1801" s="2" t="s">
        <v>569</v>
      </c>
      <c r="D1801" s="2" t="str">
        <f t="shared" si="27"/>
        <v>Error?</v>
      </c>
    </row>
    <row r="1802" spans="1:4" x14ac:dyDescent="0.2">
      <c r="A1802" s="5">
        <v>1741</v>
      </c>
      <c r="B1802" s="1832">
        <f>'Tax Sched 23'!F14</f>
        <v>4037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1030891</v>
      </c>
      <c r="C1807" s="2" t="s">
        <v>569</v>
      </c>
      <c r="D1807" s="2" t="str">
        <f t="shared" si="27"/>
        <v>Error?</v>
      </c>
    </row>
    <row r="1808" spans="1:4" x14ac:dyDescent="0.2">
      <c r="A1808" s="5">
        <v>1747</v>
      </c>
      <c r="B1808" s="1832">
        <f>'Tax Sched 23'!E4</f>
        <v>717879</v>
      </c>
      <c r="D1808" s="2" t="str">
        <f t="shared" si="27"/>
        <v>Error?</v>
      </c>
    </row>
    <row r="1809" spans="1:4" x14ac:dyDescent="0.2">
      <c r="A1809" s="5">
        <v>1748</v>
      </c>
      <c r="B1809" s="1832">
        <f>'Tax Sched 23'!E5</f>
        <v>123817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82684</v>
      </c>
      <c r="D1811" s="2" t="str">
        <f t="shared" si="27"/>
        <v>Error?</v>
      </c>
    </row>
    <row r="1812" spans="1:4" x14ac:dyDescent="0.2">
      <c r="A1812" s="5">
        <v>1751</v>
      </c>
      <c r="B1812" s="1832">
        <f>'Tax Sched 23'!E8</f>
        <v>29246</v>
      </c>
      <c r="D1812" s="2" t="str">
        <f t="shared" si="27"/>
        <v>Error?</v>
      </c>
    </row>
    <row r="1813" spans="1:4" x14ac:dyDescent="0.2">
      <c r="A1813" s="5">
        <v>1752</v>
      </c>
      <c r="B1813" s="1832">
        <f>'Tax Sched 23'!E10</f>
        <v>3534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33279</v>
      </c>
      <c r="D1816" s="2" t="str">
        <f t="shared" si="27"/>
        <v>Error?</v>
      </c>
    </row>
    <row r="1817" spans="1:4" x14ac:dyDescent="0.2">
      <c r="A1817" s="5">
        <v>1756</v>
      </c>
      <c r="B1817" s="1832">
        <f>'Tax Sched 23'!E12</f>
        <v>7065</v>
      </c>
      <c r="D1817" s="2" t="str">
        <f t="shared" si="27"/>
        <v>Error?</v>
      </c>
    </row>
    <row r="1818" spans="1:4" x14ac:dyDescent="0.2">
      <c r="A1818" s="5">
        <v>1757</v>
      </c>
      <c r="B1818" s="1832">
        <f>'Tax Sched 23'!E14</f>
        <v>4037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1030891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269700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3940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3940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3940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8000</v>
      </c>
      <c r="D2008" s="2" t="str">
        <f t="shared" si="30"/>
        <v>Error?</v>
      </c>
    </row>
    <row r="2009" spans="1:4" x14ac:dyDescent="0.2">
      <c r="A2009" s="5">
        <v>1948</v>
      </c>
      <c r="B2009" s="1832">
        <f>'Cap Outlay Deprec 26'!C8</f>
        <v>1404324</v>
      </c>
      <c r="D2009" s="2" t="str">
        <f t="shared" si="30"/>
        <v>Error?</v>
      </c>
    </row>
    <row r="2010" spans="1:4" x14ac:dyDescent="0.2">
      <c r="A2010" s="5">
        <v>1949</v>
      </c>
      <c r="B2010" s="1832">
        <f>'Cap Outlay Deprec 26'!C10</f>
        <v>7104</v>
      </c>
      <c r="D2010" s="2" t="str">
        <f t="shared" si="30"/>
        <v>Error?</v>
      </c>
    </row>
    <row r="2011" spans="1:4" x14ac:dyDescent="0.2">
      <c r="A2011" s="5">
        <v>1950</v>
      </c>
      <c r="B2011" s="1832">
        <f>'Cap Outlay Deprec 26'!C12</f>
        <v>351020</v>
      </c>
      <c r="D2011" s="2" t="str">
        <f t="shared" si="30"/>
        <v>Error?</v>
      </c>
    </row>
    <row r="2012" spans="1:4" x14ac:dyDescent="0.2">
      <c r="A2012" s="5">
        <v>1951</v>
      </c>
      <c r="B2012" s="1832">
        <f>'Cap Outlay Deprec 26'!C13</f>
        <v>71491</v>
      </c>
      <c r="D2012" s="2" t="str">
        <f t="shared" si="30"/>
        <v>Error?</v>
      </c>
    </row>
    <row r="2013" spans="1:4" x14ac:dyDescent="0.2">
      <c r="A2013" s="5">
        <v>1952</v>
      </c>
      <c r="B2013" s="1832">
        <f>'Cap Outlay Deprec 26'!C16</f>
        <v>1841939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6546</v>
      </c>
      <c r="D2017" s="2" t="str">
        <f t="shared" si="30"/>
        <v>Error?</v>
      </c>
    </row>
    <row r="2018" spans="1:4" x14ac:dyDescent="0.2">
      <c r="A2018" s="5">
        <v>1957</v>
      </c>
      <c r="B2018" s="1832">
        <f>'Cap Outlay Deprec 26'!D13</f>
        <v>7850</v>
      </c>
      <c r="D2018" s="2" t="str">
        <f t="shared" si="30"/>
        <v>Error?</v>
      </c>
    </row>
    <row r="2019" spans="1:4" x14ac:dyDescent="0.2">
      <c r="A2019" s="5">
        <v>1958</v>
      </c>
      <c r="B2019" s="1832">
        <f>'Cap Outlay Deprec 26'!D16</f>
        <v>14396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8000</v>
      </c>
      <c r="C2026" s="2" t="s">
        <v>569</v>
      </c>
      <c r="D2026" s="2" t="str">
        <f t="shared" si="30"/>
        <v>Error?</v>
      </c>
    </row>
    <row r="2027" spans="1:4" x14ac:dyDescent="0.2">
      <c r="A2027" s="5">
        <v>1966</v>
      </c>
      <c r="B2027" s="1832">
        <f>'Cap Outlay Deprec 26'!F8</f>
        <v>1404324</v>
      </c>
      <c r="C2027" s="2" t="s">
        <v>569</v>
      </c>
      <c r="D2027" s="2" t="str">
        <f t="shared" si="30"/>
        <v>Error?</v>
      </c>
    </row>
    <row r="2028" spans="1:4" x14ac:dyDescent="0.2">
      <c r="A2028" s="5">
        <v>1967</v>
      </c>
      <c r="B2028" s="1832">
        <f>'Cap Outlay Deprec 26'!F10</f>
        <v>7104</v>
      </c>
      <c r="C2028" s="2" t="s">
        <v>569</v>
      </c>
      <c r="D2028" s="2" t="str">
        <f t="shared" si="30"/>
        <v>Error?</v>
      </c>
    </row>
    <row r="2029" spans="1:4" x14ac:dyDescent="0.2">
      <c r="A2029" s="5">
        <v>1968</v>
      </c>
      <c r="B2029" s="1832">
        <f>'Cap Outlay Deprec 26'!F12</f>
        <v>357566</v>
      </c>
      <c r="C2029" s="2" t="s">
        <v>569</v>
      </c>
      <c r="D2029" s="2" t="str">
        <f t="shared" si="30"/>
        <v>Error?</v>
      </c>
    </row>
    <row r="2030" spans="1:4" x14ac:dyDescent="0.2">
      <c r="A2030" s="5">
        <v>1969</v>
      </c>
      <c r="B2030" s="1832">
        <f>'Cap Outlay Deprec 26'!F13</f>
        <v>79341</v>
      </c>
      <c r="C2030" s="2" t="s">
        <v>569</v>
      </c>
      <c r="D2030" s="2" t="str">
        <f t="shared" si="30"/>
        <v>Error?</v>
      </c>
    </row>
    <row r="2031" spans="1:4" x14ac:dyDescent="0.2">
      <c r="A2031" s="5">
        <v>1970</v>
      </c>
      <c r="B2031" s="1832">
        <f>'Cap Outlay Deprec 26'!F16</f>
        <v>1856335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692683</v>
      </c>
      <c r="D2033" s="2" t="str">
        <f t="shared" si="30"/>
        <v>Error?</v>
      </c>
    </row>
    <row r="2034" spans="1:4" x14ac:dyDescent="0.2">
      <c r="A2034" s="5">
        <v>1973</v>
      </c>
      <c r="B2034" s="1832">
        <f>'Cap Outlay Deprec 26'!H10</f>
        <v>7104</v>
      </c>
      <c r="D2034" s="2" t="str">
        <f t="shared" si="30"/>
        <v>Error?</v>
      </c>
    </row>
    <row r="2035" spans="1:4" x14ac:dyDescent="0.2">
      <c r="A2035" s="5">
        <v>1974</v>
      </c>
      <c r="B2035" s="1832">
        <f>'Cap Outlay Deprec 26'!H12</f>
        <v>326256</v>
      </c>
      <c r="D2035" s="2" t="str">
        <f t="shared" si="30"/>
        <v>Error?</v>
      </c>
    </row>
    <row r="2036" spans="1:4" x14ac:dyDescent="0.2">
      <c r="A2036" s="5">
        <v>1975</v>
      </c>
      <c r="B2036" s="1832">
        <f>'Cap Outlay Deprec 26'!H13</f>
        <v>54223</v>
      </c>
      <c r="D2036" s="2" t="str">
        <f t="shared" si="30"/>
        <v>Error?</v>
      </c>
    </row>
    <row r="2037" spans="1:4" x14ac:dyDescent="0.2">
      <c r="A2037" s="5">
        <v>1976</v>
      </c>
      <c r="B2037" s="1832">
        <f>'Cap Outlay Deprec 26'!H16</f>
        <v>1080266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33075</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7865</v>
      </c>
      <c r="D2041" s="2" t="str">
        <f t="shared" si="30"/>
        <v>Error?</v>
      </c>
    </row>
    <row r="2042" spans="1:4" x14ac:dyDescent="0.2">
      <c r="A2042" s="5">
        <v>1981</v>
      </c>
      <c r="B2042" s="1832">
        <f>'Cap Outlay Deprec 26'!I13</f>
        <v>6435</v>
      </c>
      <c r="D2042" s="2" t="str">
        <f t="shared" si="30"/>
        <v>Error?</v>
      </c>
    </row>
    <row r="2043" spans="1:4" x14ac:dyDescent="0.2">
      <c r="A2043" s="5">
        <v>1982</v>
      </c>
      <c r="B2043" s="1832">
        <f>'Cap Outlay Deprec 26'!I16</f>
        <v>47375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725758</v>
      </c>
      <c r="C2051" s="2" t="s">
        <v>569</v>
      </c>
      <c r="D2051" s="2" t="str">
        <f t="shared" si="31"/>
        <v>Error?</v>
      </c>
    </row>
    <row r="2052" spans="1:4" x14ac:dyDescent="0.2">
      <c r="A2052" s="5">
        <v>1991</v>
      </c>
      <c r="B2052" s="1832">
        <f>'Cap Outlay Deprec 26'!K10</f>
        <v>7104</v>
      </c>
      <c r="C2052" s="2" t="s">
        <v>569</v>
      </c>
      <c r="D2052" s="2" t="str">
        <f t="shared" si="31"/>
        <v>Error?</v>
      </c>
    </row>
    <row r="2053" spans="1:4" x14ac:dyDescent="0.2">
      <c r="A2053" s="5">
        <v>1992</v>
      </c>
      <c r="B2053" s="1832">
        <f>'Cap Outlay Deprec 26'!K12</f>
        <v>334121</v>
      </c>
      <c r="C2053" s="2" t="s">
        <v>569</v>
      </c>
      <c r="D2053" s="2" t="str">
        <f t="shared" si="31"/>
        <v>Error?</v>
      </c>
    </row>
    <row r="2054" spans="1:4" x14ac:dyDescent="0.2">
      <c r="A2054" s="5">
        <v>1993</v>
      </c>
      <c r="B2054" s="1832">
        <f>'Cap Outlay Deprec 26'!K13</f>
        <v>60658</v>
      </c>
      <c r="C2054" s="2" t="s">
        <v>569</v>
      </c>
      <c r="D2054" s="2" t="str">
        <f t="shared" si="31"/>
        <v>Error?</v>
      </c>
    </row>
    <row r="2055" spans="1:4" x14ac:dyDescent="0.2">
      <c r="A2055" s="5">
        <v>1994</v>
      </c>
      <c r="B2055" s="1832">
        <f>'Cap Outlay Deprec 26'!K16</f>
        <v>1127641</v>
      </c>
      <c r="C2055" s="2" t="s">
        <v>569</v>
      </c>
      <c r="D2055" s="2" t="str">
        <f t="shared" si="31"/>
        <v>Error?</v>
      </c>
    </row>
    <row r="2056" spans="1:4" x14ac:dyDescent="0.2">
      <c r="A2056" s="5">
        <v>1995</v>
      </c>
      <c r="B2056" s="1832">
        <f>'Cap Outlay Deprec 26'!L5</f>
        <v>8000</v>
      </c>
      <c r="C2056" s="2" t="s">
        <v>569</v>
      </c>
      <c r="D2056" s="2" t="str">
        <f t="shared" si="31"/>
        <v>Error?</v>
      </c>
    </row>
    <row r="2057" spans="1:4" x14ac:dyDescent="0.2">
      <c r="A2057" s="5">
        <v>1996</v>
      </c>
      <c r="B2057" s="1832">
        <f>'Cap Outlay Deprec 26'!L8</f>
        <v>678566</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23445</v>
      </c>
      <c r="C2059" s="2" t="s">
        <v>569</v>
      </c>
      <c r="D2059" s="2" t="str">
        <f t="shared" si="31"/>
        <v>Error?</v>
      </c>
    </row>
    <row r="2060" spans="1:4" x14ac:dyDescent="0.2">
      <c r="A2060" s="5">
        <v>1999</v>
      </c>
      <c r="B2060" s="1832">
        <f>'Cap Outlay Deprec 26'!L13</f>
        <v>18683</v>
      </c>
      <c r="C2060" s="2" t="s">
        <v>569</v>
      </c>
      <c r="D2060" s="2" t="str">
        <f t="shared" si="31"/>
        <v>Error?</v>
      </c>
    </row>
    <row r="2061" spans="1:4" x14ac:dyDescent="0.2">
      <c r="A2061" s="5">
        <v>2000</v>
      </c>
      <c r="B2061" s="1832">
        <f>'Cap Outlay Deprec 26'!L16</f>
        <v>728694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23601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40169</v>
      </c>
      <c r="C2088" s="2" t="s">
        <v>569</v>
      </c>
      <c r="D2088" s="2" t="str">
        <f t="shared" si="31"/>
        <v>Error?</v>
      </c>
    </row>
    <row r="2089" spans="1:4" x14ac:dyDescent="0.2">
      <c r="A2089" s="5">
        <v>2028</v>
      </c>
      <c r="B2089" s="1832">
        <f>'Expenditures 15-22'!K92</f>
        <v>33262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3447</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62508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40233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791205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254899</v>
      </c>
      <c r="C2553" s="2" t="s">
        <v>569</v>
      </c>
      <c r="D2553" s="2" t="str">
        <f t="shared" si="38"/>
        <v>Error?</v>
      </c>
    </row>
    <row r="2554" spans="1:4" x14ac:dyDescent="0.2">
      <c r="A2554" s="5">
        <v>2493</v>
      </c>
      <c r="B2554" s="1832">
        <f>'Acct Summary 7-8'!C7</f>
        <v>68843</v>
      </c>
      <c r="C2554" s="2" t="s">
        <v>569</v>
      </c>
      <c r="D2554" s="2" t="str">
        <f t="shared" si="38"/>
        <v>Error?</v>
      </c>
    </row>
    <row r="2555" spans="1:4" x14ac:dyDescent="0.2">
      <c r="A2555" s="5">
        <v>2494</v>
      </c>
      <c r="B2555" s="1832">
        <f>'Acct Summary 7-8'!C8</f>
        <v>1114947</v>
      </c>
      <c r="C2555" s="2" t="s">
        <v>569</v>
      </c>
      <c r="D2555" s="2" t="str">
        <f t="shared" si="38"/>
        <v>Error?</v>
      </c>
    </row>
    <row r="2556" spans="1:4" x14ac:dyDescent="0.2">
      <c r="A2556" s="5">
        <v>2495</v>
      </c>
      <c r="B2556" s="1832">
        <f>'Acct Summary 7-8'!C12</f>
        <v>719952</v>
      </c>
      <c r="C2556" s="2" t="s">
        <v>569</v>
      </c>
      <c r="D2556" s="2" t="str">
        <f t="shared" si="38"/>
        <v>Error?</v>
      </c>
    </row>
    <row r="2557" spans="1:4" x14ac:dyDescent="0.2">
      <c r="A2557" s="5">
        <v>2496</v>
      </c>
      <c r="B2557" s="1832">
        <f>'Acct Summary 7-8'!C13</f>
        <v>270289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73431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1063672</v>
      </c>
      <c r="C2561" s="2" t="s">
        <v>569</v>
      </c>
      <c r="D2561" s="2" t="str">
        <f t="shared" si="39"/>
        <v>Error?</v>
      </c>
    </row>
    <row r="2562" spans="1:4" x14ac:dyDescent="0.2">
      <c r="A2562" s="5">
        <v>2501</v>
      </c>
      <c r="B2562" s="1832">
        <f>'Acct Summary 7-8'!C20</f>
        <v>51275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109972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109972</v>
      </c>
      <c r="C2568" s="2" t="s">
        <v>569</v>
      </c>
      <c r="D2568" s="2" t="str">
        <f t="shared" si="39"/>
        <v>Error?</v>
      </c>
    </row>
    <row r="2569" spans="1:4" x14ac:dyDescent="0.2">
      <c r="A2569" s="5">
        <v>2508</v>
      </c>
      <c r="B2569" s="1832">
        <f>'Acct Summary 7-8'!D13</f>
        <v>131952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131952</v>
      </c>
      <c r="C2573" s="2" t="s">
        <v>569</v>
      </c>
      <c r="D2573" s="2" t="str">
        <f t="shared" si="39"/>
        <v>Error?</v>
      </c>
    </row>
    <row r="2574" spans="1:4" x14ac:dyDescent="0.2">
      <c r="A2574" s="5">
        <v>2513</v>
      </c>
      <c r="B2574" s="1832">
        <f>'Acct Summary 7-8'!D20</f>
        <v>-21980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80741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52341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133082</v>
      </c>
      <c r="C2595" s="2" t="s">
        <v>569</v>
      </c>
      <c r="D2595" s="2" t="str">
        <f t="shared" si="39"/>
        <v>Error?</v>
      </c>
    </row>
    <row r="2596" spans="1:4" x14ac:dyDescent="0.2">
      <c r="A2596" s="5">
        <v>2535</v>
      </c>
      <c r="B2596" s="1832">
        <f>'Acct Summary 7-8'!F13</f>
        <v>71661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71661</v>
      </c>
      <c r="C2600" s="2" t="s">
        <v>569</v>
      </c>
      <c r="D2600" s="2" t="str">
        <f t="shared" si="39"/>
        <v>Error?</v>
      </c>
    </row>
    <row r="2601" spans="1:4" x14ac:dyDescent="0.2">
      <c r="A2601" s="5">
        <v>2540</v>
      </c>
      <c r="B2601" s="1832">
        <f>'Acct Summary 7-8'!F20</f>
        <v>61421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53174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53174</v>
      </c>
      <c r="C2606" s="2" t="s">
        <v>569</v>
      </c>
      <c r="D2606" s="2" t="str">
        <f t="shared" si="39"/>
        <v>Error?</v>
      </c>
    </row>
    <row r="2607" spans="1:4" x14ac:dyDescent="0.2">
      <c r="A2607" s="5">
        <v>2546</v>
      </c>
      <c r="B2607" s="1832">
        <f>'Acct Summary 7-8'!G12</f>
        <v>13219</v>
      </c>
      <c r="C2607" s="2" t="s">
        <v>569</v>
      </c>
      <c r="D2607" s="2" t="str">
        <f t="shared" si="39"/>
        <v>Error?</v>
      </c>
    </row>
    <row r="2608" spans="1:4" x14ac:dyDescent="0.2">
      <c r="A2608" s="5">
        <v>2547</v>
      </c>
      <c r="B2608" s="1832">
        <f>'Acct Summary 7-8'!G13</f>
        <v>27321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40540</v>
      </c>
      <c r="C2612" s="2" t="s">
        <v>569</v>
      </c>
      <c r="D2612" s="2" t="str">
        <f t="shared" si="39"/>
        <v>Error?</v>
      </c>
    </row>
    <row r="2613" spans="1:4" x14ac:dyDescent="0.2">
      <c r="A2613" s="5">
        <v>2552</v>
      </c>
      <c r="B2613" s="1832">
        <f>'Acct Summary 7-8'!G20</f>
        <v>12634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61111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61111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270909</v>
      </c>
      <c r="C2634" s="2" t="s">
        <v>569</v>
      </c>
      <c r="D2634" s="2" t="str">
        <f t="shared" si="40"/>
        <v>Error?</v>
      </c>
    </row>
    <row r="2635" spans="1:4" x14ac:dyDescent="0.2">
      <c r="A2635" s="5">
        <v>2574</v>
      </c>
      <c r="B2635" s="1832">
        <f>'Acct Summary 7-8'!E17</f>
        <v>270909</v>
      </c>
      <c r="C2635" s="2" t="s">
        <v>569</v>
      </c>
      <c r="D2635" s="2" t="str">
        <f t="shared" si="40"/>
        <v>Error?</v>
      </c>
    </row>
    <row r="2636" spans="1:4" x14ac:dyDescent="0.2">
      <c r="A2636" s="5">
        <v>2575</v>
      </c>
      <c r="B2636" s="1832">
        <f>'Acct Summary 7-8'!E20</f>
        <v>-209798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50000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50000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16568</v>
      </c>
      <c r="C2789" s="2" t="s">
        <v>569</v>
      </c>
      <c r="D2789" s="2" t="str">
        <f t="shared" si="42"/>
        <v>Error?</v>
      </c>
    </row>
    <row r="2790" spans="1:4" x14ac:dyDescent="0.2">
      <c r="A2790" s="5">
        <v>2729</v>
      </c>
      <c r="B2790" s="1832">
        <f>'Expenditures 15-22'!E102</f>
        <v>16568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15127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15127</v>
      </c>
      <c r="D2914" s="2" t="str">
        <f t="shared" si="44"/>
        <v>Error?</v>
      </c>
    </row>
    <row r="2915" spans="1:4" x14ac:dyDescent="0.2">
      <c r="A2915" s="10">
        <v>2854</v>
      </c>
      <c r="B2915" s="1832"/>
      <c r="D2915" s="2" t="str">
        <f t="shared" si="44"/>
        <v>OK</v>
      </c>
    </row>
    <row r="2916" spans="1:4" x14ac:dyDescent="0.2">
      <c r="A2916" s="5">
        <v>2855</v>
      </c>
      <c r="B2916" s="1832">
        <f>'Assets-Liab 5-6'!L34</f>
        <v>15127</v>
      </c>
      <c r="C2916" s="2" t="s">
        <v>569</v>
      </c>
      <c r="D2916" s="2" t="str">
        <f t="shared" si="44"/>
        <v>Error?</v>
      </c>
    </row>
    <row r="2917" spans="1:4" x14ac:dyDescent="0.2">
      <c r="A2917" s="5">
        <v>2856</v>
      </c>
      <c r="B2917" s="1832">
        <f>'Assets-Liab 5-6'!L41</f>
        <v>15127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16568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23601</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16568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23601</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10169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10169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3447</v>
      </c>
      <c r="C3225" s="2" t="s">
        <v>569</v>
      </c>
      <c r="D3225" s="2" t="str">
        <f t="shared" si="49"/>
        <v>Error?</v>
      </c>
    </row>
    <row r="3226" spans="1:4" x14ac:dyDescent="0.2">
      <c r="A3226" s="5">
        <v>3165</v>
      </c>
      <c r="B3226" s="1832">
        <f>'Acct Summary 7-8'!I8</f>
        <v>3447</v>
      </c>
      <c r="C3226" s="2" t="s">
        <v>569</v>
      </c>
      <c r="D3226" s="2" t="str">
        <f t="shared" si="49"/>
        <v>Error?</v>
      </c>
    </row>
    <row r="3227" spans="1:4" x14ac:dyDescent="0.2">
      <c r="A3227" s="5">
        <v>3166</v>
      </c>
      <c r="B3227" s="1832">
        <f>'Acct Summary 7-8'!I20</f>
        <v>3447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239700</v>
      </c>
      <c r="C3231" s="2" t="s">
        <v>569</v>
      </c>
      <c r="D3231" s="2" t="str">
        <f t="shared" si="49"/>
        <v>Error?</v>
      </c>
    </row>
    <row r="3232" spans="1:4" x14ac:dyDescent="0.2">
      <c r="A3232" s="5">
        <v>3171</v>
      </c>
      <c r="B3232" s="1832">
        <f>'Acct Summary 7-8'!C77</f>
        <v>-239700</v>
      </c>
      <c r="C3232" s="2" t="s">
        <v>569</v>
      </c>
      <c r="D3232" s="2" t="str">
        <f t="shared" si="49"/>
        <v>Error?</v>
      </c>
    </row>
    <row r="3233" spans="1:4" x14ac:dyDescent="0.2">
      <c r="A3233" s="5">
        <v>3172</v>
      </c>
      <c r="B3233" s="1832">
        <f>'Acct Summary 7-8'!C78</f>
        <v>-188425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3447</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3447</v>
      </c>
      <c r="C3238" s="2" t="s">
        <v>569</v>
      </c>
      <c r="D3238" s="2" t="str">
        <f t="shared" si="49"/>
        <v>Error?</v>
      </c>
    </row>
    <row r="3239" spans="1:4" x14ac:dyDescent="0.2">
      <c r="A3239" s="5">
        <v>3178</v>
      </c>
      <c r="B3239" s="1832">
        <f>'Acct Summary 7-8'!D78</f>
        <v>-18533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61421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12634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239700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239700</v>
      </c>
      <c r="C3277" s="2" t="s">
        <v>569</v>
      </c>
      <c r="D3277" s="2" t="str">
        <f t="shared" si="50"/>
        <v>Error?</v>
      </c>
    </row>
    <row r="3278" spans="1:4" x14ac:dyDescent="0.2">
      <c r="A3278" s="5">
        <v>3217</v>
      </c>
      <c r="B3278" s="1832">
        <f>'Acct Summary 7-8'!E78</f>
        <v>29902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50000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3447</v>
      </c>
      <c r="C3318" s="2" t="s">
        <v>569</v>
      </c>
      <c r="D3318" s="2" t="str">
        <f t="shared" si="50"/>
        <v>Error?</v>
      </c>
    </row>
    <row r="3319" spans="1:4" x14ac:dyDescent="0.2">
      <c r="A3319" s="5">
        <v>3258</v>
      </c>
      <c r="B3319" s="1832">
        <f>'Acct Summary 7-8'!I77</f>
        <v>-3447</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80659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12826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409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93894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6833</v>
      </c>
      <c r="D3387" s="2" t="str">
        <f t="shared" si="51"/>
        <v>Error?</v>
      </c>
    </row>
    <row r="3388" spans="1:4" x14ac:dyDescent="0.2">
      <c r="A3388" s="5">
        <v>3327</v>
      </c>
      <c r="B3388" s="1832">
        <f>'Expenditures 15-22'!D217</f>
        <v>5112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6833</v>
      </c>
      <c r="C3390" s="2" t="s">
        <v>569</v>
      </c>
      <c r="D3390" s="2" t="str">
        <f t="shared" si="51"/>
        <v>Error?</v>
      </c>
    </row>
    <row r="3391" spans="1:4" x14ac:dyDescent="0.2">
      <c r="A3391" s="5">
        <v>3330</v>
      </c>
      <c r="B3391" s="1832">
        <f>'Expenditures 15-22'!K217</f>
        <v>5112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723172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2537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47441</v>
      </c>
      <c r="D3417" s="2" t="str">
        <f t="shared" si="52"/>
        <v>Error?</v>
      </c>
    </row>
    <row r="3418" spans="1:4" x14ac:dyDescent="0.2">
      <c r="A3418" s="10">
        <v>3357</v>
      </c>
      <c r="B3418" s="1832"/>
      <c r="D3418" s="2" t="str">
        <f t="shared" si="52"/>
        <v>OK</v>
      </c>
    </row>
    <row r="3419" spans="1:4" x14ac:dyDescent="0.2">
      <c r="A3419" s="5">
        <v>3358</v>
      </c>
      <c r="B3419" s="1832">
        <f>'Assets-Liab 5-6'!F4</f>
        <v>233381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59359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63503</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15127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24618</v>
      </c>
      <c r="C3446" s="2" t="s">
        <v>569</v>
      </c>
      <c r="D3446" s="2" t="str">
        <f t="shared" si="52"/>
        <v>Error?</v>
      </c>
    </row>
    <row r="3447" spans="1:4" x14ac:dyDescent="0.2">
      <c r="A3447" s="5">
        <v>3386</v>
      </c>
      <c r="B3447" s="1832">
        <f>'Tax Sched 23'!D16</f>
        <v>24618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25212</v>
      </c>
      <c r="C3449" s="2" t="s">
        <v>569</v>
      </c>
      <c r="D3449" s="2" t="str">
        <f t="shared" si="52"/>
        <v>Error?</v>
      </c>
    </row>
    <row r="3450" spans="1:4" x14ac:dyDescent="0.2">
      <c r="A3450" s="5">
        <v>3389</v>
      </c>
      <c r="B3450" s="1832">
        <f>'Tax Sched 23'!E16</f>
        <v>25212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38033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38033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38033</v>
      </c>
      <c r="D3567" s="2" t="str">
        <f t="shared" si="54"/>
        <v>Error?</v>
      </c>
    </row>
    <row r="3568" spans="1:4" x14ac:dyDescent="0.2">
      <c r="A3568" s="5">
        <v>3507</v>
      </c>
      <c r="B3568" s="1832">
        <f>'Assets-Liab 5-6'!K41</f>
        <v>38033</v>
      </c>
      <c r="C3568" s="2" t="s">
        <v>569</v>
      </c>
      <c r="D3568" s="2" t="str">
        <f t="shared" si="54"/>
        <v>Error?</v>
      </c>
    </row>
    <row r="3569" spans="1:4" x14ac:dyDescent="0.2">
      <c r="A3569" s="5">
        <v>3508</v>
      </c>
      <c r="B3569" s="1832">
        <f>'Acct Summary 7-8'!K4</f>
        <v>6895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6895</v>
      </c>
      <c r="C3571" s="2" t="s">
        <v>569</v>
      </c>
      <c r="D3571" s="2" t="str">
        <f t="shared" si="54"/>
        <v>Error?</v>
      </c>
    </row>
    <row r="3572" spans="1:4" x14ac:dyDescent="0.2">
      <c r="A3572" s="5">
        <v>3511</v>
      </c>
      <c r="B3572" s="1832">
        <f>'Acct Summary 7-8'!K13</f>
        <v>750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750</v>
      </c>
      <c r="C3575" s="2" t="s">
        <v>569</v>
      </c>
      <c r="D3575" s="2" t="str">
        <f t="shared" si="54"/>
        <v>Error?</v>
      </c>
    </row>
    <row r="3576" spans="1:4" x14ac:dyDescent="0.2">
      <c r="A3576" s="5">
        <v>3515</v>
      </c>
      <c r="B3576" s="1832">
        <f>'Acct Summary 7-8'!K20</f>
        <v>6145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6145</v>
      </c>
      <c r="C3588" s="2" t="s">
        <v>569</v>
      </c>
      <c r="D3588" s="2" t="str">
        <f t="shared" si="55"/>
        <v>Error?</v>
      </c>
    </row>
    <row r="3589" spans="1:4" x14ac:dyDescent="0.2">
      <c r="A3589" s="5">
        <v>3528</v>
      </c>
      <c r="B3589" s="1832">
        <f>'Acct Summary 7-8'!K79</f>
        <v>31888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38033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750</v>
      </c>
      <c r="D3632" s="2" t="str">
        <f t="shared" si="55"/>
        <v>Error?</v>
      </c>
    </row>
    <row r="3633" spans="1:4" x14ac:dyDescent="0.2">
      <c r="A3633" s="5">
        <v>3572</v>
      </c>
      <c r="B3633" s="1832">
        <f>'Expenditures 15-22'!E350</f>
        <v>750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750</v>
      </c>
      <c r="C3635" s="2" t="s">
        <v>569</v>
      </c>
      <c r="D3635" s="2" t="str">
        <f t="shared" si="55"/>
        <v>Error?</v>
      </c>
    </row>
    <row r="3636" spans="1:4" x14ac:dyDescent="0.2">
      <c r="A3636" s="5">
        <v>3575</v>
      </c>
      <c r="B3636" s="1832">
        <f>'Expenditures 15-22'!E367</f>
        <v>750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750</v>
      </c>
      <c r="C3669" s="2" t="s">
        <v>569</v>
      </c>
      <c r="D3669" s="2" t="str">
        <f t="shared" si="56"/>
        <v>Error?</v>
      </c>
    </row>
    <row r="3670" spans="1:4" x14ac:dyDescent="0.2">
      <c r="A3670" s="5">
        <v>3609</v>
      </c>
      <c r="B3670" s="1832">
        <f>'Expenditures 15-22'!K350</f>
        <v>750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750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750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6145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4039</v>
      </c>
      <c r="C3725" s="2" t="s">
        <v>569</v>
      </c>
      <c r="D3725" s="2" t="str">
        <f t="shared" si="57"/>
        <v>Error?</v>
      </c>
    </row>
    <row r="3726" spans="1:4" x14ac:dyDescent="0.2">
      <c r="A3726" s="5">
        <v>3665</v>
      </c>
      <c r="B3726" s="1832">
        <f>'Tax Sched 23'!D13</f>
        <v>4039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4138</v>
      </c>
      <c r="C3728" s="2" t="s">
        <v>569</v>
      </c>
      <c r="D3728" s="2" t="str">
        <f t="shared" si="57"/>
        <v>Error?</v>
      </c>
    </row>
    <row r="3729" spans="1:4" x14ac:dyDescent="0.2">
      <c r="A3729" s="5">
        <v>3668</v>
      </c>
      <c r="B3729" s="1832">
        <f>'Tax Sched 23'!E13</f>
        <v>4138</v>
      </c>
      <c r="D3729" s="2" t="str">
        <f t="shared" si="57"/>
        <v>Error?</v>
      </c>
    </row>
    <row r="3730" spans="1:4" x14ac:dyDescent="0.2">
      <c r="A3730" s="5">
        <v>3669</v>
      </c>
      <c r="B3730" s="1832">
        <f>'ICR Computation 30'!E10</f>
        <v>40944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66875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1181822</v>
      </c>
      <c r="C4122" s="2" t="s">
        <v>569</v>
      </c>
      <c r="D4122" s="2" t="str">
        <f t="shared" si="63"/>
        <v>Error?</v>
      </c>
    </row>
    <row r="4123" spans="1:4" x14ac:dyDescent="0.2">
      <c r="A4123" s="5">
        <v>4062</v>
      </c>
      <c r="B4123" s="1832">
        <f>'Acct Summary 7-8'!D10</f>
        <v>109972</v>
      </c>
      <c r="C4123" s="2" t="s">
        <v>569</v>
      </c>
      <c r="D4123" s="2" t="str">
        <f t="shared" si="63"/>
        <v>Error?</v>
      </c>
    </row>
    <row r="4124" spans="1:4" x14ac:dyDescent="0.2">
      <c r="A4124" s="5">
        <v>4063</v>
      </c>
      <c r="B4124" s="1832">
        <f>'Acct Summary 7-8'!E10</f>
        <v>61111</v>
      </c>
      <c r="C4124" s="2" t="s">
        <v>569</v>
      </c>
      <c r="D4124" s="2" t="str">
        <f t="shared" si="63"/>
        <v>Error?</v>
      </c>
    </row>
    <row r="4125" spans="1:4" x14ac:dyDescent="0.2">
      <c r="A4125" s="5">
        <v>4064</v>
      </c>
      <c r="B4125" s="1832">
        <f>'Acct Summary 7-8'!F10</f>
        <v>133082</v>
      </c>
      <c r="C4125" s="2" t="s">
        <v>569</v>
      </c>
      <c r="D4125" s="2" t="str">
        <f t="shared" si="63"/>
        <v>Error?</v>
      </c>
    </row>
    <row r="4126" spans="1:4" x14ac:dyDescent="0.2">
      <c r="A4126" s="5">
        <v>4065</v>
      </c>
      <c r="B4126" s="1832">
        <f>'Acct Summary 7-8'!G10</f>
        <v>53174</v>
      </c>
      <c r="C4126" s="2" t="s">
        <v>569</v>
      </c>
      <c r="D4126" s="2" t="str">
        <f t="shared" si="63"/>
        <v>Error?</v>
      </c>
    </row>
    <row r="4127" spans="1:4" x14ac:dyDescent="0.2">
      <c r="A4127" s="5">
        <v>4066</v>
      </c>
      <c r="B4127" s="1832">
        <f>'Acct Summary 7-8'!H10</f>
        <v>50000</v>
      </c>
      <c r="C4127" s="2" t="s">
        <v>569</v>
      </c>
      <c r="D4127" s="2" t="str">
        <f t="shared" si="63"/>
        <v>Error?</v>
      </c>
    </row>
    <row r="4128" spans="1:4" x14ac:dyDescent="0.2">
      <c r="A4128" s="5">
        <v>4067</v>
      </c>
      <c r="B4128" s="1832">
        <f>'Acct Summary 7-8'!I10</f>
        <v>3447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6895</v>
      </c>
      <c r="C4130" s="2" t="s">
        <v>569</v>
      </c>
      <c r="D4130" s="2" t="str">
        <f t="shared" si="63"/>
        <v>Error?</v>
      </c>
    </row>
    <row r="4131" spans="1:4" x14ac:dyDescent="0.2">
      <c r="A4131" s="5">
        <v>4070</v>
      </c>
      <c r="B4131" s="1832">
        <f>'Acct Summary 7-8'!C18</f>
        <v>66875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1130547</v>
      </c>
      <c r="C4136" s="2" t="s">
        <v>569</v>
      </c>
      <c r="D4136" s="2" t="str">
        <f t="shared" si="63"/>
        <v>Error?</v>
      </c>
    </row>
    <row r="4137" spans="1:4" x14ac:dyDescent="0.2">
      <c r="A4137" s="5">
        <v>4076</v>
      </c>
      <c r="B4137" s="1832">
        <f>'Acct Summary 7-8'!D19</f>
        <v>131952</v>
      </c>
      <c r="C4137" s="2" t="s">
        <v>569</v>
      </c>
      <c r="D4137" s="2" t="str">
        <f t="shared" si="63"/>
        <v>Error?</v>
      </c>
    </row>
    <row r="4138" spans="1:4" x14ac:dyDescent="0.2">
      <c r="A4138" s="5">
        <v>4077</v>
      </c>
      <c r="B4138" s="1832">
        <f>'Acct Summary 7-8'!E19</f>
        <v>270909</v>
      </c>
      <c r="C4138" s="2" t="s">
        <v>569</v>
      </c>
      <c r="D4138" s="2" t="str">
        <f t="shared" si="63"/>
        <v>Error?</v>
      </c>
    </row>
    <row r="4139" spans="1:4" x14ac:dyDescent="0.2">
      <c r="A4139" s="5">
        <v>4078</v>
      </c>
      <c r="B4139" s="1832">
        <f>'Acct Summary 7-8'!F19</f>
        <v>71661</v>
      </c>
      <c r="C4139" s="2" t="s">
        <v>569</v>
      </c>
      <c r="D4139" s="2" t="str">
        <f t="shared" si="63"/>
        <v>Error?</v>
      </c>
    </row>
    <row r="4140" spans="1:4" x14ac:dyDescent="0.2">
      <c r="A4140" s="5">
        <v>4079</v>
      </c>
      <c r="B4140" s="1832">
        <f>'Acct Summary 7-8'!G19</f>
        <v>40540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750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269700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2921.5</v>
      </c>
      <c r="C4265" s="2" t="s">
        <v>569</v>
      </c>
      <c r="D4265" s="2" t="str">
        <f t="shared" si="65"/>
        <v>Error?</v>
      </c>
      <c r="E4265" s="125"/>
    </row>
    <row r="4266" spans="1:5" x14ac:dyDescent="0.2">
      <c r="A4266" s="12">
        <v>4205</v>
      </c>
      <c r="B4266" s="1832">
        <f>('FP Info 3'!F10)*100000</f>
        <v>503.90000000000003</v>
      </c>
      <c r="C4266" s="2" t="s">
        <v>569</v>
      </c>
      <c r="D4266" s="2" t="str">
        <f t="shared" si="65"/>
        <v>Error?</v>
      </c>
      <c r="E4266" s="125"/>
    </row>
    <row r="4267" spans="1:5" x14ac:dyDescent="0.2">
      <c r="A4267" s="12">
        <v>4206</v>
      </c>
      <c r="B4267" s="1832">
        <f>('FP Info 3'!H10)*100000</f>
        <v>16.8</v>
      </c>
      <c r="C4267" s="2" t="s">
        <v>569</v>
      </c>
      <c r="D4267" s="2" t="str">
        <f t="shared" si="65"/>
        <v>Error?</v>
      </c>
      <c r="E4267" s="125"/>
    </row>
    <row r="4268" spans="1:5" x14ac:dyDescent="0.2">
      <c r="A4268" s="12">
        <v>4207</v>
      </c>
      <c r="B4268" s="1832">
        <f>('FP Info 3'!J10)*100000</f>
        <v>3442</v>
      </c>
      <c r="C4268" s="2" t="s">
        <v>569</v>
      </c>
      <c r="D4268" s="2" t="str">
        <f t="shared" si="65"/>
        <v>Error?</v>
      </c>
    </row>
    <row r="4269" spans="1:5" x14ac:dyDescent="0.2">
      <c r="A4269" s="12">
        <v>4208</v>
      </c>
      <c r="B4269" s="1832">
        <f>'FP Info 3'!J16</f>
        <v>938860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50000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15000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1979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1500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14.4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24572618</v>
      </c>
      <c r="D4995" s="2" t="str">
        <f t="shared" si="77"/>
        <v>Error?</v>
      </c>
    </row>
    <row r="4996" spans="1:4" x14ac:dyDescent="0.2">
      <c r="A4996" s="12">
        <v>4935</v>
      </c>
      <c r="B4996" s="1832">
        <f>'FP Info 3'!H31</f>
        <v>1695510.6420000002</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4039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701031</v>
      </c>
      <c r="D5061" s="2" t="str">
        <f t="shared" si="78"/>
        <v>Error?</v>
      </c>
    </row>
    <row r="5062" spans="1:4" x14ac:dyDescent="0.2">
      <c r="A5062" s="10">
        <v>5001</v>
      </c>
      <c r="B5062" s="1832"/>
      <c r="D5062" s="2" t="str">
        <f t="shared" si="78"/>
        <v>OK</v>
      </c>
    </row>
    <row r="5063" spans="1:4" x14ac:dyDescent="0.2">
      <c r="A5063" s="5">
        <v>5002</v>
      </c>
      <c r="B5063" s="1832">
        <f>'Revenues 9-14'!C7</f>
        <v>3940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709010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26464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26464</v>
      </c>
      <c r="C5071" s="2" t="s">
        <v>569</v>
      </c>
      <c r="D5071" s="2" t="str">
        <f t="shared" si="78"/>
        <v>Error?</v>
      </c>
    </row>
    <row r="5072" spans="1:4" x14ac:dyDescent="0.2">
      <c r="A5072" s="5">
        <v>5011</v>
      </c>
      <c r="B5072" s="1832">
        <f>'Revenues 9-14'!C20</f>
        <v>3990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3990</v>
      </c>
      <c r="C5087" s="2" t="s">
        <v>569</v>
      </c>
      <c r="D5087" s="2" t="str">
        <f t="shared" si="78"/>
        <v>Error?</v>
      </c>
    </row>
    <row r="5088" spans="1:4" x14ac:dyDescent="0.2">
      <c r="A5088" s="5">
        <v>5027</v>
      </c>
      <c r="B5088" s="1832">
        <f>'Revenues 9-14'!C65</f>
        <v>2257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2257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1263</v>
      </c>
      <c r="D5094" s="2" t="str">
        <f t="shared" si="78"/>
        <v>Error?</v>
      </c>
    </row>
    <row r="5095" spans="1:4" x14ac:dyDescent="0.2">
      <c r="A5095" s="5">
        <v>5034</v>
      </c>
      <c r="B5095" s="1832">
        <f>'Revenues 9-14'!C74</f>
        <v>508</v>
      </c>
      <c r="D5095" s="2" t="str">
        <f t="shared" si="78"/>
        <v>Error?</v>
      </c>
    </row>
    <row r="5096" spans="1:4" x14ac:dyDescent="0.2">
      <c r="A5096" s="5">
        <v>5035</v>
      </c>
      <c r="B5096" s="1832">
        <f>'Revenues 9-14'!C75</f>
        <v>16136</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171</v>
      </c>
      <c r="D5101" s="2" t="str">
        <f t="shared" si="78"/>
        <v>Error?</v>
      </c>
    </row>
    <row r="5102" spans="1:4" x14ac:dyDescent="0.2">
      <c r="A5102" s="5">
        <v>5041</v>
      </c>
      <c r="B5102" s="1832">
        <f>'Revenues 9-14'!C82</f>
        <v>171</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22621</v>
      </c>
      <c r="D5115" s="2" t="str">
        <f t="shared" si="78"/>
        <v>Error?</v>
      </c>
    </row>
    <row r="5116" spans="1:4" x14ac:dyDescent="0.2">
      <c r="A5116" s="5">
        <v>5055</v>
      </c>
      <c r="B5116" s="1832">
        <f>'Revenues 9-14'!C99</f>
        <v>9428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1128</v>
      </c>
      <c r="D5119" s="2" t="str">
        <f t="shared" ref="D5119:D5182" si="79">IF(ISBLANK(B5119),"OK",IF(A5119-B5119=0,"OK","Error?"))</f>
        <v>Error?</v>
      </c>
    </row>
    <row r="5120" spans="1:4" x14ac:dyDescent="0.2">
      <c r="A5120" s="5">
        <v>5059</v>
      </c>
      <c r="B5120" s="1832">
        <f>'Revenues 9-14'!C108</f>
        <v>33177</v>
      </c>
      <c r="C5120" s="2" t="s">
        <v>569</v>
      </c>
      <c r="D5120" s="2" t="str">
        <f t="shared" si="79"/>
        <v>Error?</v>
      </c>
    </row>
    <row r="5121" spans="1:4" x14ac:dyDescent="0.2">
      <c r="A5121" s="5">
        <v>5060</v>
      </c>
      <c r="B5121" s="1832">
        <f>'Revenues 9-14'!C109</f>
        <v>791205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254505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254505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394</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394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254899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23547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5139</v>
      </c>
      <c r="D5241" s="2" t="str">
        <f t="shared" si="80"/>
        <v>Error?</v>
      </c>
    </row>
    <row r="5242" spans="1:4" x14ac:dyDescent="0.2">
      <c r="A5242" s="5">
        <v>5181</v>
      </c>
      <c r="B5242" s="1832">
        <f>'Revenues 9-14'!C194</f>
        <v>5046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33732</v>
      </c>
      <c r="C5246" s="2" t="s">
        <v>569</v>
      </c>
      <c r="D5246" s="2" t="str">
        <f t="shared" si="80"/>
        <v>Error?</v>
      </c>
    </row>
    <row r="5247" spans="1:4" x14ac:dyDescent="0.2">
      <c r="A5247" s="5">
        <v>5186</v>
      </c>
      <c r="B5247" s="1832">
        <f>'Revenues 9-14'!C200</f>
        <v>16632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31632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68843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68843</v>
      </c>
      <c r="C5326" s="2" t="s">
        <v>569</v>
      </c>
      <c r="D5326" s="2" t="str">
        <f t="shared" si="82"/>
        <v>Error?</v>
      </c>
    </row>
    <row r="5327" spans="1:5" x14ac:dyDescent="0.2">
      <c r="A5327" s="5">
        <v>5266</v>
      </c>
      <c r="B5327" s="1832">
        <f>'Revenues 9-14'!C268</f>
        <v>1114947</v>
      </c>
      <c r="C5327" s="2" t="s">
        <v>569</v>
      </c>
      <c r="D5327" s="2" t="str">
        <f t="shared" si="82"/>
        <v>Error?</v>
      </c>
    </row>
    <row r="5328" spans="1:5" x14ac:dyDescent="0.2">
      <c r="A5328" s="5">
        <v>5267</v>
      </c>
      <c r="B5328" s="1832">
        <f>'Revenues 9-14'!D5</f>
        <v>109467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109467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500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500</v>
      </c>
      <c r="C5355" s="2" t="s">
        <v>569</v>
      </c>
      <c r="D5355" s="2" t="str">
        <f t="shared" si="82"/>
        <v>Error?</v>
      </c>
    </row>
    <row r="5356" spans="1:4" x14ac:dyDescent="0.2">
      <c r="A5356" s="5">
        <v>5295</v>
      </c>
      <c r="B5356" s="1832">
        <f>'Revenues 9-14'!D109</f>
        <v>109972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109972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61111</v>
      </c>
      <c r="C5526" s="2" t="s">
        <v>569</v>
      </c>
      <c r="D5526" s="2" t="str">
        <f t="shared" si="85"/>
        <v>Error?</v>
      </c>
    </row>
    <row r="5527" spans="1:4" x14ac:dyDescent="0.2">
      <c r="A5527" s="5">
        <v>5466</v>
      </c>
      <c r="B5527" s="1832">
        <f>'Revenues 9-14'!E109</f>
        <v>61111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61111</v>
      </c>
      <c r="C5552" s="2" t="s">
        <v>569</v>
      </c>
      <c r="D5552" s="2" t="str">
        <f t="shared" si="85"/>
        <v>Error?</v>
      </c>
    </row>
    <row r="5553" spans="1:4" x14ac:dyDescent="0.2">
      <c r="A5553" s="5">
        <v>5492</v>
      </c>
      <c r="B5553" s="1832">
        <f>'Revenues 9-14'!F5</f>
        <v>80741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80741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80741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52341</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52341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52341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52341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133082</v>
      </c>
      <c r="C5720" s="2" t="s">
        <v>569</v>
      </c>
      <c r="D5720" s="2" t="str">
        <f t="shared" si="88"/>
        <v>Error?</v>
      </c>
    </row>
    <row r="5721" spans="1:4" x14ac:dyDescent="0.2">
      <c r="A5721" s="5">
        <v>5660</v>
      </c>
      <c r="B5721" s="1832">
        <f>'Revenues 9-14'!G5</f>
        <v>28556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24618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53174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53174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50000</v>
      </c>
      <c r="C5915" s="2" t="s">
        <v>569</v>
      </c>
      <c r="D5915" s="2" t="str">
        <f t="shared" si="91"/>
        <v>Error?</v>
      </c>
    </row>
    <row r="5916" spans="1:4" x14ac:dyDescent="0.2">
      <c r="A5916" s="5">
        <v>5855</v>
      </c>
      <c r="B5916" s="1832">
        <f>'Revenues 9-14'!I5</f>
        <v>3447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3447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3447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6895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6895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6895</v>
      </c>
      <c r="C6023" s="2" t="s">
        <v>569</v>
      </c>
      <c r="D6023" s="2" t="str">
        <f t="shared" si="93"/>
        <v>Error?</v>
      </c>
    </row>
    <row r="6024" spans="1:5" x14ac:dyDescent="0.2">
      <c r="A6024" s="5">
        <v>5963</v>
      </c>
      <c r="B6024" s="1832">
        <f>'Revenues 9-14'!G109</f>
        <v>53174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3447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6895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14365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102.43600000000001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41675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20230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41675</v>
      </c>
      <c r="D6215" s="2" t="str">
        <f t="shared" si="96"/>
        <v>Error?</v>
      </c>
      <c r="E6215" s="2" t="s">
        <v>189</v>
      </c>
    </row>
    <row r="6216" spans="1:5" x14ac:dyDescent="0.2">
      <c r="A6216">
        <v>6155</v>
      </c>
      <c r="B6216" s="1832">
        <f>'Assets-Liab 5-6'!J41</f>
        <v>41675</v>
      </c>
      <c r="D6216" s="2" t="str">
        <f t="shared" si="96"/>
        <v>Error?</v>
      </c>
      <c r="E6216" s="2" t="s">
        <v>189</v>
      </c>
    </row>
    <row r="6217" spans="1:5" x14ac:dyDescent="0.2">
      <c r="A6217">
        <v>6156</v>
      </c>
      <c r="B6217" s="1832">
        <f>'Assets-Liab 5-6'!J4</f>
        <v>41675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32494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32494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32494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31200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31200</v>
      </c>
      <c r="D6229" s="2" t="str">
        <f t="shared" si="96"/>
        <v>Error?</v>
      </c>
      <c r="E6229" s="2" t="s">
        <v>189</v>
      </c>
    </row>
    <row r="6230" spans="1:5" x14ac:dyDescent="0.2">
      <c r="A6230">
        <v>6169</v>
      </c>
      <c r="B6230" s="1832">
        <f>'Acct Summary 7-8'!J20</f>
        <v>1294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1294</v>
      </c>
      <c r="D6263" s="2" t="str">
        <f t="shared" si="96"/>
        <v>Error?</v>
      </c>
      <c r="E6263" s="2" t="s">
        <v>189</v>
      </c>
    </row>
    <row r="6264" spans="1:5" x14ac:dyDescent="0.2">
      <c r="A6264">
        <v>6203</v>
      </c>
      <c r="B6264" s="1832">
        <f>'Acct Summary 7-8'!J79</f>
        <v>40381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41675</v>
      </c>
      <c r="D6266" s="2" t="str">
        <f t="shared" si="96"/>
        <v>Error?</v>
      </c>
      <c r="E6266" s="2" t="s">
        <v>189</v>
      </c>
    </row>
    <row r="6267" spans="1:5" x14ac:dyDescent="0.2">
      <c r="A6267">
        <v>6206</v>
      </c>
      <c r="B6267" s="1832">
        <f>'Acct Summary 7-8'!C82</f>
        <v>-188425</v>
      </c>
      <c r="D6267" s="2" t="str">
        <f t="shared" si="96"/>
        <v>Error?</v>
      </c>
      <c r="E6267" s="2" t="s">
        <v>189</v>
      </c>
    </row>
    <row r="6268" spans="1:5" x14ac:dyDescent="0.2">
      <c r="A6268">
        <v>6207</v>
      </c>
      <c r="B6268" s="1832">
        <f>'Acct Summary 7-8'!D82</f>
        <v>-18533</v>
      </c>
      <c r="D6268" s="2" t="str">
        <f t="shared" si="96"/>
        <v>Error?</v>
      </c>
      <c r="E6268" s="2" t="s">
        <v>189</v>
      </c>
    </row>
    <row r="6269" spans="1:5" x14ac:dyDescent="0.2">
      <c r="A6269">
        <v>6208</v>
      </c>
      <c r="B6269" s="1832">
        <f>'Acct Summary 7-8'!E82</f>
        <v>29902</v>
      </c>
      <c r="D6269" s="2" t="str">
        <f t="shared" si="96"/>
        <v>Error?</v>
      </c>
      <c r="E6269" s="2" t="s">
        <v>189</v>
      </c>
    </row>
    <row r="6270" spans="1:5" x14ac:dyDescent="0.2">
      <c r="A6270">
        <v>6209</v>
      </c>
      <c r="B6270" s="1832">
        <f>'Acct Summary 7-8'!F82</f>
        <v>61421</v>
      </c>
      <c r="D6270" s="2" t="str">
        <f t="shared" si="96"/>
        <v>Error?</v>
      </c>
      <c r="E6270" s="2" t="s">
        <v>189</v>
      </c>
    </row>
    <row r="6271" spans="1:5" x14ac:dyDescent="0.2">
      <c r="A6271">
        <v>6210</v>
      </c>
      <c r="B6271" s="1832">
        <f>'Acct Summary 7-8'!G82</f>
        <v>12634</v>
      </c>
      <c r="D6271" s="2" t="str">
        <f t="shared" ref="D6271:D6334" si="97">IF(ISBLANK(B6271),"OK",IF(A6271-B6271=0,"OK","Error?"))</f>
        <v>Error?</v>
      </c>
      <c r="E6271" s="2" t="s">
        <v>189</v>
      </c>
    </row>
    <row r="6272" spans="1:5" x14ac:dyDescent="0.2">
      <c r="A6272">
        <v>6211</v>
      </c>
      <c r="B6272" s="1832">
        <f>'Acct Summary 7-8'!H82</f>
        <v>50000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1294</v>
      </c>
      <c r="D6274" s="2" t="str">
        <f t="shared" si="97"/>
        <v>Error?</v>
      </c>
      <c r="E6274" s="2" t="s">
        <v>189</v>
      </c>
    </row>
    <row r="6275" spans="1:5" x14ac:dyDescent="0.2">
      <c r="A6275">
        <v>6214</v>
      </c>
      <c r="B6275" s="1832">
        <f>'Acct Summary 7-8'!K82</f>
        <v>6145</v>
      </c>
      <c r="D6275" s="2" t="str">
        <f t="shared" si="97"/>
        <v>Error?</v>
      </c>
      <c r="E6275" s="2" t="s">
        <v>189</v>
      </c>
    </row>
    <row r="6276" spans="1:5" x14ac:dyDescent="0.2">
      <c r="A6276">
        <v>6215</v>
      </c>
      <c r="B6276" s="1832">
        <f>'Acct Summary 7-8'!C83</f>
        <v>-0.2605535059432611</v>
      </c>
      <c r="D6276" s="2" t="str">
        <f t="shared" si="97"/>
        <v>Error?</v>
      </c>
      <c r="E6276" s="2" t="s">
        <v>189</v>
      </c>
    </row>
    <row r="6277" spans="1:5" x14ac:dyDescent="0.2">
      <c r="A6277">
        <v>6216</v>
      </c>
      <c r="B6277" s="1832">
        <f>'Acct Summary 7-8'!D83</f>
        <v>1.0474764030972701</v>
      </c>
      <c r="D6277" s="2" t="str">
        <f t="shared" si="97"/>
        <v>Error?</v>
      </c>
      <c r="E6277" s="2" t="s">
        <v>189</v>
      </c>
    </row>
    <row r="6278" spans="1:5" x14ac:dyDescent="0.2">
      <c r="A6278">
        <v>6217</v>
      </c>
      <c r="B6278" s="1832">
        <f>'Acct Summary 7-8'!E83</f>
        <v>0.63029868678990741</v>
      </c>
      <c r="D6278" s="2" t="str">
        <f t="shared" si="97"/>
        <v>Error?</v>
      </c>
      <c r="E6278" s="2" t="s">
        <v>189</v>
      </c>
    </row>
    <row r="6279" spans="1:5" x14ac:dyDescent="0.2">
      <c r="A6279">
        <v>6218</v>
      </c>
      <c r="B6279" s="1832">
        <f>'Acct Summary 7-8'!F83</f>
        <v>0.26317909341377405</v>
      </c>
      <c r="D6279" s="2" t="str">
        <f t="shared" si="97"/>
        <v>Error?</v>
      </c>
      <c r="E6279" s="2" t="s">
        <v>189</v>
      </c>
    </row>
    <row r="6280" spans="1:5" x14ac:dyDescent="0.2">
      <c r="A6280">
        <v>6219</v>
      </c>
      <c r="B6280" s="1832">
        <f>'Acct Summary 7-8'!G83</f>
        <v>0.21284051281187352</v>
      </c>
      <c r="D6280" s="2" t="str">
        <f t="shared" si="97"/>
        <v>Error?</v>
      </c>
      <c r="E6280" s="2" t="s">
        <v>189</v>
      </c>
    </row>
    <row r="6281" spans="1:5" x14ac:dyDescent="0.2">
      <c r="A6281">
        <v>6220</v>
      </c>
      <c r="B6281" s="1832">
        <f>'Acct Summary 7-8'!H83</f>
        <v>0.78736437648615021</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3.1049790041991602E-2</v>
      </c>
      <c r="D6283" s="2" t="str">
        <f t="shared" si="97"/>
        <v>Error?</v>
      </c>
      <c r="E6283" s="2" t="s">
        <v>189</v>
      </c>
    </row>
    <row r="6284" spans="1:5" x14ac:dyDescent="0.2">
      <c r="A6284">
        <v>6223</v>
      </c>
      <c r="B6284" s="1832">
        <f>'Acct Summary 7-8'!K83</f>
        <v>0.1615702153393106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239700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32494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32494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32494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33262</v>
      </c>
      <c r="D6983" s="2" t="str">
        <f t="shared" si="108"/>
        <v>Error?</v>
      </c>
    </row>
    <row r="6984" spans="1:4" x14ac:dyDescent="0.2">
      <c r="A6984">
        <v>6923</v>
      </c>
      <c r="B6984" s="1832">
        <f>'Expenditures 15-22'!K86</f>
        <v>33262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33262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31200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32494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11788</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11788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6978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6978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12434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12434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11788</v>
      </c>
      <c r="D7200" s="2" t="str">
        <f t="shared" si="111"/>
        <v>Error?</v>
      </c>
    </row>
    <row r="7201" spans="1:4" x14ac:dyDescent="0.2">
      <c r="A7201">
        <v>7140</v>
      </c>
      <c r="B7201" s="1832">
        <f>'Expenditures 15-22'!E330</f>
        <v>19412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31200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11788</v>
      </c>
      <c r="D7217" s="2" t="str">
        <f t="shared" si="111"/>
        <v>Error?</v>
      </c>
    </row>
    <row r="7218" spans="1:4" x14ac:dyDescent="0.2">
      <c r="A7218">
        <v>7157</v>
      </c>
      <c r="B7218" s="1832">
        <f>'Expenditures 15-22'!E342</f>
        <v>19412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31200</v>
      </c>
      <c r="D7224" s="2" t="str">
        <f t="shared" si="111"/>
        <v>Error?</v>
      </c>
    </row>
    <row r="7225" spans="1:4" x14ac:dyDescent="0.2">
      <c r="A7225">
        <v>7164</v>
      </c>
      <c r="B7225" s="1832">
        <f>'Expenditures 15-22'!K343</f>
        <v>1294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47375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239700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61111</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61111</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3940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61111</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61111</v>
      </c>
      <c r="D7727" s="2" t="str">
        <f t="shared" si="126"/>
        <v>Error?</v>
      </c>
      <c r="E7727" s="2" t="s">
        <v>822</v>
      </c>
    </row>
    <row r="7728" spans="1:6" x14ac:dyDescent="0.2">
      <c r="A7728">
        <v>7667</v>
      </c>
      <c r="B7728" s="1832">
        <f>'Revenues 9-14'!E103</f>
        <v>61111</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61111</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3447</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689700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-1780</v>
      </c>
      <c r="D7820" s="2" t="str">
        <f t="shared" si="128"/>
        <v>Error?</v>
      </c>
    </row>
    <row r="7821" spans="1:5" x14ac:dyDescent="0.2">
      <c r="A7821">
        <v>7760</v>
      </c>
      <c r="B7821" s="1832">
        <f>'ICR Computation 30'!G40</f>
        <v>-1780</v>
      </c>
      <c r="D7821" s="2" t="str">
        <f t="shared" si="128"/>
        <v>Error?</v>
      </c>
    </row>
    <row r="7822" spans="1:5" x14ac:dyDescent="0.2">
      <c r="A7822" s="1">
        <v>7761</v>
      </c>
      <c r="B7822" s="1832">
        <f>'PCTC-OEPP 27-28'!F14</f>
        <v>1609934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344858</v>
      </c>
      <c r="D7834" s="2" t="str">
        <f t="shared" si="129"/>
        <v>Error?</v>
      </c>
      <c r="E7834" s="4" t="s">
        <v>1998</v>
      </c>
    </row>
    <row r="7835" spans="1:5" x14ac:dyDescent="0.2">
      <c r="A7835">
        <v>7774</v>
      </c>
      <c r="B7835" s="1832">
        <f>'PCTC-OEPP 27-28'!F78</f>
        <v>1265076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12349.916045140379</v>
      </c>
      <c r="D7837" s="2" t="str">
        <f t="shared" si="129"/>
        <v>Error?</v>
      </c>
      <c r="E7837" s="4" t="s">
        <v>1998</v>
      </c>
    </row>
    <row r="7838" spans="1:5" x14ac:dyDescent="0.2">
      <c r="A7838">
        <v>7777</v>
      </c>
      <c r="B7838" s="1832">
        <f>'PCTC-OEPP 27-28'!F96</f>
        <v>171</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22621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52341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33732</v>
      </c>
      <c r="D7858" s="2" t="str">
        <f t="shared" si="129"/>
        <v>Error?</v>
      </c>
      <c r="E7858" s="4" t="s">
        <v>1998</v>
      </c>
    </row>
    <row r="7859" spans="1:5" x14ac:dyDescent="0.2">
      <c r="A7859">
        <v>7798</v>
      </c>
      <c r="B7859" s="1832">
        <f>'PCTC-OEPP 27-28'!F127</f>
        <v>31632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1500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1979</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160506</v>
      </c>
      <c r="D7877" s="2" t="str">
        <f t="shared" si="129"/>
        <v>Error?</v>
      </c>
      <c r="E7877" s="4" t="s">
        <v>1998</v>
      </c>
    </row>
    <row r="7878" spans="1:5" x14ac:dyDescent="0.2">
      <c r="A7878">
        <v>7817</v>
      </c>
      <c r="B7878" s="1832">
        <f>'PCTC-OEPP 27-28'!F176</f>
        <v>1104570</v>
      </c>
      <c r="D7878" s="2" t="str">
        <f t="shared" si="129"/>
        <v>Error?</v>
      </c>
      <c r="E7878" s="4" t="s">
        <v>1998</v>
      </c>
    </row>
    <row r="7879" spans="1:5" x14ac:dyDescent="0.2">
      <c r="A7879">
        <v>7818</v>
      </c>
      <c r="B7879" s="1832">
        <f>'PCTC-OEPP 27-28'!F178</f>
        <v>1151945</v>
      </c>
      <c r="D7879" s="2" t="str">
        <f t="shared" si="129"/>
        <v>Error?</v>
      </c>
      <c r="E7879" s="4" t="s">
        <v>1998</v>
      </c>
    </row>
    <row r="7880" spans="1:5" x14ac:dyDescent="0.2">
      <c r="A7880">
        <v>7819</v>
      </c>
      <c r="B7880" s="1832">
        <f>'PCTC-OEPP 27-28'!F180</f>
        <v>11245.509391229645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Cornell CCSD 426</v>
      </c>
      <c r="B7" s="2518"/>
      <c r="C7" s="2518"/>
      <c r="D7" s="2556"/>
      <c r="E7" s="2557">
        <f>COVER!A13</f>
        <v>17053426004</v>
      </c>
      <c r="F7" s="2558"/>
      <c r="G7" s="2524" t="str">
        <f>COVER!T23</f>
        <v>066-005100</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Mack &amp; Associates, P.C.</v>
      </c>
      <c r="H9" s="2531"/>
      <c r="I9" s="2531"/>
      <c r="J9" s="2531"/>
      <c r="K9" s="2531"/>
      <c r="L9" s="2532"/>
    </row>
    <row r="10" spans="1:29" ht="13.5" customHeight="1" x14ac:dyDescent="0.2">
      <c r="A10" s="2514" t="str">
        <f>COVER!A38</f>
        <v>Geoff Schoonover</v>
      </c>
      <c r="B10" s="2515"/>
      <c r="C10" s="2515"/>
      <c r="D10" s="2515"/>
      <c r="E10" s="2515"/>
      <c r="F10" s="2516"/>
      <c r="G10" s="2530" t="str">
        <f>COVER!T17</f>
        <v>116 E. Washingston St., Suite One</v>
      </c>
      <c r="H10" s="2543"/>
      <c r="I10" s="2543"/>
      <c r="J10" s="2543"/>
      <c r="K10" s="2543"/>
      <c r="L10" s="2544"/>
    </row>
    <row r="11" spans="1:29" ht="13.5" customHeight="1" x14ac:dyDescent="0.2">
      <c r="A11" s="963" t="s">
        <v>1502</v>
      </c>
      <c r="B11" s="964"/>
      <c r="C11" s="965"/>
      <c r="D11" s="970"/>
      <c r="E11" s="965"/>
      <c r="F11" s="969"/>
      <c r="G11" s="2530" t="str">
        <f>COVER!T19</f>
        <v>Morris</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tmack@mackcpas.com</v>
      </c>
      <c r="J13" s="2552"/>
      <c r="K13" s="2552"/>
      <c r="L13" s="2553"/>
    </row>
    <row r="14" spans="1:29" ht="13.5" customHeight="1" x14ac:dyDescent="0.2">
      <c r="A14" s="2530" t="str">
        <f>COVER!A19</f>
        <v>300 North 7th Street</v>
      </c>
      <c r="B14" s="2543"/>
      <c r="C14" s="2543"/>
      <c r="D14" s="2543"/>
      <c r="E14" s="2543"/>
      <c r="F14" s="2544"/>
      <c r="G14" s="974" t="s">
        <v>1175</v>
      </c>
      <c r="H14" s="972"/>
      <c r="I14" s="972"/>
      <c r="J14" s="972"/>
      <c r="K14" s="972"/>
      <c r="L14" s="973"/>
    </row>
    <row r="15" spans="1:29" ht="13.5" customHeight="1" x14ac:dyDescent="0.2">
      <c r="A15" s="2530" t="str">
        <f>COVER!A21</f>
        <v>Cornell</v>
      </c>
      <c r="B15" s="2543"/>
      <c r="C15" s="2543"/>
      <c r="D15" s="2543"/>
      <c r="E15" s="2543"/>
      <c r="F15" s="2544"/>
      <c r="G15" s="2540" t="str">
        <f>COVER!T15</f>
        <v>Tawnya Mack, CPA</v>
      </c>
      <c r="H15" s="2541"/>
      <c r="I15" s="2541"/>
      <c r="J15" s="2541"/>
      <c r="K15" s="2541"/>
      <c r="L15" s="2542"/>
    </row>
    <row r="16" spans="1:29" ht="12.2" customHeight="1" x14ac:dyDescent="0.2">
      <c r="A16" s="2520">
        <f>COVER!A25</f>
        <v>61319</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815-942-3306</v>
      </c>
      <c r="H18" s="2518"/>
      <c r="I18" s="2518"/>
      <c r="J18" s="2518"/>
      <c r="K18" s="2517" t="str">
        <f>COVER!X21</f>
        <v>815-942-9430</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Cornell CCSD 426</v>
      </c>
      <c r="B1" s="2560"/>
      <c r="C1" s="2560"/>
      <c r="D1" s="2560"/>
    </row>
    <row r="2" spans="1:11" s="991" customFormat="1" ht="12.75" x14ac:dyDescent="0.2">
      <c r="A2" s="2561">
        <f>'Single Audit Cover'!E7</f>
        <v>17053426004</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Cornell CCSD 426</v>
      </c>
      <c r="B1" s="2564"/>
      <c r="C1" s="2564"/>
      <c r="D1" s="2564"/>
      <c r="E1" s="2564"/>
    </row>
    <row r="2" spans="1:5" x14ac:dyDescent="0.2">
      <c r="A2" s="2565">
        <f>'Single Audit Cover'!E7</f>
        <v>17053426004</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68843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68843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68843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68843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Cornell CCSD 426</v>
      </c>
      <c r="C1" s="2568"/>
      <c r="D1" s="2568"/>
      <c r="E1" s="2568"/>
      <c r="F1" s="2568"/>
      <c r="G1" s="2568"/>
      <c r="H1" s="2568"/>
      <c r="I1" s="2568"/>
      <c r="J1" s="2568"/>
      <c r="K1" s="2568"/>
      <c r="L1" s="2568"/>
      <c r="M1" s="2568"/>
    </row>
    <row r="2" spans="2:14" ht="15" x14ac:dyDescent="0.2">
      <c r="B2" s="2569">
        <f>'Single Audit Cover'!E7</f>
        <v>17053426004</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Cornell CCSD 426</v>
      </c>
      <c r="B1" s="2573"/>
      <c r="C1" s="2573"/>
      <c r="D1" s="2573"/>
      <c r="E1" s="2573"/>
      <c r="F1" s="2573"/>
    </row>
    <row r="2" spans="1:7" ht="13.5" customHeight="1" x14ac:dyDescent="0.2">
      <c r="A2" s="2569">
        <f>'Single Audit Cover'!E7</f>
        <v>17053426004</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Normal="100" workbookViewId="0">
      <selection activeCell="F119" sqref="F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36251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2059</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t="s">
        <v>2078</v>
      </c>
      <c r="E118" s="300"/>
      <c r="F118" s="2036">
        <v>44090</v>
      </c>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Cornell CCSD 426</v>
      </c>
      <c r="C1" s="2589"/>
      <c r="D1" s="2589"/>
      <c r="E1" s="2589"/>
      <c r="F1" s="2589"/>
      <c r="G1" s="2589"/>
      <c r="H1" s="2589"/>
      <c r="I1" s="2589"/>
      <c r="J1" s="1178"/>
    </row>
    <row r="2" spans="2:10" s="295" customFormat="1" ht="12.75" customHeight="1" x14ac:dyDescent="0.2">
      <c r="B2" s="2590">
        <f>'Single Audit Cover'!E7</f>
        <v>17053426004</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Cornell CCSD 426</v>
      </c>
      <c r="C1" s="2588"/>
      <c r="D1" s="2588"/>
      <c r="E1" s="2588"/>
      <c r="F1" s="2588"/>
      <c r="G1" s="2588"/>
      <c r="H1" s="2588"/>
      <c r="I1" s="2588"/>
      <c r="J1" s="2588"/>
      <c r="K1" s="2588"/>
      <c r="L1" s="1144"/>
      <c r="M1" s="1144"/>
    </row>
    <row r="2" spans="1:13" ht="12" customHeight="1" x14ac:dyDescent="0.2">
      <c r="B2" s="2590">
        <f>'Single Audit Cover'!E7</f>
        <v>17053426004</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Cornell CCSD 426</v>
      </c>
      <c r="C1" s="2615"/>
      <c r="D1" s="2615"/>
      <c r="E1" s="2615"/>
      <c r="F1" s="2615"/>
      <c r="G1" s="2615"/>
      <c r="H1" s="2615"/>
      <c r="I1" s="2615"/>
      <c r="J1" s="2615"/>
      <c r="K1" s="2615"/>
      <c r="L1" s="1221"/>
    </row>
    <row r="2" spans="1:12" ht="12.75" customHeight="1" x14ac:dyDescent="0.2">
      <c r="B2" s="2616">
        <f>'Single Audit Cover'!E7</f>
        <v>17053426004</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Cornell CCSD 426</v>
      </c>
      <c r="C1" s="2588"/>
      <c r="D1" s="2588"/>
      <c r="E1" s="1240"/>
    </row>
    <row r="2" spans="2:5" s="1058" customFormat="1" ht="12.75" customHeight="1" x14ac:dyDescent="0.2">
      <c r="B2" s="2590">
        <f>'Single Audit Cover'!E7</f>
        <v>17053426004</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24572618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2.9215000000000001E-2</v>
      </c>
      <c r="E10" s="333" t="s">
        <v>998</v>
      </c>
      <c r="F10" s="332">
        <v>5.0390000000000001E-3</v>
      </c>
      <c r="G10" s="333" t="s">
        <v>998</v>
      </c>
      <c r="H10" s="332">
        <v>1.6799999999999999E-4</v>
      </c>
      <c r="I10" s="333" t="s">
        <v>999</v>
      </c>
      <c r="J10" s="1424">
        <f>ROUND(D10+F10+H10,5)</f>
        <v>3.4419999999999999E-2</v>
      </c>
      <c r="K10" s="217"/>
      <c r="L10" s="332">
        <v>1.44E-4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1361448</v>
      </c>
      <c r="E16" s="1547"/>
      <c r="F16" s="1546">
        <f>SUM('Acct Summary 7-8'!C17,'Acct Summary 7-8'!D17,'Acct Summary 7-8'!F17)</f>
        <v>1267285</v>
      </c>
      <c r="G16" s="1547"/>
      <c r="H16" s="1546">
        <f>SUM(D16-F16)</f>
        <v>94163</v>
      </c>
      <c r="I16" s="1548"/>
      <c r="J16" s="1546">
        <f>SUM('Acct Summary 7-8'!C81,'Acct Summary 7-8'!D81,'Acct Summary 7-8'!F81,'Acct Summary 7-8'!I81)</f>
        <v>938860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1695510.6420000002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Cornell CCSD 426</v>
      </c>
      <c r="E7" s="368"/>
      <c r="G7" s="247"/>
      <c r="H7" s="364"/>
      <c r="I7" s="364"/>
      <c r="J7" s="364"/>
      <c r="K7" s="364"/>
      <c r="L7" s="307"/>
      <c r="M7" s="307"/>
      <c r="N7" s="307"/>
      <c r="O7" s="307"/>
      <c r="P7" s="307"/>
    </row>
    <row r="8" spans="1:18" ht="12.75" x14ac:dyDescent="0.2">
      <c r="A8" s="307"/>
      <c r="B8" s="307"/>
      <c r="C8" s="366" t="s">
        <v>1115</v>
      </c>
      <c r="D8" s="369">
        <f>COVER!A13</f>
        <v>17053426004</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938860</v>
      </c>
      <c r="I12" s="380"/>
      <c r="J12" s="380"/>
      <c r="K12" s="1559">
        <f>TRUNC((H12/H13*100000),5)/100000</f>
        <v>0.68960400980000003</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1361448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1267285</v>
      </c>
      <c r="I17" s="380"/>
      <c r="J17" s="389"/>
      <c r="K17" s="1559">
        <f>TRUNC((H17/H18*100000),5)/100000</f>
        <v>0.93083613909999996</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1361448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959090</v>
      </c>
      <c r="I24" s="394"/>
      <c r="J24" s="394"/>
      <c r="K24" s="1555">
        <f>TRUNC(((H24/H25*100000)/100000),2)</f>
        <v>272.45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3520.2361099999998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718921.08482999995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1695510.6420000002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E30" sqref="E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723172</v>
      </c>
      <c r="D4" s="1573">
        <v>2537</v>
      </c>
      <c r="E4" s="1573">
        <v>47441</v>
      </c>
      <c r="F4" s="1573">
        <v>233381</v>
      </c>
      <c r="G4" s="1573">
        <v>59359</v>
      </c>
      <c r="H4" s="1573">
        <v>63503</v>
      </c>
      <c r="I4" s="1573"/>
      <c r="J4" s="1574">
        <v>41675</v>
      </c>
      <c r="K4" s="1573">
        <v>38033</v>
      </c>
      <c r="L4" s="1573">
        <v>15127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723172</v>
      </c>
      <c r="D13" s="1587">
        <f t="shared" ref="D13:L13" si="0">SUM(D4:D12)</f>
        <v>2537</v>
      </c>
      <c r="E13" s="1587">
        <f t="shared" si="0"/>
        <v>47441</v>
      </c>
      <c r="F13" s="1587">
        <f t="shared" si="0"/>
        <v>233381</v>
      </c>
      <c r="G13" s="1587">
        <f t="shared" si="0"/>
        <v>59359</v>
      </c>
      <c r="H13" s="1587">
        <f t="shared" si="0"/>
        <v>63503</v>
      </c>
      <c r="I13" s="1587">
        <f t="shared" si="0"/>
        <v>0</v>
      </c>
      <c r="J13" s="1587">
        <f t="shared" si="0"/>
        <v>41675</v>
      </c>
      <c r="K13" s="1587">
        <f t="shared" si="0"/>
        <v>38033</v>
      </c>
      <c r="L13" s="1587">
        <f t="shared" si="0"/>
        <v>15127</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678566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42128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728694</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v>20230</v>
      </c>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15127</v>
      </c>
      <c r="M33" s="1575"/>
      <c r="N33" s="1576"/>
    </row>
    <row r="34" spans="1:14" ht="13.5" customHeight="1" thickBot="1" x14ac:dyDescent="0.25">
      <c r="A34" s="1427" t="s">
        <v>649</v>
      </c>
      <c r="B34" s="1428"/>
      <c r="C34" s="1600">
        <f>SUM(C25:C33)</f>
        <v>0</v>
      </c>
      <c r="D34" s="1600">
        <f t="shared" ref="D34:K34" si="1">SUM(D25:D33)</f>
        <v>20230</v>
      </c>
      <c r="E34" s="1600">
        <f t="shared" si="1"/>
        <v>0</v>
      </c>
      <c r="F34" s="1600">
        <f t="shared" si="1"/>
        <v>0</v>
      </c>
      <c r="G34" s="1600">
        <f t="shared" si="1"/>
        <v>0</v>
      </c>
      <c r="H34" s="1600">
        <f t="shared" si="1"/>
        <v>0</v>
      </c>
      <c r="I34" s="1600">
        <f t="shared" si="1"/>
        <v>0</v>
      </c>
      <c r="J34" s="1600">
        <f t="shared" si="1"/>
        <v>0</v>
      </c>
      <c r="K34" s="1600">
        <f t="shared" si="1"/>
        <v>0</v>
      </c>
      <c r="L34" s="1601">
        <f>SUM(L33)</f>
        <v>15127</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62508</v>
      </c>
      <c r="D38" s="1573"/>
      <c r="E38" s="1573"/>
      <c r="F38" s="1573"/>
      <c r="G38" s="1573">
        <v>40233</v>
      </c>
      <c r="H38" s="1573"/>
      <c r="I38" s="1573"/>
      <c r="J38" s="1574"/>
      <c r="K38" s="1573"/>
      <c r="L38" s="1586"/>
      <c r="M38" s="1604"/>
      <c r="N38" s="1604"/>
    </row>
    <row r="39" spans="1:14" s="307" customFormat="1" ht="13.5" customHeight="1" x14ac:dyDescent="0.2">
      <c r="A39" s="438" t="s">
        <v>339</v>
      </c>
      <c r="B39" s="432">
        <v>730</v>
      </c>
      <c r="C39" s="1573">
        <v>660664</v>
      </c>
      <c r="D39" s="1573">
        <v>-17693</v>
      </c>
      <c r="E39" s="1573">
        <v>47441</v>
      </c>
      <c r="F39" s="1573">
        <v>233381</v>
      </c>
      <c r="G39" s="1573">
        <v>19126</v>
      </c>
      <c r="H39" s="1573">
        <v>63503</v>
      </c>
      <c r="I39" s="1573"/>
      <c r="J39" s="1574">
        <v>41675</v>
      </c>
      <c r="K39" s="1573">
        <v>38033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728694</v>
      </c>
      <c r="N40" s="1604"/>
    </row>
    <row r="41" spans="1:14" ht="13.5" customHeight="1" thickBot="1" x14ac:dyDescent="0.25">
      <c r="A41" s="1426" t="s">
        <v>650</v>
      </c>
      <c r="B41" s="1405"/>
      <c r="C41" s="1594">
        <f>(SUM(C34,C37,C38,C39))</f>
        <v>723172</v>
      </c>
      <c r="D41" s="1594">
        <f t="shared" ref="D41:L41" si="2">SUM(D34,D37,D38:D39)</f>
        <v>2537</v>
      </c>
      <c r="E41" s="1594">
        <f t="shared" si="2"/>
        <v>47441</v>
      </c>
      <c r="F41" s="1594">
        <f t="shared" si="2"/>
        <v>233381</v>
      </c>
      <c r="G41" s="1594">
        <f t="shared" si="2"/>
        <v>59359</v>
      </c>
      <c r="H41" s="1594">
        <f t="shared" si="2"/>
        <v>63503</v>
      </c>
      <c r="I41" s="1594">
        <f t="shared" si="2"/>
        <v>0</v>
      </c>
      <c r="J41" s="1594">
        <f t="shared" si="2"/>
        <v>41675</v>
      </c>
      <c r="K41" s="1594">
        <f t="shared" si="2"/>
        <v>38033</v>
      </c>
      <c r="L41" s="1594">
        <f t="shared" si="2"/>
        <v>15127</v>
      </c>
      <c r="M41" s="1594">
        <f>SUM(M40)</f>
        <v>728694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791205</v>
      </c>
      <c r="D4" s="1606">
        <f>'Revenues 9-14'!D109</f>
        <v>109972</v>
      </c>
      <c r="E4" s="1606">
        <f>'Revenues 9-14'!E109</f>
        <v>61111</v>
      </c>
      <c r="F4" s="1606">
        <f>'Revenues 9-14'!F109</f>
        <v>80741</v>
      </c>
      <c r="G4" s="1606">
        <f>'Revenues 9-14'!G109</f>
        <v>53174</v>
      </c>
      <c r="H4" s="1606">
        <f>'Revenues 9-14'!H109</f>
        <v>0</v>
      </c>
      <c r="I4" s="1606">
        <f>'Revenues 9-14'!I109</f>
        <v>3447</v>
      </c>
      <c r="J4" s="1606">
        <f>'Revenues 9-14'!J109</f>
        <v>32494</v>
      </c>
      <c r="K4" s="1606">
        <f>'Revenues 9-14'!K109</f>
        <v>6895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254899</v>
      </c>
      <c r="D6" s="1607">
        <f>'Revenues 9-14'!D170</f>
        <v>0</v>
      </c>
      <c r="E6" s="1607">
        <f>'Revenues 9-14'!E170</f>
        <v>0</v>
      </c>
      <c r="F6" s="1607">
        <f>'Revenues 9-14'!F170</f>
        <v>52341</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68843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1114947</v>
      </c>
      <c r="D8" s="1594">
        <f t="shared" ref="D8:K8" si="0">SUM(D4:D7)</f>
        <v>109972</v>
      </c>
      <c r="E8" s="1594">
        <f t="shared" si="0"/>
        <v>61111</v>
      </c>
      <c r="F8" s="1594">
        <f t="shared" si="0"/>
        <v>133082</v>
      </c>
      <c r="G8" s="1594">
        <f t="shared" si="0"/>
        <v>53174</v>
      </c>
      <c r="H8" s="1594">
        <f t="shared" si="0"/>
        <v>50000</v>
      </c>
      <c r="I8" s="1594">
        <f t="shared" si="0"/>
        <v>3447</v>
      </c>
      <c r="J8" s="1594">
        <f t="shared" si="0"/>
        <v>32494</v>
      </c>
      <c r="K8" s="1594">
        <f t="shared" si="0"/>
        <v>6895</v>
      </c>
      <c r="L8" s="325"/>
    </row>
    <row r="9" spans="1:13" ht="15.75" thickTop="1" x14ac:dyDescent="0.2">
      <c r="A9" s="449" t="s">
        <v>1634</v>
      </c>
      <c r="B9" s="450">
        <v>3998</v>
      </c>
      <c r="C9" s="1586">
        <v>66875</v>
      </c>
      <c r="D9" s="1613"/>
      <c r="E9" s="1586"/>
      <c r="F9" s="1586"/>
      <c r="G9" s="1614"/>
      <c r="H9" s="1586"/>
      <c r="I9" s="1609" t="s">
        <v>1159</v>
      </c>
      <c r="J9" s="1583"/>
      <c r="K9" s="1586"/>
      <c r="L9" s="325"/>
    </row>
    <row r="10" spans="1:13" s="452" customFormat="1" ht="13.5" thickBot="1" x14ac:dyDescent="0.25">
      <c r="A10" s="1426" t="s">
        <v>1163</v>
      </c>
      <c r="B10" s="1407"/>
      <c r="C10" s="1594">
        <f>SUM(C8:C9)</f>
        <v>1181822</v>
      </c>
      <c r="D10" s="1594">
        <f t="shared" ref="D10:K10" si="1">SUM(D8:D9)</f>
        <v>109972</v>
      </c>
      <c r="E10" s="1594">
        <f t="shared" si="1"/>
        <v>61111</v>
      </c>
      <c r="F10" s="1594">
        <f t="shared" si="1"/>
        <v>133082</v>
      </c>
      <c r="G10" s="1594">
        <f t="shared" si="1"/>
        <v>53174</v>
      </c>
      <c r="H10" s="1594">
        <f t="shared" si="1"/>
        <v>50000</v>
      </c>
      <c r="I10" s="1594">
        <f t="shared" si="1"/>
        <v>3447</v>
      </c>
      <c r="J10" s="1594">
        <f t="shared" si="1"/>
        <v>32494</v>
      </c>
      <c r="K10" s="1594">
        <f t="shared" si="1"/>
        <v>6895</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719952</v>
      </c>
      <c r="D12" s="1616" t="s">
        <v>1159</v>
      </c>
      <c r="E12" s="1575" t="s">
        <v>1159</v>
      </c>
      <c r="F12" s="1575" t="s">
        <v>1159</v>
      </c>
      <c r="G12" s="1606">
        <f>'Expenditures 15-22'!K229</f>
        <v>13219</v>
      </c>
      <c r="H12" s="1617"/>
      <c r="I12" s="1575" t="s">
        <v>1159</v>
      </c>
      <c r="J12" s="1575" t="s">
        <v>1159</v>
      </c>
      <c r="K12" s="1617" t="s">
        <v>1159</v>
      </c>
      <c r="L12" s="325"/>
    </row>
    <row r="13" spans="1:13" ht="15.75" customHeight="1" x14ac:dyDescent="0.2">
      <c r="A13" s="1314" t="s">
        <v>454</v>
      </c>
      <c r="B13" s="1316">
        <v>2000</v>
      </c>
      <c r="C13" s="1607">
        <f>'Expenditures 15-22'!K74</f>
        <v>270289</v>
      </c>
      <c r="D13" s="1607">
        <f>'Expenditures 15-22'!K129</f>
        <v>131952</v>
      </c>
      <c r="E13" s="1576" t="s">
        <v>1159</v>
      </c>
      <c r="F13" s="1607">
        <f>'Expenditures 15-22'!K184</f>
        <v>71661</v>
      </c>
      <c r="G13" s="1607">
        <f>'Expenditures 15-22'!K279</f>
        <v>27321</v>
      </c>
      <c r="H13" s="1607">
        <f>'Expenditures 15-22'!K303</f>
        <v>0</v>
      </c>
      <c r="I13" s="1575" t="s">
        <v>1159</v>
      </c>
      <c r="J13" s="1607">
        <f>'Expenditures 15-22'!K330</f>
        <v>31200</v>
      </c>
      <c r="K13" s="1618">
        <f>'Expenditures 15-22'!K352</f>
        <v>750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73431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270909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1063672</v>
      </c>
      <c r="D17" s="1594">
        <f t="shared" si="2"/>
        <v>131952</v>
      </c>
      <c r="E17" s="1594">
        <f t="shared" si="2"/>
        <v>270909</v>
      </c>
      <c r="F17" s="1594">
        <f t="shared" si="2"/>
        <v>71661</v>
      </c>
      <c r="G17" s="1594">
        <f t="shared" si="2"/>
        <v>40540</v>
      </c>
      <c r="H17" s="1594">
        <f t="shared" si="2"/>
        <v>0</v>
      </c>
      <c r="I17" s="1575"/>
      <c r="J17" s="1594">
        <f>SUM(J12:J16)</f>
        <v>31200</v>
      </c>
      <c r="K17" s="1594">
        <f>SUM(K12:K16)</f>
        <v>750</v>
      </c>
      <c r="L17" s="325"/>
    </row>
    <row r="18" spans="1:12" ht="15" customHeight="1" thickTop="1" x14ac:dyDescent="0.2">
      <c r="A18" s="1430" t="s">
        <v>1635</v>
      </c>
      <c r="B18" s="1431">
        <v>4180</v>
      </c>
      <c r="C18" s="1606">
        <f t="shared" ref="C18:H18" si="3">C9</f>
        <v>66875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1130547</v>
      </c>
      <c r="D19" s="1594">
        <f t="shared" si="4"/>
        <v>131952</v>
      </c>
      <c r="E19" s="1594">
        <f t="shared" si="4"/>
        <v>270909</v>
      </c>
      <c r="F19" s="1594">
        <f t="shared" si="4"/>
        <v>71661</v>
      </c>
      <c r="G19" s="1594">
        <f t="shared" si="4"/>
        <v>40540</v>
      </c>
      <c r="H19" s="1594">
        <f t="shared" si="4"/>
        <v>0</v>
      </c>
      <c r="I19" s="1575"/>
      <c r="J19" s="1594">
        <f>SUM(J17:J18)</f>
        <v>31200</v>
      </c>
      <c r="K19" s="1594">
        <f>SUM(K17:K18)</f>
        <v>750</v>
      </c>
      <c r="L19" s="325"/>
    </row>
    <row r="20" spans="1:12" ht="16.5" thickTop="1" thickBot="1" x14ac:dyDescent="0.25">
      <c r="A20" s="2233" t="s">
        <v>1636</v>
      </c>
      <c r="B20" s="2234"/>
      <c r="C20" s="1622">
        <f>C8-C17</f>
        <v>51275</v>
      </c>
      <c r="D20" s="1622">
        <f t="shared" ref="D20:K20" si="5">D8-D17</f>
        <v>-21980</v>
      </c>
      <c r="E20" s="1622">
        <f t="shared" si="5"/>
        <v>-209798</v>
      </c>
      <c r="F20" s="1622">
        <f t="shared" si="5"/>
        <v>61421</v>
      </c>
      <c r="G20" s="1622">
        <f t="shared" si="5"/>
        <v>12634</v>
      </c>
      <c r="H20" s="1622">
        <f t="shared" si="5"/>
        <v>50000</v>
      </c>
      <c r="I20" s="1622">
        <f t="shared" si="5"/>
        <v>3447</v>
      </c>
      <c r="J20" s="1622">
        <f t="shared" si="5"/>
        <v>1294</v>
      </c>
      <c r="K20" s="1622">
        <f t="shared" si="5"/>
        <v>6145</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3447</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239700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3447</v>
      </c>
      <c r="E44" s="1624">
        <f t="shared" si="6"/>
        <v>239700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3447</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v>239700</v>
      </c>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239700</v>
      </c>
      <c r="D76" s="1624">
        <f t="shared" si="7"/>
        <v>0</v>
      </c>
      <c r="E76" s="1624">
        <f t="shared" si="7"/>
        <v>0</v>
      </c>
      <c r="F76" s="1624">
        <f t="shared" si="7"/>
        <v>0</v>
      </c>
      <c r="G76" s="1624">
        <f t="shared" si="7"/>
        <v>0</v>
      </c>
      <c r="H76" s="1624">
        <f t="shared" si="7"/>
        <v>0</v>
      </c>
      <c r="I76" s="1624">
        <f t="shared" si="7"/>
        <v>3447</v>
      </c>
      <c r="J76" s="1624">
        <f t="shared" si="7"/>
        <v>0</v>
      </c>
      <c r="K76" s="1624">
        <f t="shared" si="7"/>
        <v>0</v>
      </c>
      <c r="L76" s="453"/>
    </row>
    <row r="77" spans="1:12" ht="14.25" thickTop="1" thickBot="1" x14ac:dyDescent="0.25">
      <c r="A77" s="2225" t="s">
        <v>1167</v>
      </c>
      <c r="B77" s="2226"/>
      <c r="C77" s="1624">
        <f t="shared" ref="C77:K77" si="8">C44-C76</f>
        <v>-239700</v>
      </c>
      <c r="D77" s="1624">
        <f t="shared" si="8"/>
        <v>3447</v>
      </c>
      <c r="E77" s="1624">
        <f t="shared" si="8"/>
        <v>239700</v>
      </c>
      <c r="F77" s="1624">
        <f t="shared" si="8"/>
        <v>0</v>
      </c>
      <c r="G77" s="1624">
        <f t="shared" si="8"/>
        <v>0</v>
      </c>
      <c r="H77" s="1624">
        <f t="shared" si="8"/>
        <v>0</v>
      </c>
      <c r="I77" s="1624">
        <f t="shared" si="8"/>
        <v>-3447</v>
      </c>
      <c r="J77" s="1624">
        <f t="shared" si="8"/>
        <v>0</v>
      </c>
      <c r="K77" s="1624">
        <f t="shared" si="8"/>
        <v>0</v>
      </c>
      <c r="L77" s="325"/>
    </row>
    <row r="78" spans="1:12" ht="21.75" customHeight="1" thickTop="1" thickBot="1" x14ac:dyDescent="0.25">
      <c r="A78" s="2229" t="s">
        <v>593</v>
      </c>
      <c r="B78" s="2230"/>
      <c r="C78" s="1629">
        <f t="shared" ref="C78:K78" si="9">C20+C77</f>
        <v>-188425</v>
      </c>
      <c r="D78" s="1629">
        <f t="shared" si="9"/>
        <v>-18533</v>
      </c>
      <c r="E78" s="1629">
        <f t="shared" si="9"/>
        <v>29902</v>
      </c>
      <c r="F78" s="1629">
        <f t="shared" si="9"/>
        <v>61421</v>
      </c>
      <c r="G78" s="1629">
        <f t="shared" si="9"/>
        <v>12634</v>
      </c>
      <c r="H78" s="1629">
        <f t="shared" si="9"/>
        <v>50000</v>
      </c>
      <c r="I78" s="1629">
        <f t="shared" si="9"/>
        <v>0</v>
      </c>
      <c r="J78" s="1629">
        <f t="shared" si="9"/>
        <v>1294</v>
      </c>
      <c r="K78" s="1629">
        <f t="shared" si="9"/>
        <v>6145</v>
      </c>
      <c r="L78" s="457"/>
    </row>
    <row r="79" spans="1:12" ht="13.5" thickTop="1" x14ac:dyDescent="0.2">
      <c r="A79" s="1844" t="str">
        <f>"Fund Balances - July 1, "&amp;'AFR20'!E2-1</f>
        <v>Fund Balances - July 1, 2019</v>
      </c>
      <c r="B79" s="458"/>
      <c r="C79" s="1583">
        <f>911591+6</f>
        <v>911597</v>
      </c>
      <c r="D79" s="1630">
        <v>840</v>
      </c>
      <c r="E79" s="1630">
        <v>17539</v>
      </c>
      <c r="F79" s="1630">
        <v>171960</v>
      </c>
      <c r="G79" s="1630">
        <v>46725</v>
      </c>
      <c r="H79" s="1630">
        <v>13503</v>
      </c>
      <c r="I79" s="1630"/>
      <c r="J79" s="1630">
        <v>40381</v>
      </c>
      <c r="K79" s="1630">
        <v>31888</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723172</v>
      </c>
      <c r="D81" s="1594">
        <f>SUM(D78:D80)</f>
        <v>-17693</v>
      </c>
      <c r="E81" s="1594">
        <f t="shared" ref="E81:K81" si="10">SUM(E78:E80)</f>
        <v>47441</v>
      </c>
      <c r="F81" s="1594">
        <f t="shared" si="10"/>
        <v>233381</v>
      </c>
      <c r="G81" s="1594">
        <f t="shared" si="10"/>
        <v>59359</v>
      </c>
      <c r="H81" s="1594">
        <f t="shared" si="10"/>
        <v>63503</v>
      </c>
      <c r="I81" s="1594">
        <f t="shared" si="10"/>
        <v>0</v>
      </c>
      <c r="J81" s="1594">
        <f t="shared" si="10"/>
        <v>41675</v>
      </c>
      <c r="K81" s="1594">
        <f t="shared" si="10"/>
        <v>38033</v>
      </c>
      <c r="L81" s="325"/>
    </row>
    <row r="82" spans="1:12" ht="0.75" customHeight="1" thickTop="1" thickBot="1" x14ac:dyDescent="0.25">
      <c r="A82" s="459" t="s">
        <v>340</v>
      </c>
      <c r="B82" s="460"/>
      <c r="C82" s="461">
        <f>(C81-C79)</f>
        <v>-188425</v>
      </c>
      <c r="D82" s="461">
        <f t="shared" ref="D82:K82" si="11">(D81-D79)</f>
        <v>-18533</v>
      </c>
      <c r="E82" s="461">
        <f t="shared" si="11"/>
        <v>29902</v>
      </c>
      <c r="F82" s="461">
        <f t="shared" si="11"/>
        <v>61421</v>
      </c>
      <c r="G82" s="461">
        <f t="shared" si="11"/>
        <v>12634</v>
      </c>
      <c r="H82" s="461">
        <f t="shared" si="11"/>
        <v>50000</v>
      </c>
      <c r="I82" s="461">
        <f t="shared" si="11"/>
        <v>0</v>
      </c>
      <c r="J82" s="461">
        <f t="shared" si="11"/>
        <v>1294</v>
      </c>
      <c r="K82" s="461">
        <f t="shared" si="11"/>
        <v>6145</v>
      </c>
    </row>
    <row r="83" spans="1:12" ht="14.25" hidden="1" thickTop="1" thickBot="1" x14ac:dyDescent="0.25">
      <c r="A83" s="462" t="s">
        <v>341</v>
      </c>
      <c r="B83" s="428"/>
      <c r="C83" s="463">
        <f>C82/C81</f>
        <v>-0.2605535059432611</v>
      </c>
      <c r="D83" s="463">
        <f t="shared" ref="D83:K83" si="12">D82/D81</f>
        <v>1.0474764030972701</v>
      </c>
      <c r="E83" s="463">
        <f t="shared" si="12"/>
        <v>0.63029868678990741</v>
      </c>
      <c r="F83" s="463">
        <f t="shared" si="12"/>
        <v>0.26317909341377405</v>
      </c>
      <c r="G83" s="463">
        <f t="shared" si="12"/>
        <v>0.21284051281187352</v>
      </c>
      <c r="H83" s="463">
        <f t="shared" si="12"/>
        <v>0.78736437648615021</v>
      </c>
      <c r="I83" s="463" t="e">
        <f t="shared" si="12"/>
        <v>#DIV/0!</v>
      </c>
      <c r="J83" s="463">
        <f t="shared" si="12"/>
        <v>3.1049790041991602E-2</v>
      </c>
      <c r="K83" s="463">
        <f t="shared" si="12"/>
        <v>0.1615702153393106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6" activePane="bottomLeft" state="frozen"/>
      <selection pane="bottomLeft" activeCell="C203" sqref="C20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701031</v>
      </c>
      <c r="D5" s="1586">
        <v>109467</v>
      </c>
      <c r="E5" s="1573"/>
      <c r="F5" s="1631">
        <v>80741</v>
      </c>
      <c r="G5" s="1573">
        <v>28556</v>
      </c>
      <c r="H5" s="1573">
        <v>0</v>
      </c>
      <c r="I5" s="1573">
        <v>3447</v>
      </c>
      <c r="J5" s="1574">
        <v>32494</v>
      </c>
      <c r="K5" s="1573">
        <v>6895</v>
      </c>
    </row>
    <row r="6" spans="1:12" ht="15" x14ac:dyDescent="0.2">
      <c r="A6" s="427" t="s">
        <v>1643</v>
      </c>
      <c r="B6" s="429">
        <v>1130</v>
      </c>
      <c r="C6" s="1573">
        <v>4039</v>
      </c>
      <c r="D6" s="1573"/>
      <c r="E6" s="1580"/>
      <c r="F6" s="1580"/>
      <c r="G6" s="1575"/>
      <c r="H6" s="1575"/>
      <c r="I6" s="1575"/>
      <c r="J6" s="1575"/>
      <c r="K6" s="1575"/>
    </row>
    <row r="7" spans="1:12" x14ac:dyDescent="0.2">
      <c r="A7" s="427" t="s">
        <v>110</v>
      </c>
      <c r="B7" s="471">
        <v>1140</v>
      </c>
      <c r="C7" s="1573">
        <v>3940</v>
      </c>
      <c r="D7" s="1573"/>
      <c r="E7" s="1575"/>
      <c r="F7" s="1574"/>
      <c r="G7" s="1574"/>
      <c r="H7" s="1574"/>
      <c r="I7" s="1575"/>
      <c r="J7" s="1575"/>
      <c r="K7" s="1575"/>
    </row>
    <row r="8" spans="1:12" x14ac:dyDescent="0.2">
      <c r="A8" s="427" t="s">
        <v>410</v>
      </c>
      <c r="B8" s="429">
        <v>1150</v>
      </c>
      <c r="C8" s="1580"/>
      <c r="D8" s="1580"/>
      <c r="E8" s="1582"/>
      <c r="F8" s="1582"/>
      <c r="G8" s="1586">
        <v>24618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709010</v>
      </c>
      <c r="D12" s="1633">
        <f t="shared" si="0"/>
        <v>109467</v>
      </c>
      <c r="E12" s="1633">
        <f t="shared" si="0"/>
        <v>0</v>
      </c>
      <c r="F12" s="1633">
        <f t="shared" si="0"/>
        <v>80741</v>
      </c>
      <c r="G12" s="1633">
        <f t="shared" si="0"/>
        <v>53174</v>
      </c>
      <c r="H12" s="1633">
        <f t="shared" si="0"/>
        <v>0</v>
      </c>
      <c r="I12" s="1633">
        <f t="shared" si="0"/>
        <v>3447</v>
      </c>
      <c r="J12" s="1633">
        <f t="shared" si="0"/>
        <v>32494</v>
      </c>
      <c r="K12" s="1594">
        <f t="shared" si="0"/>
        <v>6895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26464</v>
      </c>
      <c r="D16" s="1573"/>
      <c r="E16" s="1573"/>
      <c r="F16" s="1573"/>
      <c r="G16" s="1573"/>
      <c r="H16" s="1573"/>
      <c r="I16" s="1573"/>
      <c r="J16" s="1574"/>
      <c r="K16" s="1573"/>
    </row>
    <row r="17" spans="1:11" ht="12.75" customHeight="1" x14ac:dyDescent="0.2">
      <c r="A17" s="427" t="s">
        <v>802</v>
      </c>
      <c r="B17" s="429">
        <v>1290</v>
      </c>
      <c r="C17" s="1632"/>
      <c r="D17" s="1573"/>
      <c r="E17" s="1573">
        <v>0</v>
      </c>
      <c r="F17" s="1573"/>
      <c r="G17" s="1573"/>
      <c r="H17" s="1573"/>
      <c r="I17" s="1573"/>
      <c r="J17" s="1574"/>
      <c r="K17" s="1573"/>
    </row>
    <row r="18" spans="1:11" ht="12.75" customHeight="1" thickBot="1" x14ac:dyDescent="0.25">
      <c r="A18" s="1406" t="s">
        <v>534</v>
      </c>
      <c r="B18" s="1407"/>
      <c r="C18" s="1635">
        <f>SUM(C14:C17)</f>
        <v>26464</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3990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3990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2257</v>
      </c>
      <c r="D65" s="1573">
        <v>5</v>
      </c>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2257</v>
      </c>
      <c r="D67" s="1594">
        <f t="shared" ref="D67:K67" si="2">SUM(D65:D66)</f>
        <v>5</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14365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1263</v>
      </c>
      <c r="D73" s="1575"/>
      <c r="E73" s="1575"/>
      <c r="F73" s="1575"/>
      <c r="G73" s="1575"/>
      <c r="H73" s="1575"/>
      <c r="I73" s="1575"/>
      <c r="J73" s="1575"/>
      <c r="K73" s="1575"/>
    </row>
    <row r="74" spans="1:11" ht="12.75" customHeight="1" x14ac:dyDescent="0.2">
      <c r="A74" s="427" t="s">
        <v>25</v>
      </c>
      <c r="B74" s="429">
        <v>1690</v>
      </c>
      <c r="C74" s="1632">
        <v>508</v>
      </c>
      <c r="D74" s="1575"/>
      <c r="E74" s="1575"/>
      <c r="F74" s="1575"/>
      <c r="G74" s="1575"/>
      <c r="H74" s="1575"/>
      <c r="I74" s="1575"/>
      <c r="J74" s="1575"/>
      <c r="K74" s="1575"/>
    </row>
    <row r="75" spans="1:11" ht="12.75" customHeight="1" thickBot="1" x14ac:dyDescent="0.25">
      <c r="A75" s="1406" t="s">
        <v>544</v>
      </c>
      <c r="B75" s="1407"/>
      <c r="C75" s="1594">
        <f>SUM(C69:C74)</f>
        <v>16136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171</v>
      </c>
      <c r="D81" s="1573"/>
      <c r="E81" s="1575"/>
      <c r="F81" s="1575"/>
      <c r="G81" s="1575"/>
      <c r="H81" s="1575"/>
      <c r="I81" s="1575"/>
      <c r="J81" s="1575"/>
      <c r="K81" s="1575"/>
    </row>
    <row r="82" spans="1:11" ht="12.75" customHeight="1" thickBot="1" x14ac:dyDescent="0.25">
      <c r="A82" s="1406" t="s">
        <v>239</v>
      </c>
      <c r="B82" s="1407"/>
      <c r="C82" s="1633">
        <f>SUM(C77:C81)</f>
        <v>171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v>500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22621</v>
      </c>
      <c r="D98" s="1573"/>
      <c r="E98" s="1612"/>
      <c r="F98" s="1573"/>
      <c r="G98" s="1612"/>
      <c r="H98" s="1612"/>
      <c r="I98" s="1610"/>
      <c r="J98" s="1612"/>
      <c r="K98" s="1612"/>
    </row>
    <row r="99" spans="1:12" ht="12.75" customHeight="1" x14ac:dyDescent="0.2">
      <c r="A99" s="427" t="s">
        <v>816</v>
      </c>
      <c r="B99" s="429">
        <v>1950</v>
      </c>
      <c r="C99" s="1598">
        <v>9428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61111</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1128</v>
      </c>
      <c r="D107" s="1573"/>
      <c r="E107" s="1573"/>
      <c r="F107" s="1573"/>
      <c r="G107" s="1573"/>
      <c r="H107" s="1573"/>
      <c r="I107" s="1573"/>
      <c r="J107" s="1574"/>
      <c r="K107" s="1573"/>
    </row>
    <row r="108" spans="1:12" ht="12.75" customHeight="1" thickBot="1" x14ac:dyDescent="0.25">
      <c r="A108" s="1406" t="s">
        <v>484</v>
      </c>
      <c r="B108" s="1408"/>
      <c r="C108" s="1633">
        <f>SUM(C95:C107)</f>
        <v>33177</v>
      </c>
      <c r="D108" s="1633">
        <f t="shared" ref="D108:K108" si="3">SUM(D95:D107)</f>
        <v>500</v>
      </c>
      <c r="E108" s="1633">
        <f t="shared" si="3"/>
        <v>61111</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791205</v>
      </c>
      <c r="D109" s="1641">
        <f t="shared" si="4"/>
        <v>109972</v>
      </c>
      <c r="E109" s="1641">
        <f t="shared" si="4"/>
        <v>61111</v>
      </c>
      <c r="F109" s="1641">
        <f t="shared" si="4"/>
        <v>80741</v>
      </c>
      <c r="G109" s="1641">
        <f t="shared" si="4"/>
        <v>53174</v>
      </c>
      <c r="H109" s="1641">
        <f t="shared" si="4"/>
        <v>0</v>
      </c>
      <c r="I109" s="1641">
        <f t="shared" si="4"/>
        <v>3447</v>
      </c>
      <c r="J109" s="1641">
        <f t="shared" si="4"/>
        <v>32494</v>
      </c>
      <c r="K109" s="1629">
        <f t="shared" si="4"/>
        <v>6895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254505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254505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394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52341</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52341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v>50000</v>
      </c>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v>0</v>
      </c>
      <c r="I168" s="1656"/>
      <c r="J168" s="1656"/>
      <c r="K168" s="1657"/>
    </row>
    <row r="169" spans="1:11" ht="12.75" customHeight="1" thickTop="1" thickBot="1" x14ac:dyDescent="0.25">
      <c r="A169" s="2251" t="s">
        <v>395</v>
      </c>
      <c r="B169" s="2252"/>
      <c r="C169" s="1658">
        <f t="shared" ref="C169:K169" si="6">SUM(C132,C141,C145,C146:C150,C155,C156:C167,C168)</f>
        <v>394</v>
      </c>
      <c r="D169" s="1658">
        <f t="shared" si="6"/>
        <v>0</v>
      </c>
      <c r="E169" s="1658">
        <f t="shared" si="6"/>
        <v>0</v>
      </c>
      <c r="F169" s="1658">
        <f t="shared" si="6"/>
        <v>52341</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254899</v>
      </c>
      <c r="D170" s="1641">
        <f t="shared" si="7"/>
        <v>0</v>
      </c>
      <c r="E170" s="1641">
        <f t="shared" si="7"/>
        <v>0</v>
      </c>
      <c r="F170" s="1641">
        <f t="shared" si="7"/>
        <v>52341</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23547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5139</v>
      </c>
      <c r="D193" s="1575"/>
      <c r="E193" s="1640"/>
      <c r="F193" s="1575"/>
      <c r="G193" s="1664"/>
      <c r="H193" s="1575"/>
      <c r="I193" s="1575"/>
      <c r="J193" s="1575"/>
      <c r="K193" s="1575"/>
    </row>
    <row r="194" spans="1:11" ht="12.75" customHeight="1" x14ac:dyDescent="0.2">
      <c r="A194" s="427" t="s">
        <v>1434</v>
      </c>
      <c r="B194" s="429">
        <v>4225</v>
      </c>
      <c r="C194" s="1632">
        <v>5046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33732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16632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15000</v>
      </c>
      <c r="D203" s="1573"/>
      <c r="E203" s="1575"/>
      <c r="F203" s="1573"/>
      <c r="G203" s="1573"/>
      <c r="H203" s="1575"/>
      <c r="I203" s="1575"/>
      <c r="J203" s="1575"/>
      <c r="K203" s="1575"/>
    </row>
    <row r="204" spans="1:11" ht="12.75" customHeight="1" thickBot="1" x14ac:dyDescent="0.25">
      <c r="A204" s="1406" t="s">
        <v>397</v>
      </c>
      <c r="B204" s="1407"/>
      <c r="C204" s="1633">
        <f>SUM(C200:C203)</f>
        <v>31632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1500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1979</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68843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68843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1114947</v>
      </c>
      <c r="D268" s="1641">
        <f t="shared" si="12"/>
        <v>109972</v>
      </c>
      <c r="E268" s="1641">
        <f t="shared" si="12"/>
        <v>61111</v>
      </c>
      <c r="F268" s="1641">
        <f t="shared" si="12"/>
        <v>133082</v>
      </c>
      <c r="G268" s="1641">
        <f t="shared" si="12"/>
        <v>53174</v>
      </c>
      <c r="H268" s="1641">
        <f t="shared" si="12"/>
        <v>50000</v>
      </c>
      <c r="I268" s="1641">
        <f t="shared" si="12"/>
        <v>3447</v>
      </c>
      <c r="J268" s="1641">
        <f t="shared" si="12"/>
        <v>32494</v>
      </c>
      <c r="K268" s="1629">
        <f t="shared" si="12"/>
        <v>6895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4" activePane="bottomLeft" state="frozen"/>
      <selection pane="bottomLeft" activeCell="L187" sqref="L18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478938</v>
      </c>
      <c r="D5" s="1573">
        <v>65903</v>
      </c>
      <c r="E5" s="1573">
        <v>29655</v>
      </c>
      <c r="F5" s="1573">
        <v>16487</v>
      </c>
      <c r="G5" s="1573"/>
      <c r="H5" s="1573"/>
      <c r="I5" s="1574"/>
      <c r="J5" s="1574"/>
      <c r="K5" s="1672">
        <f>SUM(C5:J5)</f>
        <v>590983</v>
      </c>
      <c r="L5" s="1573">
        <v>580678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80659</v>
      </c>
      <c r="D8" s="1573">
        <v>12826</v>
      </c>
      <c r="E8" s="1573">
        <v>0</v>
      </c>
      <c r="F8" s="1573">
        <v>409</v>
      </c>
      <c r="G8" s="1573"/>
      <c r="H8" s="1573"/>
      <c r="I8" s="1574"/>
      <c r="J8" s="1574"/>
      <c r="K8" s="1672">
        <f t="shared" si="0"/>
        <v>93894</v>
      </c>
      <c r="L8" s="1573">
        <v>119765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v>10169</v>
      </c>
      <c r="E10" s="1573"/>
      <c r="F10" s="1573"/>
      <c r="G10" s="1573"/>
      <c r="H10" s="1573"/>
      <c r="I10" s="1574"/>
      <c r="J10" s="1574"/>
      <c r="K10" s="1672">
        <f t="shared" si="0"/>
        <v>10169</v>
      </c>
      <c r="L10" s="1573">
        <v>50000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3037</v>
      </c>
      <c r="F13" s="1573"/>
      <c r="G13" s="1573"/>
      <c r="H13" s="1573"/>
      <c r="I13" s="1574"/>
      <c r="J13" s="1574"/>
      <c r="K13" s="1672">
        <f t="shared" si="0"/>
        <v>3037</v>
      </c>
      <c r="L13" s="1573">
        <v>3037</v>
      </c>
    </row>
    <row r="14" spans="1:14" x14ac:dyDescent="0.2">
      <c r="A14" s="1274" t="s">
        <v>957</v>
      </c>
      <c r="B14" s="503">
        <v>1500</v>
      </c>
      <c r="C14" s="1573">
        <v>17989</v>
      </c>
      <c r="D14" s="1573">
        <v>0</v>
      </c>
      <c r="E14" s="1573">
        <v>153</v>
      </c>
      <c r="F14" s="1573">
        <v>965</v>
      </c>
      <c r="G14" s="1573"/>
      <c r="H14" s="1573">
        <v>2762</v>
      </c>
      <c r="I14" s="1574"/>
      <c r="J14" s="1574"/>
      <c r="K14" s="1672">
        <f t="shared" si="0"/>
        <v>21869</v>
      </c>
      <c r="L14" s="1573">
        <v>23300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577586</v>
      </c>
      <c r="D33" s="1674">
        <f t="shared" ref="D33:L33" si="1">SUM(D5:D32)</f>
        <v>88898</v>
      </c>
      <c r="E33" s="1674">
        <f t="shared" si="1"/>
        <v>32845</v>
      </c>
      <c r="F33" s="1674">
        <f t="shared" si="1"/>
        <v>17861</v>
      </c>
      <c r="G33" s="1674">
        <f t="shared" si="1"/>
        <v>0</v>
      </c>
      <c r="H33" s="1674">
        <f t="shared" si="1"/>
        <v>2762</v>
      </c>
      <c r="I33" s="1674">
        <f t="shared" si="1"/>
        <v>0</v>
      </c>
      <c r="J33" s="1674">
        <f t="shared" si="1"/>
        <v>0</v>
      </c>
      <c r="K33" s="1674">
        <f t="shared" si="1"/>
        <v>719952</v>
      </c>
      <c r="L33" s="1674">
        <f t="shared" si="1"/>
        <v>776780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17079</v>
      </c>
      <c r="F40" s="1573"/>
      <c r="G40" s="1573"/>
      <c r="H40" s="1573"/>
      <c r="I40" s="1574"/>
      <c r="J40" s="1574"/>
      <c r="K40" s="1672">
        <f t="shared" si="2"/>
        <v>17079</v>
      </c>
      <c r="L40" s="1573">
        <v>14800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17079</v>
      </c>
      <c r="F42" s="1674">
        <f t="shared" si="3"/>
        <v>0</v>
      </c>
      <c r="G42" s="1674">
        <f t="shared" si="3"/>
        <v>0</v>
      </c>
      <c r="H42" s="1674">
        <f t="shared" si="3"/>
        <v>0</v>
      </c>
      <c r="I42" s="1674">
        <f t="shared" si="3"/>
        <v>0</v>
      </c>
      <c r="J42" s="1674">
        <f t="shared" si="3"/>
        <v>0</v>
      </c>
      <c r="K42" s="1674">
        <f t="shared" si="3"/>
        <v>17079</v>
      </c>
      <c r="L42" s="1674">
        <f t="shared" si="3"/>
        <v>14800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2589</v>
      </c>
      <c r="F44" s="1586"/>
      <c r="G44" s="1586"/>
      <c r="H44" s="1586"/>
      <c r="I44" s="1574"/>
      <c r="J44" s="1574"/>
      <c r="K44" s="1678">
        <f>SUM(C44:J44)</f>
        <v>2589</v>
      </c>
      <c r="L44" s="1586">
        <v>1250</v>
      </c>
    </row>
    <row r="45" spans="1:14" x14ac:dyDescent="0.2">
      <c r="A45" s="1274" t="s">
        <v>810</v>
      </c>
      <c r="B45" s="503">
        <v>2220</v>
      </c>
      <c r="C45" s="1573"/>
      <c r="D45" s="1573"/>
      <c r="E45" s="1573">
        <v>11894</v>
      </c>
      <c r="F45" s="1573">
        <v>749</v>
      </c>
      <c r="G45" s="1573"/>
      <c r="H45" s="1573"/>
      <c r="I45" s="1574"/>
      <c r="J45" s="1574"/>
      <c r="K45" s="1678">
        <f>SUM(C45:J45)</f>
        <v>12643</v>
      </c>
      <c r="L45" s="1573">
        <v>10550</v>
      </c>
    </row>
    <row r="46" spans="1:14" x14ac:dyDescent="0.2">
      <c r="A46" s="1274" t="s">
        <v>811</v>
      </c>
      <c r="B46" s="503">
        <v>2230</v>
      </c>
      <c r="C46" s="1573"/>
      <c r="D46" s="1573"/>
      <c r="E46" s="1573"/>
      <c r="F46" s="1573">
        <v>4185</v>
      </c>
      <c r="G46" s="1573"/>
      <c r="H46" s="1573"/>
      <c r="I46" s="1574"/>
      <c r="J46" s="1574"/>
      <c r="K46" s="1678">
        <f>SUM(C46:J46)</f>
        <v>4185</v>
      </c>
      <c r="L46" s="1573">
        <v>4185</v>
      </c>
    </row>
    <row r="47" spans="1:14" ht="12.75" customHeight="1" thickBot="1" x14ac:dyDescent="0.25">
      <c r="A47" s="1380" t="s">
        <v>557</v>
      </c>
      <c r="B47" s="1381" t="s">
        <v>32</v>
      </c>
      <c r="C47" s="1674">
        <f>SUM(C44:C46)</f>
        <v>0</v>
      </c>
      <c r="D47" s="1674">
        <f t="shared" ref="D47:K47" si="4">SUM(D44:D46)</f>
        <v>0</v>
      </c>
      <c r="E47" s="1674">
        <f t="shared" si="4"/>
        <v>14483</v>
      </c>
      <c r="F47" s="1674">
        <f t="shared" si="4"/>
        <v>4934</v>
      </c>
      <c r="G47" s="1674">
        <f t="shared" si="4"/>
        <v>0</v>
      </c>
      <c r="H47" s="1674">
        <f t="shared" si="4"/>
        <v>0</v>
      </c>
      <c r="I47" s="1674">
        <f t="shared" si="4"/>
        <v>0</v>
      </c>
      <c r="J47" s="1674">
        <f t="shared" si="4"/>
        <v>0</v>
      </c>
      <c r="K47" s="1674">
        <f t="shared" si="4"/>
        <v>19417</v>
      </c>
      <c r="L47" s="1674">
        <f>SUM(L44:L46)</f>
        <v>15985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7933</v>
      </c>
      <c r="F49" s="1586">
        <v>148</v>
      </c>
      <c r="G49" s="1586"/>
      <c r="H49" s="1586">
        <v>3907</v>
      </c>
      <c r="I49" s="1574"/>
      <c r="J49" s="1574"/>
      <c r="K49" s="1678">
        <f>SUM(C49:J49)</f>
        <v>11988</v>
      </c>
      <c r="L49" s="1586">
        <v>12635</v>
      </c>
    </row>
    <row r="50" spans="1:14" x14ac:dyDescent="0.2">
      <c r="A50" s="1274" t="s">
        <v>813</v>
      </c>
      <c r="B50" s="503">
        <v>2320</v>
      </c>
      <c r="C50" s="1573">
        <v>57707</v>
      </c>
      <c r="D50" s="1573">
        <v>13804</v>
      </c>
      <c r="E50" s="1573">
        <v>1875</v>
      </c>
      <c r="F50" s="1573">
        <v>763</v>
      </c>
      <c r="G50" s="1573">
        <v>0</v>
      </c>
      <c r="H50" s="1573">
        <v>1165</v>
      </c>
      <c r="I50" s="1574"/>
      <c r="J50" s="1574"/>
      <c r="K50" s="1678">
        <f>SUM(C50:J50)</f>
        <v>75314</v>
      </c>
      <c r="L50" s="1573">
        <v>78458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57707</v>
      </c>
      <c r="D53" s="1674">
        <f t="shared" ref="D53:L53" si="5">SUM(D49:D52)</f>
        <v>13804</v>
      </c>
      <c r="E53" s="1674">
        <f t="shared" si="5"/>
        <v>9808</v>
      </c>
      <c r="F53" s="1674">
        <f t="shared" si="5"/>
        <v>911</v>
      </c>
      <c r="G53" s="1674">
        <f t="shared" si="5"/>
        <v>0</v>
      </c>
      <c r="H53" s="1674">
        <f t="shared" si="5"/>
        <v>5072</v>
      </c>
      <c r="I53" s="1674">
        <f t="shared" si="5"/>
        <v>0</v>
      </c>
      <c r="J53" s="1674">
        <f t="shared" si="5"/>
        <v>0</v>
      </c>
      <c r="K53" s="1674">
        <f t="shared" si="5"/>
        <v>87302</v>
      </c>
      <c r="L53" s="1674">
        <f t="shared" si="5"/>
        <v>91093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77493</v>
      </c>
      <c r="D55" s="1586">
        <v>4849</v>
      </c>
      <c r="E55" s="1586">
        <v>377</v>
      </c>
      <c r="F55" s="1586">
        <v>183</v>
      </c>
      <c r="G55" s="1586"/>
      <c r="H55" s="1586"/>
      <c r="I55" s="1574"/>
      <c r="J55" s="1574"/>
      <c r="K55" s="1678">
        <f>SUM(C55:J55)</f>
        <v>82902</v>
      </c>
      <c r="L55" s="1586">
        <v>88220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77493</v>
      </c>
      <c r="D57" s="1679">
        <f t="shared" ref="D57:K57" si="6">SUM(D55:D56)</f>
        <v>4849</v>
      </c>
      <c r="E57" s="1679">
        <f t="shared" si="6"/>
        <v>377</v>
      </c>
      <c r="F57" s="1679">
        <f t="shared" si="6"/>
        <v>183</v>
      </c>
      <c r="G57" s="1679">
        <f t="shared" si="6"/>
        <v>0</v>
      </c>
      <c r="H57" s="1679">
        <f t="shared" si="6"/>
        <v>0</v>
      </c>
      <c r="I57" s="1679">
        <f t="shared" si="6"/>
        <v>0</v>
      </c>
      <c r="J57" s="1679">
        <f t="shared" si="6"/>
        <v>0</v>
      </c>
      <c r="K57" s="1679">
        <f t="shared" si="6"/>
        <v>82902</v>
      </c>
      <c r="L57" s="1674">
        <f>SUM(L55:L56)</f>
        <v>88220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40944</v>
      </c>
      <c r="D63" s="1573">
        <v>0</v>
      </c>
      <c r="E63" s="1573">
        <v>1870</v>
      </c>
      <c r="F63" s="1573">
        <v>20775</v>
      </c>
      <c r="G63" s="1573"/>
      <c r="H63" s="1573"/>
      <c r="I63" s="1574"/>
      <c r="J63" s="1574"/>
      <c r="K63" s="1678">
        <f t="shared" si="7"/>
        <v>63589</v>
      </c>
      <c r="L63" s="1573">
        <v>75600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40944</v>
      </c>
      <c r="D65" s="1674">
        <f t="shared" ref="D65:L65" si="8">SUM(D59:D64)</f>
        <v>0</v>
      </c>
      <c r="E65" s="1674">
        <f t="shared" si="8"/>
        <v>1870</v>
      </c>
      <c r="F65" s="1674">
        <f t="shared" si="8"/>
        <v>20775</v>
      </c>
      <c r="G65" s="1674">
        <f t="shared" si="8"/>
        <v>0</v>
      </c>
      <c r="H65" s="1674">
        <f t="shared" si="8"/>
        <v>0</v>
      </c>
      <c r="I65" s="1674">
        <f t="shared" si="8"/>
        <v>0</v>
      </c>
      <c r="J65" s="1674">
        <f t="shared" si="8"/>
        <v>0</v>
      </c>
      <c r="K65" s="1674">
        <f t="shared" si="8"/>
        <v>63589</v>
      </c>
      <c r="L65" s="1674">
        <f t="shared" si="8"/>
        <v>75600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176144</v>
      </c>
      <c r="D74" s="1681">
        <f t="shared" ref="D74:K74" si="10">SUM(D42,D47,D53,D57,D65,D72,D73)</f>
        <v>18653</v>
      </c>
      <c r="E74" s="1681">
        <f t="shared" si="10"/>
        <v>43617</v>
      </c>
      <c r="F74" s="1681">
        <f t="shared" si="10"/>
        <v>26803</v>
      </c>
      <c r="G74" s="1681">
        <f t="shared" si="10"/>
        <v>0</v>
      </c>
      <c r="H74" s="1681">
        <f t="shared" si="10"/>
        <v>5072</v>
      </c>
      <c r="I74" s="1681">
        <f t="shared" si="10"/>
        <v>0</v>
      </c>
      <c r="J74" s="1681">
        <f t="shared" si="10"/>
        <v>0</v>
      </c>
      <c r="K74" s="1681">
        <f t="shared" si="10"/>
        <v>270289</v>
      </c>
      <c r="L74" s="1681">
        <f>SUM(L42,L47,L53,L57,L65,L72,L73)</f>
        <v>285698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16568</v>
      </c>
      <c r="F79" s="1673"/>
      <c r="G79" s="1673"/>
      <c r="H79" s="1573"/>
      <c r="I79" s="1582"/>
      <c r="J79" s="1582"/>
      <c r="K79" s="1672">
        <f t="shared" si="11"/>
        <v>16568</v>
      </c>
      <c r="L79" s="1573">
        <v>24500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23601</v>
      </c>
      <c r="I83" s="1582"/>
      <c r="J83" s="1582"/>
      <c r="K83" s="1672">
        <f t="shared" si="11"/>
        <v>23601</v>
      </c>
      <c r="L83" s="1573">
        <v>24000</v>
      </c>
    </row>
    <row r="84" spans="1:12" ht="13.5" thickBot="1" x14ac:dyDescent="0.25">
      <c r="A84" s="1380" t="s">
        <v>1468</v>
      </c>
      <c r="B84" s="1385">
        <v>4100</v>
      </c>
      <c r="C84" s="1673"/>
      <c r="D84" s="1673"/>
      <c r="E84" s="1674">
        <f>SUM(E78:E83)</f>
        <v>16568</v>
      </c>
      <c r="F84" s="1673"/>
      <c r="G84" s="1673"/>
      <c r="H84" s="1674">
        <f>SUM(H78:H83)</f>
        <v>23601</v>
      </c>
      <c r="I84" s="1582"/>
      <c r="J84" s="1582"/>
      <c r="K84" s="1674">
        <f>SUM(K78:K83)</f>
        <v>40169</v>
      </c>
      <c r="L84" s="1674">
        <f>SUM(L78:L83)</f>
        <v>48500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33262</v>
      </c>
      <c r="I86" s="1582"/>
      <c r="J86" s="1582"/>
      <c r="K86" s="1681">
        <f t="shared" ref="K86:K98" si="12">H86</f>
        <v>33262</v>
      </c>
      <c r="L86" s="1626">
        <v>47500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33262</v>
      </c>
      <c r="I92" s="1582"/>
      <c r="J92" s="1582"/>
      <c r="K92" s="1681">
        <f t="shared" si="12"/>
        <v>33262</v>
      </c>
      <c r="L92" s="1674">
        <f>SUM(L85:L91)</f>
        <v>47500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16568</v>
      </c>
      <c r="F102" s="1673"/>
      <c r="G102" s="1673"/>
      <c r="H102" s="1681">
        <f>SUM(H84,H92,H100,H101)</f>
        <v>56863</v>
      </c>
      <c r="I102" s="1582"/>
      <c r="J102" s="1582"/>
      <c r="K102" s="1681">
        <f>SUM(K84,K92,K100,K101)</f>
        <v>73431</v>
      </c>
      <c r="L102" s="1681">
        <f>SUM(L84,L92,L100,L101)</f>
        <v>96000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753730</v>
      </c>
      <c r="D114" s="1674">
        <f t="shared" ref="D114:K114" si="13">SUM(D33,D74,D75,D102,D112,D113)</f>
        <v>107551</v>
      </c>
      <c r="E114" s="1674">
        <f t="shared" si="13"/>
        <v>93030</v>
      </c>
      <c r="F114" s="1674">
        <f t="shared" si="13"/>
        <v>44664</v>
      </c>
      <c r="G114" s="1674">
        <f t="shared" si="13"/>
        <v>0</v>
      </c>
      <c r="H114" s="1674">
        <f>SUM(H33,H74,H75,H102,H112,H113)</f>
        <v>64697</v>
      </c>
      <c r="I114" s="1674">
        <f t="shared" si="13"/>
        <v>0</v>
      </c>
      <c r="J114" s="1674">
        <f t="shared" si="13"/>
        <v>0</v>
      </c>
      <c r="K114" s="1674">
        <f t="shared" si="13"/>
        <v>1063672</v>
      </c>
      <c r="L114" s="1674">
        <f>SUM(L33,L74,L75,L102,L112,L113)</f>
        <v>1158478</v>
      </c>
    </row>
    <row r="115" spans="1:14" ht="13.5" thickTop="1" x14ac:dyDescent="0.2">
      <c r="A115" s="2263" t="s">
        <v>989</v>
      </c>
      <c r="B115" s="2264"/>
      <c r="C115" s="1675"/>
      <c r="D115" s="1675"/>
      <c r="E115" s="1675"/>
      <c r="F115" s="1675"/>
      <c r="G115" s="1675"/>
      <c r="H115" s="1675"/>
      <c r="I115" s="1675"/>
      <c r="J115" s="1675"/>
      <c r="K115" s="1689">
        <f>'Revenues 9-14'!C268-'Expenditures 15-22'!K114</f>
        <v>51275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47205</v>
      </c>
      <c r="D124" s="1573">
        <v>8386</v>
      </c>
      <c r="E124" s="1573">
        <v>39562</v>
      </c>
      <c r="F124" s="1573">
        <v>35072</v>
      </c>
      <c r="G124" s="1573">
        <v>1727</v>
      </c>
      <c r="H124" s="1573"/>
      <c r="I124" s="1574"/>
      <c r="J124" s="1574"/>
      <c r="K124" s="1674">
        <f>SUM(C124:J124)</f>
        <v>131952</v>
      </c>
      <c r="L124" s="1573">
        <v>147390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47205</v>
      </c>
      <c r="D127" s="1674">
        <f t="shared" ref="D127:L127" si="14">SUM(D122:D126)</f>
        <v>8386</v>
      </c>
      <c r="E127" s="1674">
        <f t="shared" si="14"/>
        <v>39562</v>
      </c>
      <c r="F127" s="1674">
        <f t="shared" si="14"/>
        <v>35072</v>
      </c>
      <c r="G127" s="1674">
        <f t="shared" si="14"/>
        <v>1727</v>
      </c>
      <c r="H127" s="1674">
        <f t="shared" si="14"/>
        <v>0</v>
      </c>
      <c r="I127" s="1674">
        <f t="shared" si="14"/>
        <v>0</v>
      </c>
      <c r="J127" s="1674">
        <f t="shared" si="14"/>
        <v>0</v>
      </c>
      <c r="K127" s="1674">
        <f t="shared" si="14"/>
        <v>131952</v>
      </c>
      <c r="L127" s="1674">
        <f t="shared" si="14"/>
        <v>147390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47205</v>
      </c>
      <c r="D129" s="1681">
        <f t="shared" ref="D129:L129" si="15">SUM(D120,D127,D128)</f>
        <v>8386</v>
      </c>
      <c r="E129" s="1681">
        <f t="shared" si="15"/>
        <v>39562</v>
      </c>
      <c r="F129" s="1681">
        <f t="shared" si="15"/>
        <v>35072</v>
      </c>
      <c r="G129" s="1681">
        <f t="shared" si="15"/>
        <v>1727</v>
      </c>
      <c r="H129" s="1681">
        <f t="shared" si="15"/>
        <v>0</v>
      </c>
      <c r="I129" s="1681">
        <f t="shared" si="15"/>
        <v>0</v>
      </c>
      <c r="J129" s="1681">
        <f t="shared" si="15"/>
        <v>0</v>
      </c>
      <c r="K129" s="1681">
        <f t="shared" si="15"/>
        <v>131952</v>
      </c>
      <c r="L129" s="1681">
        <f t="shared" si="15"/>
        <v>147390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47205</v>
      </c>
      <c r="D151" s="1674">
        <f t="shared" ref="D151:K151" si="16">SUM(D129,D130,D139,D149,D150)</f>
        <v>8386</v>
      </c>
      <c r="E151" s="1674">
        <f t="shared" si="16"/>
        <v>39562</v>
      </c>
      <c r="F151" s="1674">
        <f t="shared" si="16"/>
        <v>35072</v>
      </c>
      <c r="G151" s="1674">
        <f t="shared" si="16"/>
        <v>1727</v>
      </c>
      <c r="H151" s="1674">
        <f t="shared" si="16"/>
        <v>0</v>
      </c>
      <c r="I151" s="1674">
        <f t="shared" si="16"/>
        <v>0</v>
      </c>
      <c r="J151" s="1674">
        <f t="shared" si="16"/>
        <v>0</v>
      </c>
      <c r="K151" s="1674">
        <f t="shared" si="16"/>
        <v>131952</v>
      </c>
      <c r="L151" s="1674">
        <f>SUM(L129,L130,L139,L149,L150)</f>
        <v>147390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-21980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825</v>
      </c>
      <c r="I169" s="1673"/>
      <c r="J169" s="1673"/>
      <c r="K169" s="1672">
        <f>SUM(C169:H169)</f>
        <v>825</v>
      </c>
      <c r="L169" s="1695">
        <v>960</v>
      </c>
    </row>
    <row r="170" spans="1:14" ht="33.75" customHeight="1" x14ac:dyDescent="0.2">
      <c r="A170" s="543" t="s">
        <v>1651</v>
      </c>
      <c r="B170" s="545" t="s">
        <v>31</v>
      </c>
      <c r="C170" s="1673"/>
      <c r="D170" s="1673"/>
      <c r="E170" s="1673"/>
      <c r="F170" s="1673"/>
      <c r="G170" s="1673"/>
      <c r="H170" s="1646">
        <v>269700</v>
      </c>
      <c r="I170" s="1673"/>
      <c r="J170" s="1673"/>
      <c r="K170" s="1672">
        <f>SUM(C170:J170)</f>
        <v>269700</v>
      </c>
      <c r="L170" s="1646">
        <v>30000</v>
      </c>
    </row>
    <row r="171" spans="1:14" ht="15.75" customHeight="1" x14ac:dyDescent="0.2">
      <c r="A171" s="507" t="s">
        <v>761</v>
      </c>
      <c r="B171" s="546" t="s">
        <v>84</v>
      </c>
      <c r="C171" s="1673"/>
      <c r="D171" s="1673"/>
      <c r="E171" s="1573"/>
      <c r="F171" s="1673"/>
      <c r="G171" s="1673"/>
      <c r="H171" s="1646">
        <v>384</v>
      </c>
      <c r="I171" s="1582"/>
      <c r="J171" s="1673"/>
      <c r="K171" s="1672">
        <f>SUM(C171:J171)</f>
        <v>384</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270909</v>
      </c>
      <c r="I172" s="1684"/>
      <c r="J172" s="1673"/>
      <c r="K172" s="1681">
        <f>SUM(K168,K169,K170,K171)</f>
        <v>270909</v>
      </c>
      <c r="L172" s="1681">
        <f>SUM(L168,L169,L170,L171)</f>
        <v>30960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270909</v>
      </c>
      <c r="I174" s="1684"/>
      <c r="J174" s="1673"/>
      <c r="K174" s="1681">
        <f>SUM(K160,K172,K173)</f>
        <v>270909</v>
      </c>
      <c r="L174" s="1681">
        <f>SUM(L160,L172,L173)</f>
        <v>30960</v>
      </c>
    </row>
    <row r="175" spans="1:14" ht="13.5" thickTop="1" x14ac:dyDescent="0.2">
      <c r="A175" s="2263" t="s">
        <v>989</v>
      </c>
      <c r="B175" s="2264"/>
      <c r="C175" s="1673"/>
      <c r="D175" s="1673"/>
      <c r="E175" s="1673"/>
      <c r="F175" s="1673"/>
      <c r="G175" s="1673"/>
      <c r="H175" s="1675"/>
      <c r="I175" s="1673"/>
      <c r="J175" s="1673"/>
      <c r="K175" s="1689">
        <f>'Revenues 9-14'!E268-'Expenditures 15-22'!K174</f>
        <v>-209798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71661</v>
      </c>
      <c r="F182" s="1573"/>
      <c r="G182" s="1573"/>
      <c r="H182" s="1573"/>
      <c r="I182" s="1574"/>
      <c r="J182" s="1574"/>
      <c r="K182" s="1672">
        <f>SUM(C182:J182)</f>
        <v>71661</v>
      </c>
      <c r="L182" s="1573">
        <v>82200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71661</v>
      </c>
      <c r="F184" s="1681">
        <f t="shared" si="17"/>
        <v>0</v>
      </c>
      <c r="G184" s="1681">
        <f t="shared" si="17"/>
        <v>0</v>
      </c>
      <c r="H184" s="1681">
        <f t="shared" si="17"/>
        <v>0</v>
      </c>
      <c r="I184" s="1681">
        <f t="shared" si="17"/>
        <v>0</v>
      </c>
      <c r="J184" s="1681">
        <f t="shared" si="17"/>
        <v>0</v>
      </c>
      <c r="K184" s="1681">
        <f>SUM(K180,K182,K183)</f>
        <v>71661</v>
      </c>
      <c r="L184" s="1681">
        <f>SUM(L180, L182:L183)</f>
        <v>82200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71661</v>
      </c>
      <c r="F210" s="1674">
        <f>SUM(F184,F185)</f>
        <v>0</v>
      </c>
      <c r="G210" s="1674">
        <f>SUM(G184,G185)</f>
        <v>0</v>
      </c>
      <c r="H210" s="1674">
        <f>SUM(H184,H185,H196,H208,H209)</f>
        <v>0</v>
      </c>
      <c r="I210" s="1674">
        <f>SUM(I184,I185)</f>
        <v>0</v>
      </c>
      <c r="J210" s="1674">
        <f>SUM(J184,J185)</f>
        <v>0</v>
      </c>
      <c r="K210" s="1672">
        <f>SUM(K184,K185,K196,K208,K209)</f>
        <v>71661</v>
      </c>
      <c r="L210" s="1674">
        <f>SUM(L184,L185,L196,L208,L209)</f>
        <v>82200</v>
      </c>
    </row>
    <row r="211" spans="1:14" ht="13.5" thickTop="1" x14ac:dyDescent="0.2">
      <c r="A211" s="2263" t="s">
        <v>989</v>
      </c>
      <c r="B211" s="2264"/>
      <c r="C211" s="1675"/>
      <c r="D211" s="1675"/>
      <c r="E211" s="1675"/>
      <c r="F211" s="1675"/>
      <c r="G211" s="1675"/>
      <c r="H211" s="1675"/>
      <c r="I211" s="1673"/>
      <c r="J211" s="1673"/>
      <c r="K211" s="1689">
        <f>'Revenues 9-14'!F268-'Expenditures 15-22'!K210</f>
        <v>61421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6833</v>
      </c>
      <c r="E215" s="1673"/>
      <c r="F215" s="1673"/>
      <c r="G215" s="1673"/>
      <c r="H215" s="1673"/>
      <c r="I215" s="1673"/>
      <c r="J215" s="1673"/>
      <c r="K215" s="1672">
        <f>D215</f>
        <v>6833</v>
      </c>
      <c r="L215" s="1573">
        <v>7600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5112</v>
      </c>
      <c r="E217" s="1673"/>
      <c r="F217" s="1673"/>
      <c r="G217" s="1673"/>
      <c r="H217" s="1673"/>
      <c r="I217" s="1673"/>
      <c r="J217" s="1673"/>
      <c r="K217" s="1672">
        <f t="shared" si="19"/>
        <v>5112</v>
      </c>
      <c r="L217" s="1573">
        <v>9000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1274</v>
      </c>
      <c r="E223" s="1673"/>
      <c r="F223" s="1673"/>
      <c r="G223" s="1673"/>
      <c r="H223" s="1673"/>
      <c r="I223" s="1673"/>
      <c r="J223" s="1673"/>
      <c r="K223" s="1672">
        <f t="shared" si="19"/>
        <v>1274</v>
      </c>
      <c r="L223" s="1573">
        <v>1600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13219</v>
      </c>
      <c r="E229" s="1673"/>
      <c r="F229" s="1673"/>
      <c r="G229" s="1673"/>
      <c r="H229" s="1673"/>
      <c r="I229" s="1673"/>
      <c r="J229" s="1673"/>
      <c r="K229" s="1674">
        <f>SUM(K215:K228)</f>
        <v>13219</v>
      </c>
      <c r="L229" s="1674">
        <f>SUM(L215:L228)</f>
        <v>18200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4571</v>
      </c>
      <c r="E246" s="1673"/>
      <c r="F246" s="1673"/>
      <c r="G246" s="1673"/>
      <c r="H246" s="1673"/>
      <c r="I246" s="1673"/>
      <c r="J246" s="1673"/>
      <c r="K246" s="1678">
        <f t="shared" ref="K246:K256" si="21">D246</f>
        <v>4571</v>
      </c>
      <c r="L246" s="1573">
        <v>4150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4571</v>
      </c>
      <c r="E257" s="1673"/>
      <c r="F257" s="1673"/>
      <c r="G257" s="1673"/>
      <c r="H257" s="1673"/>
      <c r="I257" s="1673"/>
      <c r="J257" s="1673"/>
      <c r="K257" s="1674">
        <f>SUM(K245:K256)</f>
        <v>4571</v>
      </c>
      <c r="L257" s="1674">
        <f>SUM(L245:L256)</f>
        <v>4150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5541</v>
      </c>
      <c r="E259" s="1673"/>
      <c r="F259" s="1673"/>
      <c r="G259" s="1673"/>
      <c r="H259" s="1673"/>
      <c r="I259" s="1673"/>
      <c r="J259" s="1673"/>
      <c r="K259" s="1678">
        <f>D259</f>
        <v>5541</v>
      </c>
      <c r="L259" s="1586">
        <v>6300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5541</v>
      </c>
      <c r="E261" s="1673"/>
      <c r="F261" s="1673"/>
      <c r="G261" s="1673"/>
      <c r="H261" s="1673"/>
      <c r="I261" s="1673"/>
      <c r="J261" s="1673"/>
      <c r="K261" s="1674">
        <f>SUM(K259:K260)</f>
        <v>5541</v>
      </c>
      <c r="L261" s="1674">
        <f>SUM(L259:L260)</f>
        <v>6300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9241</v>
      </c>
      <c r="E266" s="1673"/>
      <c r="F266" s="1673"/>
      <c r="G266" s="1673"/>
      <c r="H266" s="1673"/>
      <c r="I266" s="1673"/>
      <c r="J266" s="1673"/>
      <c r="K266" s="1678">
        <f t="shared" si="22"/>
        <v>9241</v>
      </c>
      <c r="L266" s="1573">
        <v>8500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7968</v>
      </c>
      <c r="E268" s="1673"/>
      <c r="F268" s="1673"/>
      <c r="G268" s="1673"/>
      <c r="H268" s="1673"/>
      <c r="I268" s="1673"/>
      <c r="J268" s="1673"/>
      <c r="K268" s="1678">
        <f t="shared" si="22"/>
        <v>7968</v>
      </c>
      <c r="L268" s="1573">
        <v>8100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17209</v>
      </c>
      <c r="E270" s="1673"/>
      <c r="F270" s="1673"/>
      <c r="G270" s="1673"/>
      <c r="H270" s="1673"/>
      <c r="I270" s="1673"/>
      <c r="J270" s="1673"/>
      <c r="K270" s="1674">
        <f>SUM(K263:K269)</f>
        <v>17209</v>
      </c>
      <c r="L270" s="1674">
        <f>SUM(L263:L269)</f>
        <v>16600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27321</v>
      </c>
      <c r="E279" s="1673"/>
      <c r="F279" s="1673"/>
      <c r="G279" s="1673"/>
      <c r="H279" s="1673"/>
      <c r="I279" s="1673"/>
      <c r="J279" s="1673"/>
      <c r="K279" s="1681">
        <f>SUM(K238,K243,K257,K261,K270,K277,K278)</f>
        <v>27321</v>
      </c>
      <c r="L279" s="1681">
        <f>SUM(L238,L243,L257,L261,L270,L277,L278)</f>
        <v>27050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40540</v>
      </c>
      <c r="E295" s="1673"/>
      <c r="F295" s="1673"/>
      <c r="G295" s="1673"/>
      <c r="H295" s="1674">
        <f>H293</f>
        <v>0</v>
      </c>
      <c r="I295" s="1673"/>
      <c r="J295" s="1673"/>
      <c r="K295" s="1674">
        <f>SUM(K229,K279,K280,K285,K293,K294)</f>
        <v>40540</v>
      </c>
      <c r="L295" s="1674">
        <f>SUM(L229,L279,L280,L285,L293,L294)</f>
        <v>45250</v>
      </c>
    </row>
    <row r="296" spans="1:14" ht="13.5" thickTop="1" x14ac:dyDescent="0.2">
      <c r="A296" s="2263" t="s">
        <v>989</v>
      </c>
      <c r="B296" s="2264"/>
      <c r="C296" s="1673"/>
      <c r="D296" s="1675"/>
      <c r="E296" s="1673"/>
      <c r="F296" s="1673"/>
      <c r="G296" s="1673"/>
      <c r="H296" s="1707"/>
      <c r="I296" s="1673"/>
      <c r="J296" s="1673"/>
      <c r="K296" s="1689">
        <f>'Revenues 9-14'!G268-'Expenditures 15-22'!K295</f>
        <v>12634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10000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10000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10000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50000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v>11788</v>
      </c>
      <c r="E320" s="1574"/>
      <c r="F320" s="1574"/>
      <c r="G320" s="1574"/>
      <c r="H320" s="1574"/>
      <c r="I320" s="1574"/>
      <c r="J320" s="1574"/>
      <c r="K320" s="1672">
        <f t="shared" ref="K320:K327" si="24">SUM(C320:J320)</f>
        <v>11788</v>
      </c>
      <c r="L320" s="1574">
        <v>15000</v>
      </c>
      <c r="M320" s="539"/>
      <c r="N320" s="539"/>
    </row>
    <row r="321" spans="1:14" s="548" customFormat="1" x14ac:dyDescent="0.2">
      <c r="A321" s="1289" t="s">
        <v>297</v>
      </c>
      <c r="B321" s="567" t="s">
        <v>281</v>
      </c>
      <c r="C321" s="1574"/>
      <c r="D321" s="1574"/>
      <c r="E321" s="1574">
        <v>6978</v>
      </c>
      <c r="F321" s="1574"/>
      <c r="G321" s="1574"/>
      <c r="H321" s="1574"/>
      <c r="I321" s="1574"/>
      <c r="J321" s="1574"/>
      <c r="K321" s="1672">
        <f t="shared" si="24"/>
        <v>6978</v>
      </c>
      <c r="L321" s="1574">
        <v>3000</v>
      </c>
      <c r="M321" s="539"/>
      <c r="N321" s="539"/>
    </row>
    <row r="322" spans="1:14" s="548" customFormat="1" x14ac:dyDescent="0.2">
      <c r="A322" s="1289" t="s">
        <v>236</v>
      </c>
      <c r="B322" s="567" t="s">
        <v>282</v>
      </c>
      <c r="C322" s="1574"/>
      <c r="D322" s="1574"/>
      <c r="E322" s="1574">
        <v>12434</v>
      </c>
      <c r="F322" s="1574"/>
      <c r="G322" s="1574"/>
      <c r="H322" s="1574"/>
      <c r="I322" s="1574"/>
      <c r="J322" s="1574"/>
      <c r="K322" s="1672">
        <f t="shared" si="24"/>
        <v>12434</v>
      </c>
      <c r="L322" s="1574">
        <v>13000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11788</v>
      </c>
      <c r="E330" s="1674">
        <f t="shared" si="25"/>
        <v>19412</v>
      </c>
      <c r="F330" s="1674">
        <f t="shared" si="25"/>
        <v>0</v>
      </c>
      <c r="G330" s="1674">
        <f t="shared" si="25"/>
        <v>0</v>
      </c>
      <c r="H330" s="1674">
        <f t="shared" si="25"/>
        <v>0</v>
      </c>
      <c r="I330" s="1674">
        <f t="shared" si="25"/>
        <v>0</v>
      </c>
      <c r="J330" s="1674">
        <f t="shared" si="25"/>
        <v>0</v>
      </c>
      <c r="K330" s="1674">
        <f>SUM(K319:K329)</f>
        <v>31200</v>
      </c>
      <c r="L330" s="1674">
        <f>SUM(L319:L329)</f>
        <v>31000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11788</v>
      </c>
      <c r="E342" s="1674">
        <f>SUM(E330)</f>
        <v>19412</v>
      </c>
      <c r="F342" s="1674">
        <f>SUM(F330)</f>
        <v>0</v>
      </c>
      <c r="G342" s="1674">
        <f>SUM(G330)</f>
        <v>0</v>
      </c>
      <c r="H342" s="1674">
        <f>SUM(H330,H334,H340)</f>
        <v>0</v>
      </c>
      <c r="I342" s="1674">
        <f>SUM(I330)</f>
        <v>0</v>
      </c>
      <c r="J342" s="1674">
        <f>SUM(J330)</f>
        <v>0</v>
      </c>
      <c r="K342" s="1674">
        <f>SUM(K330,K334,K340)</f>
        <v>31200</v>
      </c>
      <c r="L342" s="1681">
        <f>SUM(L330,L334,L340,L341)</f>
        <v>31000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1294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750</v>
      </c>
      <c r="F349" s="1573"/>
      <c r="G349" s="1573"/>
      <c r="H349" s="1573"/>
      <c r="I349" s="1574"/>
      <c r="J349" s="1574"/>
      <c r="K349" s="1672">
        <f>SUM(C349:J349)</f>
        <v>750</v>
      </c>
      <c r="L349" s="1573">
        <v>4700</v>
      </c>
    </row>
    <row r="350" spans="1:14" ht="12.75" customHeight="1" thickBot="1" x14ac:dyDescent="0.25">
      <c r="A350" s="1380" t="s">
        <v>714</v>
      </c>
      <c r="B350" s="1381" t="s">
        <v>35</v>
      </c>
      <c r="C350" s="1674">
        <f>SUM(C348:C349)</f>
        <v>0</v>
      </c>
      <c r="D350" s="1674">
        <f t="shared" ref="D350:L350" si="26">SUM(D348:D349)</f>
        <v>0</v>
      </c>
      <c r="E350" s="1674">
        <f t="shared" si="26"/>
        <v>750</v>
      </c>
      <c r="F350" s="1674">
        <f t="shared" si="26"/>
        <v>0</v>
      </c>
      <c r="G350" s="1674">
        <f t="shared" si="26"/>
        <v>0</v>
      </c>
      <c r="H350" s="1674">
        <f t="shared" si="26"/>
        <v>0</v>
      </c>
      <c r="I350" s="1674">
        <f t="shared" si="26"/>
        <v>0</v>
      </c>
      <c r="J350" s="1674">
        <f t="shared" si="26"/>
        <v>0</v>
      </c>
      <c r="K350" s="1674">
        <f t="shared" si="26"/>
        <v>750</v>
      </c>
      <c r="L350" s="1674">
        <f t="shared" si="26"/>
        <v>4700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750</v>
      </c>
      <c r="F352" s="1674">
        <f t="shared" si="27"/>
        <v>0</v>
      </c>
      <c r="G352" s="1674">
        <f t="shared" si="27"/>
        <v>0</v>
      </c>
      <c r="H352" s="1674">
        <f t="shared" si="27"/>
        <v>0</v>
      </c>
      <c r="I352" s="1674">
        <f t="shared" si="27"/>
        <v>0</v>
      </c>
      <c r="J352" s="1674">
        <f t="shared" si="27"/>
        <v>0</v>
      </c>
      <c r="K352" s="1674">
        <f t="shared" si="27"/>
        <v>750</v>
      </c>
      <c r="L352" s="1674">
        <f t="shared" si="27"/>
        <v>4700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750</v>
      </c>
      <c r="F367" s="1674">
        <f t="shared" si="28"/>
        <v>0</v>
      </c>
      <c r="G367" s="1674">
        <f t="shared" si="28"/>
        <v>0</v>
      </c>
      <c r="H367" s="1674">
        <f t="shared" si="28"/>
        <v>0</v>
      </c>
      <c r="I367" s="1674">
        <f t="shared" si="28"/>
        <v>0</v>
      </c>
      <c r="J367" s="1674">
        <f t="shared" si="28"/>
        <v>0</v>
      </c>
      <c r="K367" s="1674">
        <f t="shared" si="28"/>
        <v>750</v>
      </c>
      <c r="L367" s="1674">
        <f t="shared" si="28"/>
        <v>4700</v>
      </c>
    </row>
    <row r="368" spans="1:14" ht="13.5" thickTop="1" x14ac:dyDescent="0.2">
      <c r="A368" s="2263" t="s">
        <v>989</v>
      </c>
      <c r="B368" s="2264"/>
      <c r="C368" s="1694"/>
      <c r="D368" s="1694"/>
      <c r="E368" s="1677"/>
      <c r="F368" s="1677"/>
      <c r="G368" s="1677"/>
      <c r="H368" s="1677"/>
      <c r="I368" s="1677"/>
      <c r="J368" s="1676"/>
      <c r="K368" s="1672">
        <f>'Revenues 9-14'!K268-'Expenditures 15-22'!K367</f>
        <v>6145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d21dc803-237d-4c68-8692-8d731fd29118"/>
    <ds:schemaRef ds:uri="http://schemas.microsoft.com/office/2006/documentManagement/types"/>
    <ds:schemaRef ds:uri="http://schemas.microsoft.com/office/2006/metadata/properties"/>
    <ds:schemaRef ds:uri="http://schemas.microsoft.com/sharepoint/v3"/>
    <ds:schemaRef ds:uri="http://purl.org/dc/terms/"/>
    <ds:schemaRef ds:uri="http://schemas.microsoft.com/office/infopath/2007/PartnerControls"/>
    <ds:schemaRef ds:uri="http://schemas.openxmlformats.org/package/2006/metadata/core-properties"/>
    <ds:schemaRef ds:uri="4d435f69-8686-490b-bd6d-b153bf22ab50"/>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2020-09-02T14:32:15Z</cp:lastPrinted>
  <dcterms:created xsi:type="dcterms:W3CDTF">2003-10-29T19:06:34Z</dcterms:created>
  <dcterms:modified xsi:type="dcterms:W3CDTF">2020-09-23T15:05:13Z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