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21D8329-D343-484F-96A4-76816D31857A}" xr6:coauthVersionLast="36" xr6:coauthVersionMax="36" xr10:uidLastSave="{00000000-0000-0000-0000-000000000000}"/>
  <bookViews>
    <workbookView xWindow="0" yWindow="0" windowWidth="20490" windowHeight="762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C39" i="145" l="1"/>
  <c r="C33" i="145"/>
  <c r="K18" i="145" l="1"/>
  <c r="K17" i="145"/>
  <c r="K16" i="145"/>
  <c r="K15" i="145"/>
  <c r="K14" i="145"/>
  <c r="K13" i="145"/>
  <c r="K12" i="145"/>
  <c r="J19" i="145"/>
  <c r="B7885" i="106" l="1"/>
  <c r="D7885" i="106" s="1"/>
  <c r="B7884" i="106"/>
  <c r="B7883" i="106"/>
  <c r="D7883" i="106" s="1"/>
  <c r="B7882" i="106"/>
  <c r="D7882" i="106" s="1"/>
  <c r="D7884"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D24" i="37"/>
  <c r="B4270" i="106" s="1"/>
  <c r="D4270" i="106" s="1"/>
  <c r="B5752" i="106"/>
  <c r="D5752" i="106" s="1"/>
  <c r="L22" i="37" l="1"/>
  <c r="F42" i="34"/>
  <c r="G35" i="108"/>
  <c r="C342" i="29"/>
  <c r="B7216" i="106" s="1"/>
  <c r="D7216" i="106" s="1"/>
  <c r="B2836" i="106"/>
  <c r="D283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L16" i="11"/>
  <c r="B2061" i="106" s="1"/>
  <c r="D2061"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1328" i="106" l="1"/>
  <c r="D1328" i="106" s="1"/>
  <c r="K77" i="4"/>
  <c r="B3587" i="106" s="1"/>
  <c r="D3587" i="106" s="1"/>
  <c r="E367" i="29"/>
  <c r="B3636" i="106" s="1"/>
  <c r="D3636" i="106" s="1"/>
  <c r="B3635" i="106"/>
  <c r="B7215" i="106"/>
  <c r="D7215" i="106" s="1"/>
  <c r="N23" i="3"/>
  <c r="B284" i="106" s="1"/>
  <c r="D284" i="106" s="1"/>
  <c r="B7220" i="106"/>
  <c r="D7220" i="106" s="1"/>
  <c r="F75" i="34"/>
  <c r="B7886" i="106" s="1"/>
  <c r="D7886" i="106" s="1"/>
  <c r="B7222" i="106"/>
  <c r="D7222" i="106" s="1"/>
  <c r="F76" i="34"/>
  <c r="B7887" i="106" s="1"/>
  <c r="D7887" i="106" s="1"/>
  <c r="B7235" i="106"/>
  <c r="D7235"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1145" i="106" l="1"/>
  <c r="D1145"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10" i="4"/>
  <c r="B6225" i="106" s="1"/>
  <c r="D6225" i="106" s="1"/>
  <c r="B6223" i="106"/>
  <c r="D6223"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<sst xmlns="http://schemas.openxmlformats.org/spreadsheetml/2006/main" count="5101" uniqueCount="2042">
  <si>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</si>
  <si>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</si>
  <si>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</si>
  <si>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</si>
  <si>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</si>
  <si>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</si>
  <si>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</si>
  <si>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</si>
  <si>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</si>
  <si>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</si>
  <si>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</si>
  <si>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</si>
  <si>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</si>
  <si>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</si>
  <si>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</si>
  <si>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</si>
  <si>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</si>
  <si>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</si>
  <si>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</si>
  <si>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</si>
  <si>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</si>
  <si>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</si>
  <si>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</si>
  <si>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</si>
  <si>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</si>
  <si>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</si>
  <si>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</si>
  <si>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</si>
  <si>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</si>
  <si>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</si>
  <si>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</si>
  <si>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</si>
  <si>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</si>
  <si>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</si>
  <si>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</si>
  <si>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</si>
  <si>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</si>
  <si>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</si>
  <si>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</si>
  <si>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</si>
  <si>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</si>
  <si>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</si>
  <si>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</si>
  <si>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</si>
  <si>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</si>
  <si>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</si>
  <si>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</si>
  <si>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</si>
  <si>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</si>
  <si>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</si>
  <si>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</si>
  <si>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</si>
  <si>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</si>
  <si>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</si>
  <si>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</si>
  <si>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</si>
  <si>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</si>
  <si>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</si>
  <si>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</si>
  <si>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</si>
  <si>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</si>
  <si>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</si>
  <si>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</si>
  <si>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</si>
  <si>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</si>
  <si>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</si>
  <si>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</si>
  <si>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</si>
  <si>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</si>
  <si>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</si>
  <si>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</si>
  <si>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</si>
  <si>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</si>
  <si>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</si>
  <si>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</si>
  <si>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</si>
  <si>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</si>
  <si>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</si>
  <si>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</si>
  <si>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</si>
  <si>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</si>
  <si>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</si>
  <si>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</si>
  <si>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</si>
  <si>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</si>
  <si>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</si>
  <si>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</si>
  <si>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</si>
  <si>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</si>
  <si>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</si>
  <si>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</si>
  <si>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</si>
  <si>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</si>
  <si>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</si>
  <si>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</si>
  <si>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</si>
  <si>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</si>
  <si>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</si>
  <si>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</si>
  <si>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</si>
  <si>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</si>
  <si>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</si>
  <si>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</si>
  <si>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</si>
  <si>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</si>
  <si>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</si>
  <si>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</si>
  <si>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</si>
  <si>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</si>
  <si>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</si>
  <si>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</si>
  <si>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</si>
  <si>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</si>
  <si>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</si>
  <si>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</si>
  <si>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</si>
  <si>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</si>
  <si>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</si>
  <si>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</si>
  <si>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</si>
  <si>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</si>
  <si>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</si>
  <si>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</si>
  <si>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</si>
  <si>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</si>
  <si>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</si>
  <si>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</si>
  <si>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</si>
  <si>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</si>
  <si>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</si>
  <si>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</si>
  <si>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</si>
  <si>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</si>
  <si>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</si>
  <si>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</si>
  <si>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</si>
  <si>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</si>
  <si>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</si>
  <si>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</si>
  <si>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</si>
  <si>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</si>
  <si>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</si>
  <si>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</si>
  <si>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</si>
  <si>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</si>
  <si>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</si>
  <si>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</si>
  <si>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</si>
  <si>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</si>
  <si>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</si>
  <si>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</si>
  <si>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</si>
  <si>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</si>
  <si>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</si>
  <si>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</si>
  <si>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</si>
  <si>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</si>
  <si>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</si>
  <si>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</si>
  <si>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</si>
  <si>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</si>
  <si>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</si>
  <si>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</si>
  <si>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</si>
  <si>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</si>
  <si>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</si>
  <si>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</si>
  <si>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</si>
  <si>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</si>
  <si>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</si>
  <si>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</si>
  <si>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</si>
  <si>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</si>
  <si>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</si>
  <si>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</si>
  <si>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</si>
  <si>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</si>
  <si>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</si>
  <si>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</si>
  <si>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</si>
  <si>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</si>
  <si>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</si>
  <si>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</si>
  <si>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</si>
  <si>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</si>
  <si>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</si>
  <si>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</si>
  <si>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</si>
  <si>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</si>
  <si>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</si>
  <si>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</si>
  <si>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</si>
  <si>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</si>
  <si>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</si>
  <si>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</si>
  <si>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</si>
  <si>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</si>
  <si>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</si>
  <si>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</si>
  <si>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</si>
  <si>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</si>
  <si>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</si>
  <si>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</si>
  <si>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</si>
  <si>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</si>
  <si>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</si>
  <si>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</si>
  <si>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</si>
  <si>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</si>
  <si>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</si>
  <si>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</si>
  <si>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</si>
  <si>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</si>
  <si>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</si>
  <si>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</si>
  <si>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</si>
  <si>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</si>
  <si>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</si>
  <si>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</si>
  <si>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</si>
  <si>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</si>
  <si>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</si>
  <si>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</si>
  <si>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</si>
  <si>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</si>
  <si>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</si>
  <si>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</si>
  <si>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</si>
  <si>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</si>
  <si>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</si>
  <si>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</si>
  <si>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</si>
  <si>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</si>
  <si>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</si>
  <si>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</si>
  <si>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</si>
  <si>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</si>
  <si>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</si>
  <si>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</si>
  <si>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</si>
  <si>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</si>
  <si>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</si>
  <si>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</si>
  <si>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</si>
  <si>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</si>
  <si>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</si>
  <si>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</si>
  <si>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</si>
  <si>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</si>
  <si>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</si>
  <si>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</si>
  <si>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</si>
  <si>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</si>
  <si>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</si>
  <si>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</si>
  <si>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</si>
  <si>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</si>
  <si>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</si>
  <si>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</si>
  <si>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</si>
  <si>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</si>
  <si>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</si>
  <si>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</si>
  <si>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</si>
  <si>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</si>
  <si>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</si>
  <si>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</si>
  <si>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</si>
  <si>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</si>
  <si>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</si>
  <si>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</si>
  <si>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</si>
  <si>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</si>
  <si>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</si>
  <si>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</si>
  <si>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</si>
  <si>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</si>
  <si>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</si>
  <si>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</si>
  <si>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</si>
  <si>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</si>
  <si>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</si>
  <si>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</si>
  <si>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</si>
  <si>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</si>
  <si>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</si>
  <si>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</si>
  <si>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</si>
  <si>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</si>
  <si>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</si>
  <si>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</si>
  <si>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</si>
  <si>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</si>
  <si>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</si>
  <si>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</si>
  <si>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</si>
  <si>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</si>
  <si>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</si>
  <si>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</si>
  <si>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</si>
  <si>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</si>
  <si>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</si>
  <si>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</si>
  <si>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</si>
  <si>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</si>
  <si>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</si>
  <si>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</si>
  <si>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</si>
  <si>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</si>
  <si>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</si>
  <si>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</si>
  <si>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</si>
  <si>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</si>
  <si>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</si>
  <si>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</si>
  <si>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</si>
  <si>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</si>
  <si>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</si>
  <si>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</si>
  <si>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</si>
  <si>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</si>
  <si>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</si>
  <si>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</si>
  <si>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</si>
  <si>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</si>
  <si>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</si>
  <si>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</si>
  <si>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</si>
  <si>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</si>
  <si>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</si>
  <si>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</si>
  <si>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</si>
  <si>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</si>
  <si>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</si>
  <si>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</si>
  <si>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</si>
  <si>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</si>
  <si>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</si>
  <si>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</si>
  <si>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</si>
  <si>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</si>
  <si>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</si>
  <si>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</si>
  <si>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</si>
  <si>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</si>
  <si>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</si>
  <si>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</si>
  <si>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</si>
  <si>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</si>
  <si>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</si>
  <si>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</si>
  <si>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</si>
  <si>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</si>
  <si>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</si>
  <si>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</si>
  <si>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</si>
  <si>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</si>
  <si>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</si>
  <si>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</si>
  <si>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</si>
  <si>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</si>
  <si>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</si>
  <si>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</si>
  <si>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</si>
  <si>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</si>
  <si>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</si>
  <si>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</si>
  <si>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</si>
  <si>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</si>
  <si>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</si>
  <si>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</si>
  <si>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</si>
  <si>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</si>
  <si>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</si>
  <si>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</si>
  <si>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</si>
  <si>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</si>
  <si>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</si>
  <si>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</si>
  <si>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</si>
  <si>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</si>
  <si>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</si>
  <si>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</si>
  <si>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</si>
  <si>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</si>
  <si>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</si>
  <si>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</si>
  <si>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</si>
  <si>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</si>
  <si>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</si>
  <si>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</si>
  <si>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</si>
  <si>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</si>
  <si>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</si>
  <si>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</si>
  <si>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</si>
  <si>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</si>
  <si>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</si>
  <si>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</si>
  <si>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</si>
  <si>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</si>
  <si>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</si>
  <si>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</si>
  <si>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</si>
  <si>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</si>
  <si>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</si>
  <si>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</si>
  <si>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</si>
  <si>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</si>
  <si>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</si>
  <si>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</si>
  <si>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</si>
  <si>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</si>
  <si>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</si>
  <si>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</si>
  <si>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</si>
  <si>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</si>
  <si>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</si>
  <si>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</si>
  <si>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</si>
  <si>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</si>
  <si>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</si>
  <si>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</si>
  <si>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</si>
  <si>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</si>
  <si>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</si>
  <si>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</si>
  <si>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</si>
  <si>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</si>
  <si>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</si>
  <si>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</si>
  <si>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</si>
  <si>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</si>
  <si>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</si>
  <si>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</si>
  <si>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</si>
  <si>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</si>
  <si>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</si>
  <si>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</si>
  <si>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</si>
  <si>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</si>
  <si>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</si>
  <si>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</si>
  <si>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</si>
  <si>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</si>
  <si>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</si>
  <si>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</si>
  <si>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</si>
  <si>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</si>
  <si>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</si>
  <si>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</si>
  <si>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</si>
  <si>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</si>
  <si>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</si>
  <si>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</si>
  <si>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</si>
  <si>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</si>
  <si>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</si>
  <si>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</si>
  <si>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</si>
  <si>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</si>
  <si>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</si>
  <si>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</si>
  <si>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</si>
  <si>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</si>
  <si>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</si>
  <si>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</si>
  <si>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</si>
  <si>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</si>
  <si>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</si>
  <si>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</si>
  <si>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</si>
  <si>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</si>
  <si>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</si>
  <si>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</si>
  <si>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</si>
  <si>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</si>
  <si>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</si>
  <si>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</si>
  <si>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</si>
  <si>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</si>
  <si>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</si>
  <si>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</si>
  <si>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</si>
  <si>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</si>
  <si>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</si>
  <si>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</si>
  <si>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</si>
  <si>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</si>
  <si>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</si>
  <si>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</si>
  <si>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</si>
  <si>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</si>
  <si>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</si>
  <si>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</si>
  <si>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</si>
  <si>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</si>
  <si>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</si>
  <si>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</si>
  <si>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</si>
  <si>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</si>
  <si>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</si>
  <si>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</si>
  <si>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</si>
  <si>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</si>
  <si>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</si>
  <si>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</si>
  <si>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</si>
  <si>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</si>
  <si>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</si>
  <si>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</si>
  <si>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</si>
  <si>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</si>
  <si>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</si>
  <si>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</si>
  <si>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</si>
  <si>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</si>
  <si>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</si>
  <si>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</si>
  <si>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</si>
  <si>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</si>
  <si>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</si>
  <si>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</si>
  <si>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</si>
  <si>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</si>
  <si>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</si>
  <si>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</si>
  <si>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</si>
  <si>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</si>
  <si>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</si>
  <si>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</si>
  <si>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</si>
  <si>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</si>
  <si>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</si>
  <si>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</si>
  <si>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</si>
  <si>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</si>
  <si>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</si>
  <si>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</si>
  <si>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</si>
  <si>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</si>
  <si>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</si>
  <si>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</si>
  <si>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</si>
  <si>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</si>
  <si>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</si>
  <si>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</si>
  <si>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</si>
  <si>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</si>
  <si>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</si>
  <si>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</si>
  <si>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</si>
  <si>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</si>
  <si>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</si>
  <si>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</si>
  <si>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</si>
  <si>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</si>
  <si>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</si>
  <si>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</si>
  <si>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</si>
  <si>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</si>
  <si>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</si>
  <si>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</si>
  <si>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</si>
  <si>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</si>
  <si>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</si>
  <si>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</si>
  <si>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</si>
  <si>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</si>
  <si>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</si>
  <si>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</si>
  <si>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</si>
  <si>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</si>
  <si>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</si>
  <si>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</si>
  <si>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</si>
  <si>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</si>
  <si>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</si>
  <si>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</si>
  <si>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</si>
  <si>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</si>
  <si>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</si>
  <si>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</si>
  <si>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</si>
  <si>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</si>
  <si>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</si>
  <si>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</si>
  <si>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</si>
  <si>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</si>
  <si>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</si>
  <si>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</si>
  <si>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</si>
  <si>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</si>
  <si>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</si>
  <si>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</si>
  <si>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</si>
  <si>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</si>
  <si>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</si>
  <si>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</si>
  <si>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</si>
  <si>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</si>
  <si>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</si>
  <si>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</si>
  <si>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</si>
  <si>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</si>
  <si>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</si>
  <si>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</si>
  <si>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</si>
  <si>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</si>
  <si>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</si>
  <si>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</si>
  <si>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</si>
  <si>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</si>
  <si>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</si>
  <si>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</si>
  <si>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</si>
  <si>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</si>
  <si>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</si>
  <si>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</si>
  <si>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</si>
  <si>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</si>
  <si>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</si>
  <si>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</si>
  <si>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</si>
  <si>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</si>
  <si>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</si>
  <si>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</si>
  <si>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</si>
  <si>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</si>
  <si>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</si>
  <si>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</si>
  <si>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</si>
  <si>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</si>
  <si>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</si>
  <si>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</si>
  <si>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</si>
  <si>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</si>
  <si>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</si>
  <si>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</si>
  <si>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</si>
  <si>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</si>
  <si>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</si>
  <si>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</si>
  <si>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</si>
  <si>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</si>
  <si>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</si>
  <si>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</si>
  <si>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</si>
  <si>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</si>
  <si>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</si>
  <si>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</si>
  <si>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</si>
  <si>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</si>
  <si>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</si>
  <si>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</si>
  <si>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</si>
  <si>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</si>
  <si>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</si>
  <si>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</si>
  <si>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</si>
  <si>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</si>
  <si>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</si>
  <si>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</si>
  <si>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</si>
  <si>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</si>
  <si>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</si>
  <si>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</si>
  <si>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</si>
  <si>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</si>
  <si>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</si>
  <si>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</si>
  <si>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</si>
  <si>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</si>
  <si>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</si>
  <si>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</si>
  <si>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</si>
  <si>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</si>
  <si>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</si>
  <si>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</si>
  <si>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</si>
  <si>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</si>
  <si>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</si>
  <si>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</si>
  <si>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</si>
  <si>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</si>
  <si>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</si>
  <si>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</si>
  <si>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</si>
  <si>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</si>
  <si>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</si>
  <si>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</si>
  <si>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</si>
  <si>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</si>
  <si>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</si>
  <si>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</si>
  <si>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</si>
  <si>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</si>
  <si>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</si>
  <si>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</si>
  <si>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</si>
  <si>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</si>
  <si>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</si>
  <si>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</si>
  <si>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</si>
  <si>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</si>
  <si>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</si>
  <si>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</si>
  <si>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</si>
  <si>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</si>
  <si>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</si>
  <si>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</si>
  <si>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</si>
  <si>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</si>
  <si>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</si>
  <si>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</si>
  <si>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</si>
  <si>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</si>
  <si>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</si>
  <si>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</si>
  <si>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</si>
  <si>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</si>
  <si>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</si>
  <si>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</si>
  <si>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</si>
  <si>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</si>
  <si>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</si>
  <si>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</si>
  <si>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</si>
  <si>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</si>
  <si>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</si>
  <si>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</si>
  <si>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</si>
  <si>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</si>
  <si>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</si>
  <si>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</si>
  <si>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</si>
  <si>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</si>
  <si>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</si>
  <si>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</si>
  <si>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</si>
  <si>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</si>
  <si>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</si>
  <si>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</si>
  <si>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</si>
  <si>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</si>
  <si>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</si>
  <si>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</si>
  <si>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</si>
  <si>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</si>
  <si>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</si>
  <si>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</si>
  <si>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</si>
  <si>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</si>
  <si>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</si>
  <si>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</si>
  <si>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</si>
  <si>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</si>
  <si>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</si>
  <si>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</si>
  <si>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</si>
  <si>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</si>
  <si>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</si>
  <si>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</si>
  <si>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</si>
  <si>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</si>
  <si>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</si>
  <si>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</si>
  <si>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</si>
  <si>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</si>
  <si>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</si>
  <si>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</si>
  <si>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</si>
  <si>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</si>
  <si>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</si>
  <si>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</si>
  <si>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</si>
  <si>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</si>
  <si>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</si>
  <si>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</si>
  <si>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</si>
  <si>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</si>
  <si>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</si>
  <si>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</si>
  <si>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</si>
  <si>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</si>
  <si>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</si>
  <si>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</si>
  <si>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</si>
  <si>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</si>
  <si>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</si>
  <si>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</si>
  <si>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</si>
  <si>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</si>
  <si>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</si>
  <si>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</si>
  <si>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</si>
  <si>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</si>
  <si>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</si>
  <si>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</si>
  <si>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</si>
  <si>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</si>
  <si>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</si>
  <si>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</si>
  <si>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</si>
  <si>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</si>
  <si>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</si>
  <si>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</si>
  <si>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</si>
  <si>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</si>
  <si>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</si>
  <si>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</si>
  <si>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</si>
  <si>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</si>
  <si>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</si>
  <si>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</si>
  <si>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</si>
  <si>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</si>
  <si>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</si>
  <si>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</si>
  <si>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</si>
  <si>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</si>
  <si>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</si>
  <si>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</si>
  <si>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</si>
  <si>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</si>
  <si>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</si>
  <si>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</si>
  <si>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</si>
  <si>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</si>
  <si>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</si>
  <si>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</si>
  <si>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</si>
  <si>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</si>
  <si>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</si>
  <si>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</si>
  <si>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</si>
  <si>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</si>
  <si>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</si>
  <si>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</si>
  <si>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</si>
  <si>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</si>
  <si>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</si>
  <si>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</si>
  <si>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</si>
  <si>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</si>
  <si>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</si>
  <si>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</si>
  <si>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</si>
  <si>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</si>
  <si>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</si>
  <si>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</si>
  <si>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</si>
  <si>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</si>
  <si>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</si>
  <si>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</si>
  <si>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</si>
  <si>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</si>
  <si>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</si>
  <si>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</si>
  <si>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</si>
  <si>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</si>
  <si>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</si>
  <si>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</si>
  <si>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</si>
  <si>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</si>
  <si>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</si>
  <si>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</si>
  <si>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</si>
  <si>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</si>
  <si>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</si>
  <si>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</si>
  <si>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</si>
  <si>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</si>
  <si>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</si>
  <si>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</si>
  <si>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</si>
  <si>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</si>
  <si>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</si>
  <si>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</si>
  <si>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</si>
  <si>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</si>
  <si>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</si>
  <si>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</si>
  <si>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</si>
  <si>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</si>
  <si>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</si>
  <si>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</si>
  <si>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</si>
  <si>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</si>
  <si>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</si>
  <si>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</si>
  <si>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</si>
  <si>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</si>
  <si>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</si>
  <si>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</si>
  <si>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</si>
  <si>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</si>
  <si>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</si>
  <si>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</si>
  <si>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</si>
  <si>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</si>
  <si>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</si>
  <si>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</si>
  <si>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</si>
  <si>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</si>
  <si>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</si>
  <si>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</si>
  <si>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</si>
  <si>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</si>
  <si>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</si>
  <si>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</si>
  <si>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</si>
  <si>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</si>
  <si>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</si>
  <si>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</si>
  <si>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</si>
  <si>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</si>
  <si>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</si>
  <si>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</si>
  <si>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</si>
  <si>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</si>
  <si>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</si>
  <si>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</si>
  <si>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</si>
  <si>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</si>
  <si>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</si>
  <si>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</si>
  <si>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</si>
  <si>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</si>
  <si>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</si>
  <si>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</si>
  <si>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</si>
  <si>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</si>
  <si>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</si>
  <si>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</si>
  <si>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</si>
  <si>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</si>
  <si>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</si>
  <si>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</si>
  <si>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</si>
  <si>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</si>
  <si>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</si>
  <si>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</si>
  <si>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</si>
  <si>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</si>
  <si>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</si>
  <si>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</si>
  <si>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</si>
  <si>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</si>
  <si>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</si>
  <si>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</si>
  <si>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</si>
  <si>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</si>
  <si>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</si>
  <si>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</si>
  <si>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</si>
  <si>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</si>
  <si>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</si>
  <si>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</si>
  <si>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</si>
  <si>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</si>
  <si>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</si>
  <si>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</si>
  <si>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</si>
  <si>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</si>
  <si>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</si>
  <si>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</si>
  <si>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</si>
  <si>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</si>
  <si>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</si>
  <si>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</si>
  <si>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</si>
  <si>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</si>
  <si>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</si>
  <si>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</si>
  <si>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</si>
  <si>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</si>
  <si>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</si>
  <si>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</si>
  <si>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</si>
  <si>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</si>
  <si>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</si>
  <si>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</si>
  <si>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</si>
  <si>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</si>
  <si>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</si>
  <si>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</si>
  <si>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</si>
  <si>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</si>
  <si>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</si>
  <si>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</si>
  <si>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</si>
  <si>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</si>
  <si>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</si>
  <si>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</si>
  <si>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</si>
  <si>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</si>
  <si>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</si>
  <si>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</si>
  <si>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</si>
  <si>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</si>
  <si>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</si>
  <si>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</si>
  <si>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</si>
  <si>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</si>
  <si>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</si>
  <si>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</si>
  <si>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</si>
  <si>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</si>
  <si>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</si>
  <si>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</si>
  <si>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</si>
  <si>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</si>
  <si>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</si>
  <si>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</si>
  <si>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</si>
  <si>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</si>
  <si>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</si>
  <si>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</si>
  <si>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</si>
  <si>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</si>
  <si>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</si>
  <si>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</si>
  <si>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</si>
  <si>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</si>
  <si>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</si>
  <si>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</si>
  <si>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</si>
  <si>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</si>
  <si>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</si>
  <si>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</si>
  <si>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</si>
  <si>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</si>
  <si>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</si>
  <si>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</si>
  <si>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</si>
  <si>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</si>
  <si>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</si>
  <si>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</si>
  <si>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</si>
  <si>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</si>
  <si>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</si>
  <si>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</si>
  <si>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</si>
  <si>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</si>
  <si>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</si>
  <si>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</si>
  <si>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</si>
  <si>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</si>
  <si>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</si>
  <si>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</si>
  <si>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</si>
  <si>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</si>
  <si>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</si>
  <si>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</si>
  <si>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</si>
  <si>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</si>
  <si>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</si>
  <si>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</si>
  <si>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</si>
  <si>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</si>
  <si>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</si>
  <si>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</si>
  <si>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</si>
  <si>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</si>
  <si>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</si>
  <si>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</si>
  <si>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</si>
  <si>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</si>
  <si>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</si>
  <si>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</si>
  <si>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</si>
  <si>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</si>
  <si>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</si>
  <si>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</si>
  <si>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</si>
  <si>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</si>
  <si>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</si>
  <si>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</si>
  <si>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</si>
  <si>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</si>
  <si>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</si>
  <si>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</si>
  <si>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</si>
  <si>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</si>
  <si>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</si>
  <si>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</si>
  <si>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</si>
  <si>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</si>
  <si>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</si>
  <si>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</si>
  <si>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</si>
  <si>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</si>
  <si>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</si>
  <si>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</si>
  <si>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</si>
  <si>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</si>
  <si>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</si>
  <si>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</si>
  <si>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</si>
  <si>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</si>
  <si>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</si>
  <si>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</si>
  <si>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</si>
  <si>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</si>
  <si>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</si>
  <si>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</si>
  <si>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</si>
  <si>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</si>
  <si>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</si>
  <si>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</si>
  <si>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</si>
  <si>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</si>
  <si>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</si>
  <si>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</si>
  <si>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</si>
  <si>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</si>
  <si>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</si>
  <si>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</si>
  <si>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</si>
  <si>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</si>
  <si>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</si>
  <si>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</si>
  <si>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</si>
  <si>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</si>
  <si>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</si>
  <si>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</si>
  <si>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</si>
  <si>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</si>
  <si>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</si>
  <si>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</si>
  <si>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</si>
  <si>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</si>
  <si>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</si>
  <si>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</si>
  <si>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</si>
  <si>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</si>
  <si>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</si>
  <si>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</si>
  <si>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</si>
  <si>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</si>
  <si>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</si>
  <si>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</si>
  <si>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</si>
  <si>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</si>
  <si>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</si>
  <si>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</si>
  <si>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</si>
  <si>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</si>
  <si>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</si>
  <si>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</si>
  <si>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</si>
  <si>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</si>
  <si>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</si>
  <si>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</si>
  <si>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</si>
  <si>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</si>
  <si>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</si>
  <si>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</si>
  <si>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</si>
  <si>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</si>
  <si>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</si>
  <si>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</si>
  <si>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</si>
  <si>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</si>
  <si>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</si>
  <si>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</si>
  <si>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</si>
  <si>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</si>
  <si>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</si>
  <si>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</si>
  <si>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</si>
  <si>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</si>
  <si>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</si>
  <si>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</si>
  <si>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</si>
  <si>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</si>
  <si>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</si>
  <si>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</si>
  <si>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</si>
  <si>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</si>
  <si>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</si>
  <si>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</si>
  <si>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</si>
  <si>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</si>
  <si>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</si>
  <si>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</si>
  <si>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</si>
  <si>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</si>
  <si>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</si>
  <si>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</si>
  <si>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</si>
  <si>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</si>
  <si>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</si>
  <si>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</si>
  <si>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</si>
  <si>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</si>
  <si>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</si>
  <si>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</si>
  <si>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</si>
  <si>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</si>
  <si>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</si>
  <si>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</si>
  <si>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</si>
  <si>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</si>
  <si>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</si>
  <si>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</si>
  <si>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</si>
  <si>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</si>
  <si>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</si>
  <si>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</si>
  <si>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</si>
  <si>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</si>
  <si>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</si>
  <si>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</si>
  <si>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</si>
  <si>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</si>
  <si>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</si>
  <si>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</si>
  <si>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</si>
  <si>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</si>
  <si>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</si>
  <si>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</si>
  <si>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</si>
  <si>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</si>
  <si>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</si>
  <si>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</si>
  <si>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</si>
  <si>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</si>
  <si>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</si>
  <si>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</si>
  <si>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</si>
  <si>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</si>
  <si>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</si>
  <si>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</si>
  <si>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</si>
  <si>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</si>
  <si>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</si>
  <si>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</si>
  <si>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</si>
  <si>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</si>
  <si>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</si>
  <si>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</si>
  <si>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</si>
  <si>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</si>
  <si>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</si>
  <si>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</si>
  <si>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</si>
  <si>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</si>
  <si>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</si>
  <si>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</si>
  <si>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</si>
  <si>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</si>
  <si>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</si>
  <si>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</si>
  <si>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</si>
  <si>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</si>
  <si>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</si>
  <si>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</si>
  <si>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</si>
  <si>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</si>
  <si>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</si>
  <si>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</si>
  <si>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</si>
  <si>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</si>
  <si>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</si>
  <si>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</si>
  <si>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</si>
  <si>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</si>
  <si>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</si>
  <si>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</si>
  <si>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</si>
  <si>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</si>
  <si>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</si>
  <si>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</si>
  <si>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</si>
  <si>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</si>
  <si>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</si>
  <si>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</si>
  <si>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</si>
  <si>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</si>
  <si>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</si>
  <si>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</si>
  <si>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</si>
  <si>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</si>
  <si>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</si>
  <si>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</si>
  <si>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</si>
  <si>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</si>
  <si>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</si>
  <si>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</si>
  <si>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</si>
  <si>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</si>
  <si>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</si>
  <si>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</si>
  <si>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</si>
  <si>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</si>
  <si>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</si>
  <si>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</si>
  <si>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</si>
  <si>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</si>
  <si>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</si>
  <si>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</si>
  <si>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</si>
  <si>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</si>
  <si>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</si>
  <si>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</si>
  <si>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</si>
  <si>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</si>
  <si>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</si>
  <si>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</si>
  <si>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</si>
  <si>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</si>
  <si>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</si>
  <si>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</si>
  <si>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</si>
  <si>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</si>
  <si>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</si>
  <si>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</si>
  <si>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</si>
  <si>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</si>
  <si>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</si>
  <si>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</si>
  <si>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</si>
  <si>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</si>
  <si>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</si>
  <si>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</si>
  <si>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</si>
  <si>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</si>
  <si>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</si>
  <si>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</si>
  <si>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</si>
  <si>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</si>
  <si>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</si>
  <si>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</si>
  <si>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</si>
  <si>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</si>
  <si>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</si>
  <si>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</si>
  <si>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</si>
  <si>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</si>
  <si>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</si>
  <si>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</si>
  <si>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</si>
  <si>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</si>
  <si>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</si>
  <si>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</si>
  <si>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</si>
  <si>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</si>
  <si>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</si>
  <si>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</si>
  <si>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</si>
  <si>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</si>
  <si>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</si>
  <si>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</si>
  <si>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</si>
  <si>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</si>
  <si>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</si>
  <si>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</si>
  <si>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</si>
  <si>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</si>
  <si>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</si>
  <si>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</si>
  <si>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</si>
  <si>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</si>
  <si>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</si>
  <si>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</si>
  <si>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</si>
  <si>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</si>
  <si>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</si>
  <si>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</si>
  <si>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</si>
  <si>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</si>
  <si>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</si>
  <si>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</si>
  <si>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</si>
  <si>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</si>
  <si>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</si>
  <si>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</si>
  <si>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</si>
  <si>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</si>
  <si>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</si>
  <si>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</si>
  <si>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</si>
  <si>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</si>
  <si>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</si>
  <si>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</si>
  <si>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</si>
  <si>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</si>
  <si>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</si>
  <si>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</si>
  <si>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</si>
  <si>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</si>
  <si>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</si>
  <si>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</si>
  <si>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</si>
  <si>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</si>
  <si>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</si>
  <si>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</si>
  <si>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</si>
  <si>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</si>
  <si>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</si>
  <si>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</si>
  <si>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</si>
  <si>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</si>
  <si>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</si>
  <si>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</si>
  <si>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</si>
  <si>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</si>
  <si>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</si>
  <si>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</si>
  <si>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</si>
  <si>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</si>
  <si>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</si>
  <si>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</si>
  <si>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</si>
  <si>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</si>
  <si>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</si>
  <si>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</si>
  <si>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</si>
  <si>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</si>
  <si>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</si>
  <si>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</si>
  <si>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</si>
  <si>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</si>
  <si>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</si>
  <si>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</si>
  <si>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</si>
  <si>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</si>
  <si>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</si>
  <si>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</si>
  <si>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</si>
  <si>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</si>
  <si>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</si>
  <si>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</si>
  <si>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</si>
  <si>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</si>
  <si>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</si>
  <si>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</si>
  <si>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</si>
  <si>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</si>
  <si>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</si>
  <si>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</si>
  <si>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</si>
  <si>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</si>
  <si>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</si>
  <si>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</si>
  <si>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</si>
  <si>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</si>
  <si>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</si>
  <si>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</si>
  <si>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</si>
  <si>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</si>
  <si>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</si>
  <si>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</si>
  <si>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</si>
  <si>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</si>
  <si>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</si>
  <si>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</si>
  <si>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</si>
  <si>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</si>
  <si>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</si>
  <si>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</si>
  <si>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</si>
  <si>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</si>
  <si>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</si>
  <si>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</si>
  <si>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</si>
  <si>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</si>
  <si>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</si>
  <si>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</si>
  <si>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</si>
  <si>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</si>
  <si>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</si>
  <si>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</si>
  <si>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</si>
  <si>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</si>
  <si>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</si>
  <si>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</si>
  <si>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</si>
  <si>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</si>
  <si>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</si>
  <si>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</si>
  <si>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</si>
  <si>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</si>
  <si>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</si>
  <si>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</si>
  <si>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</si>
  <si>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</si>
  <si>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</si>
  <si>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</si>
  <si>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</si>
  <si>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</si>
  <si>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</si>
  <si>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</si>
  <si>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</si>
  <si>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</si>
  <si>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</si>
  <si>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</si>
  <si>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</si>
  <si>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</si>
  <si>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</si>
  <si>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</si>
  <si>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</si>
  <si>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</si>
  <si>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</si>
  <si>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</si>
  <si>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</si>
  <si>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</si>
  <si>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</si>
  <si>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</si>
  <si>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</si>
  <si>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</si>
  <si>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</si>
  <si>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</si>
  <si>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</si>
  <si>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</si>
  <si>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</si>
  <si>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</si>
  <si>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</si>
  <si>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</si>
  <si>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</si>
  <si>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</si>
  <si>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</si>
  <si>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</si>
  <si>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</si>
  <si>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</si>
  <si>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</si>
  <si>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</si>
  <si>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</si>
  <si>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</si>
  <si>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</si>
  <si>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</si>
  <si>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</si>
  <si>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</si>
  <si>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</si>
  <si>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</si>
  <si>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</si>
  <si>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</si>
  <si>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</si>
  <si>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</si>
  <si>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</si>
  <si>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</si>
  <si>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</si>
  <si>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</si>
  <si>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</si>
  <si>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</si>
  <si>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</si>
  <si>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</si>
  <si>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</si>
  <si>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</si>
  <si>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</si>
  <si>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</si>
  <si>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</si>
  <si>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</si>
  <si>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</si>
  <si>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</si>
  <si>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</si>
  <si>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</si>
  <si>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</si>
  <si>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</si>
  <si>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</si>
  <si>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</si>
  <si>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</si>
  <si>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</si>
  <si>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</si>
  <si>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</si>
  <si>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</si>
  <si>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</si>
  <si>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</si>
  <si>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</si>
  <si>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</si>
  <si>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</si>
  <si>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</si>
  <si>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</si>
  <si>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</si>
  <si>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</si>
  <si>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</si>
  <si>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</si>
  <si>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</si>
  <si>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</si>
  <si>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</si>
  <si>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</si>
  <si>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</si>
  <si>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</si>
  <si>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</si>
  <si>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</si>
  <si>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</si>
  <si>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</si>
  <si>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</si>
  <si>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</si>
  <si>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</si>
  <si>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</si>
  <si>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</si>
  <si>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</si>
  <si>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</si>
  <si>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</si>
  <si>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</si>
  <si>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</si>
  <si>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</si>
  <si>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</si>
  <si>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</si>
  <si>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</si>
  <si>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</si>
  <si>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</si>
  <si>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</si>
  <si>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</si>
  <si>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</si>
  <si>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</si>
  <si>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</si>
  <si>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</si>
  <si>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</si>
  <si>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</si>
  <si>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</si>
  <si>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</si>
  <si>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</si>
  <si>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</si>
  <si>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</si>
  <si>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</si>
  <si>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</si>
  <si>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</si>
  <si>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</si>
  <si>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</si>
  <si>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</si>
  <si>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</si>
  <si>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</si>
  <si>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</si>
  <si>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</si>
  <si>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</si>
  <si>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</si>
  <si>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</si>
  <si>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</si>
  <si>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</si>
  <si>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</si>
  <si>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</si>
  <si>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</si>
  <si>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</si>
  <si>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</si>
  <si>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</si>
  <si>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</si>
  <si>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</si>
  <si>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</si>
  <si>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</si>
  <si>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</si>
  <si>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</si>
  <si>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</si>
  <si>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</si>
  <si>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</si>
  <si>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</si>
  <si>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</si>
  <si>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</si>
  <si>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</si>
  <si>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</si>
  <si>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</si>
  <si>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</si>
  <si>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</si>
  <si>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</si>
  <si>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</si>
  <si>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</si>
  <si>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</si>
  <si>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</si>
  <si>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</si>
  <si>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</si>
  <si>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</si>
  <si>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</si>
  <si>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</si>
  <si>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</si>
  <si>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</si>
  <si>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</si>
  <si>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</si>
  <si>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</si>
  <si>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</si>
  <si>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</si>
  <si>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</si>
  <si>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</si>
  <si>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</si>
  <si>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</si>
  <si>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</si>
  <si>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</si>
  <si>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</si>
  <si>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</si>
  <si>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</si>
  <si>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</si>
  <si>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</si>
  <si>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</si>
  <si>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</si>
  <si>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</si>
  <si>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</si>
  <si>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</si>
  <si>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</si>
  <si>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</si>
  <si>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</si>
  <si>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</si>
  <si>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</si>
  <si>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</si>
  <si>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</si>
  <si>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</si>
  <si>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</si>
  <si>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</si>
  <si>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</si>
  <si>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</si>
  <si>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</si>
  <si>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</si>
  <si>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</si>
  <si>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</si>
  <si>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</si>
  <si>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</si>
  <si>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</si>
  <si>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</si>
  <si>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</si>
  <si>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</si>
  <si>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</si>
  <si>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</si>
  <si>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</si>
  <si>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</si>
  <si>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</si>
  <si>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</si>
  <si>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</si>
  <si>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</si>
  <si>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</si>
  <si>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</si>
  <si>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</si>
  <si>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</si>
  <si>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</si>
  <si>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</si>
  <si>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</si>
  <si>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</si>
  <si>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</si>
  <si>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</si>
  <si>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</si>
  <si>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</si>
  <si>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</si>
  <si>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</si>
  <si>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</si>
  <si>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</si>
  <si>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</si>
  <si>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</si>
  <si>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</si>
  <si>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</si>
  <si>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</si>
  <si>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</si>
  <si>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</si>
  <si>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</si>
  <si>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</si>
  <si>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</si>
  <si>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</si>
  <si>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</si>
  <si>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</si>
  <si>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</si>
  <si>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</si>
  <si>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</si>
  <si>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</si>
  <si>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</si>
  <si>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</si>
  <si>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</si>
  <si>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</si>
  <si>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</si>
  <si>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</si>
  <si>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</si>
  <si>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</si>
  <si>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</si>
  <si>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</si>
  <si>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</si>
  <si>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</si>
  <si>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</si>
  <si>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</si>
  <si>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</si>
  <si>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</si>
  <si>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</si>
  <si>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</si>
  <si>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</si>
  <si>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</si>
  <si>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</si>
  <si>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</si>
  <si>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</si>
  <si>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</si>
  <si>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</si>
  <si>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</si>
  <si>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</si>
  <si>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</si>
  <si>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</si>
  <si>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</si>
  <si>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</si>
  <si>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</si>
  <si>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</si>
  <si>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</si>
  <si>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</si>
  <si>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</si>
  <si>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</si>
  <si>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</si>
  <si>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</si>
  <si>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</si>
  <si>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</si>
  <si>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</si>
  <si>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</si>
  <si>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</si>
  <si>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</si>
  <si>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</si>
  <si>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</si>
  <si>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</si>
  <si>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</si>
  <si>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</si>
  <si>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</si>
  <si>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</si>
  <si>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</si>
  <si>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</si>
  <si>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</si>
  <si>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</si>
  <si>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</si>
  <si>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</si>
  <si>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</si>
  <si>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</si>
  <si>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</si>
  <si>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</si>
  <si>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</si>
  <si>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</si>
  <si>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</si>
  <si>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</si>
  <si>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</si>
  <si>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</si>
  <si>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</si>
  <si>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</si>
  <si>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</si>
  <si>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</si>
  <si>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</si>
  <si>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</si>
  <si>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</si>
  <si>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</si>
  <si>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</si>
  <si>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</si>
  <si>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</si>
  <si>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</si>
  <si>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</si>
  <si>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</si>
  <si>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</si>
  <si>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</si>
  <si>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</si>
  <si>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</si>
  <si>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</si>
  <si>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</si>
  <si>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</si>
  <si>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</si>
  <si>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</si>
  <si>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</si>
  <si>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</si>
  <si>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</si>
  <si>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</si>
  <si>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</si>
  <si>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</si>
  <si>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</si>
  <si>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</si>
  <si>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</si>
  <si>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</si>
  <si>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</si>
  <si>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</si>
  <si>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</si>
  <si>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</si>
  <si>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</si>
  <si>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</si>
  <si>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</si>
  <si>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</si>
  <si>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</si>
  <si>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</si>
  <si>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</si>
  <si>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</si>
  <si>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</si>
  <si>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</si>
  <si>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</si>
  <si>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</si>
  <si>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</si>
  <si>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</si>
  <si>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</si>
  <si>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</si>
  <si>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</si>
  <si>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</si>
  <si>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</si>
  <si>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</si>
  <si>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</si>
  <si>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</si>
  <si>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</si>
  <si>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</si>
  <si>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</si>
  <si>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</si>
  <si>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</si>
  <si>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</si>
  <si>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</si>
  <si>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</si>
  <si>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</si>
  <si>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</si>
  <si>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</si>
  <si>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</si>
  <si>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</si>
  <si>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</si>
  <si>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</si>
  <si>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</si>
  <si>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</si>
  <si>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</si>
  <si>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</si>
  <si>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</si>
  <si>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</si>
  <si>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</si>
  <si>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</si>
  <si>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</si>
  <si>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</si>
  <si>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</si>
  <si>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</si>
  <si>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</si>
  <si>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</si>
  <si>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</si>
  <si>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</si>
  <si>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</si>
  <si>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</si>
  <si>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</si>
  <si>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</si>
  <si>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</si>
  <si>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</si>
  <si>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</si>
  <si>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</si>
  <si>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</si>
  <si>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</si>
  <si>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</si>
  <si>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</si>
  <si>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</si>
  <si>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</si>
  <si>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</si>
  <si>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</si>
  <si>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</si>
  <si>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</si>
  <si>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</si>
  <si>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</si>
  <si>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</si>
  <si>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</si>
  <si>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</si>
  <si>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</si>
  <si>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</si>
  <si>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</si>
  <si>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</si>
  <si>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</si>
  <si>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</si>
  <si>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</si>
  <si>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</si>
  <si>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</si>
  <si>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</si>
  <si>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</si>
  <si>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</si>
  <si>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</si>
  <si>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</si>
  <si>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</si>
  <si>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</si>
  <si>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</si>
  <si>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</si>
  <si>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</si>
  <si>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</si>
  <si>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</si>
  <si>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</si>
  <si>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</si>
  <si>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</si>
  <si>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</si>
  <si>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</si>
  <si>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</si>
  <si>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</si>
  <si>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</si>
  <si>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</si>
  <si>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</si>
  <si>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</si>
  <si>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</si>
  <si>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</si>
  <si>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</si>
  <si>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</si>
  <si>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</si>
  <si>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</si>
  <si>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</si>
  <si>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</si>
  <si>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</si>
  <si>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</si>
  <si>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</si>
  <si>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</si>
  <si>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</si>
  <si>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</si>
  <si>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</si>
  <si>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</si>
  <si>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</si>
  <si>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</si>
  <si>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</si>
  <si>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</si>
  <si>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</si>
  <si>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</si>
  <si>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</si>
  <si>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</si>
  <si>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</si>
  <si>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</si>
  <si>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</si>
  <si>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</si>
  <si>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</si>
  <si>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</si>
  <si>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</si>
  <si>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</si>
  <si>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</si>
  <si>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</si>
  <si>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</si>
  <si>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</si>
  <si>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</si>
  <si>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</si>
  <si>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</si>
  <si>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</si>
  <si>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</si>
  <si>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</si>
  <si>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</si>
  <si>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</si>
  <si>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</si>
  <si>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</si>
  <si>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</si>
  <si>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</si>
  <si>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</si>
  <si>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</si>
  <si>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</si>
  <si>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</si>
  <si>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</si>
  <si>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</si>
  <si>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</si>
  <si>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</si>
  <si>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</si>
  <si>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Livingston</t>
  </si>
  <si>
    <t>PO Box 117</t>
  </si>
  <si>
    <t>Graymont</t>
  </si>
  <si>
    <t>MCK CPAs &amp; Advisors</t>
  </si>
  <si>
    <t>Dawn M Carlson</t>
  </si>
  <si>
    <t>207 W Jefferson St</t>
  </si>
  <si>
    <t>Bloomington</t>
  </si>
  <si>
    <t>IL</t>
  </si>
  <si>
    <t>066-005232</t>
  </si>
  <si>
    <t>Todd Bean</t>
  </si>
  <si>
    <t>No Applicable Contracts</t>
  </si>
  <si>
    <t>X</t>
  </si>
  <si>
    <t>Outsourced Service: Livingston County Special Services Unit</t>
  </si>
  <si>
    <t>Shared Art Teacher and Music Teacher with Cornell Grade School</t>
  </si>
  <si>
    <t>Pg. 10, Line 72: Sales to Pupils - Other; Account 10.1614; $826 - Milk sales.</t>
  </si>
  <si>
    <t>Pg. 11, Line 107: Other Local Revenues; Account 40.1999; $500 - Miscellaneous Revenue.</t>
  </si>
  <si>
    <t>Pg. 10, Line 81: Other District/School Activity Revenue; Account 10.1790; $35,677 - Reimbursement for shared teacher; miscellaneous revenue.</t>
  </si>
  <si>
    <t>Unmodified</t>
  </si>
  <si>
    <t>n/a</t>
  </si>
  <si>
    <t xml:space="preserve">  Rooks Creek CCSD 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</si>
</sst>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cellStyleXfs>
  <cellXfs count="255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2" fillId="0" borderId="155" xfId="19" applyFont="1" applyBorder="1" applyAlignment="1" applyProtection="1">
      <alignment horizontal="left" vertical="top" wrapTex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0">
        <f>+'AFR20'!E4</f>
        <v>44119</v>
      </c>
      <c r="C1" s="1990"/>
      <c r="D1" s="1991"/>
      <c r="I1" s="2069" t="s">
        <v>402</v>
      </c>
      <c r="J1" s="2070"/>
      <c r="K1" s="2070"/>
      <c r="L1" s="2070"/>
      <c r="M1" s="2070"/>
      <c r="N1" s="2070"/>
      <c r="O1" s="2070"/>
      <c r="P1" s="2070"/>
      <c r="Q1" s="2070"/>
      <c r="R1" s="2070"/>
      <c r="S1" s="2070"/>
    </row>
    <row r="2" spans="1:32" ht="12" customHeight="1" x14ac:dyDescent="0.2">
      <c r="A2" s="1889" t="str">
        <f>"Due to ISBE on "</f>
        <v xml:space="preserve">Due to ISBE on </v>
      </c>
      <c r="B2" s="1992">
        <f>+'AFR20'!F4</f>
        <v>44151</v>
      </c>
      <c r="C2" s="1992"/>
      <c r="D2" s="1993"/>
      <c r="I2" s="2071" t="s">
        <v>2006</v>
      </c>
      <c r="J2" s="2070"/>
      <c r="K2" s="2070"/>
      <c r="L2" s="2070"/>
      <c r="M2" s="2070"/>
      <c r="N2" s="2070"/>
      <c r="O2" s="2070"/>
      <c r="P2" s="2070"/>
      <c r="Q2" s="2070"/>
      <c r="R2" s="2070"/>
      <c r="S2" s="2070"/>
    </row>
    <row r="3" spans="1:32" ht="12" customHeight="1" x14ac:dyDescent="0.2">
      <c r="A3" s="1892" t="str">
        <f>"SD/JA"&amp;MID('AFR20'!E2,3,2)</f>
        <v>SD/JA20</v>
      </c>
      <c r="B3" s="151"/>
      <c r="C3" s="151"/>
      <c r="D3" s="152"/>
      <c r="I3" s="2071" t="s">
        <v>52</v>
      </c>
      <c r="J3" s="2070"/>
      <c r="K3" s="2070"/>
      <c r="L3" s="2070"/>
      <c r="M3" s="2070"/>
      <c r="N3" s="2070"/>
      <c r="O3" s="2070"/>
      <c r="P3" s="2070"/>
      <c r="Q3" s="2070"/>
      <c r="R3" s="2070"/>
      <c r="S3" s="2070"/>
    </row>
    <row r="4" spans="1:32" ht="12" customHeight="1" x14ac:dyDescent="0.2">
      <c r="A4" s="37"/>
      <c r="I4" s="2071" t="s">
        <v>521</v>
      </c>
      <c r="J4" s="2070"/>
      <c r="K4" s="2070"/>
      <c r="L4" s="2070"/>
      <c r="M4" s="2070"/>
      <c r="N4" s="2070"/>
      <c r="O4" s="2070"/>
      <c r="P4" s="2070"/>
      <c r="Q4" s="2070"/>
      <c r="R4" s="2070"/>
      <c r="S4" s="2070"/>
    </row>
    <row r="5" spans="1:32" ht="14.1" customHeight="1" x14ac:dyDescent="0.2">
      <c r="B5" s="101" t="s">
        <v>2021</v>
      </c>
      <c r="C5" s="26" t="s">
        <v>904</v>
      </c>
      <c r="D5" s="81"/>
      <c r="E5" s="81"/>
      <c r="H5" s="38"/>
      <c r="I5" s="2078" t="s">
        <v>675</v>
      </c>
      <c r="J5" s="2023"/>
      <c r="K5" s="2023"/>
      <c r="L5" s="2023"/>
      <c r="M5" s="2023"/>
      <c r="N5" s="2023"/>
      <c r="O5" s="2023"/>
      <c r="P5" s="2023"/>
      <c r="Q5" s="2023"/>
      <c r="R5" s="2023"/>
      <c r="S5" s="2023"/>
      <c r="AF5" s="1885"/>
    </row>
    <row r="6" spans="1:32" ht="14.1" customHeight="1" x14ac:dyDescent="0.2">
      <c r="B6" s="101"/>
      <c r="C6" s="26" t="s">
        <v>905</v>
      </c>
      <c r="D6" s="81"/>
      <c r="E6" s="81"/>
      <c r="I6" s="2077" t="s">
        <v>877</v>
      </c>
      <c r="J6" s="2023"/>
      <c r="K6" s="2023"/>
      <c r="L6" s="2023"/>
      <c r="M6" s="2023"/>
      <c r="N6" s="2023"/>
      <c r="O6" s="2023"/>
      <c r="P6" s="2023"/>
      <c r="Q6" s="2023"/>
      <c r="R6" s="2023"/>
      <c r="S6" s="2023"/>
    </row>
    <row r="7" spans="1:32" ht="12.2" customHeight="1" x14ac:dyDescent="0.2">
      <c r="I7" s="2072" t="str">
        <f>"June 30, "&amp;'AFR20'!E2</f>
        <v>June 30, 2020</v>
      </c>
      <c r="J7" s="2073"/>
      <c r="K7" s="2073"/>
      <c r="L7" s="2073"/>
      <c r="M7" s="2073"/>
      <c r="N7" s="2073"/>
      <c r="O7" s="2073"/>
      <c r="P7" s="2073"/>
      <c r="Q7" s="2073"/>
      <c r="R7" s="2073"/>
      <c r="S7" s="207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4" t="s">
        <v>669</v>
      </c>
      <c r="J9" s="2075"/>
      <c r="K9" s="2075"/>
      <c r="L9" s="2075"/>
      <c r="M9" s="2075"/>
      <c r="N9" s="2075"/>
      <c r="O9" s="2075"/>
      <c r="P9" s="2075"/>
      <c r="Q9" s="2075"/>
      <c r="R9" s="2075"/>
      <c r="S9" s="2076"/>
      <c r="T9" s="2019" t="s">
        <v>530</v>
      </c>
      <c r="U9" s="2020"/>
      <c r="V9" s="2020"/>
      <c r="W9" s="2020"/>
      <c r="X9" s="2020"/>
      <c r="Y9" s="2020"/>
      <c r="Z9" s="2020"/>
      <c r="AA9" s="2021"/>
    </row>
    <row r="10" spans="1:32" ht="13.5" customHeight="1" x14ac:dyDescent="0.2">
      <c r="A10" s="2028" t="s">
        <v>670</v>
      </c>
      <c r="B10" s="2029"/>
      <c r="C10" s="2029"/>
      <c r="D10" s="2029"/>
      <c r="E10" s="2029"/>
      <c r="F10" s="2029"/>
      <c r="G10" s="2029"/>
      <c r="H10" s="2030"/>
      <c r="I10" s="29"/>
      <c r="J10" s="30"/>
      <c r="K10" s="28"/>
      <c r="R10" s="30"/>
      <c r="S10" s="30"/>
      <c r="T10" s="2022"/>
      <c r="U10" s="2023"/>
      <c r="V10" s="2023"/>
      <c r="W10" s="2023"/>
      <c r="X10" s="2023"/>
      <c r="Y10" s="2023"/>
      <c r="Z10" s="2023"/>
      <c r="AA10" s="2024"/>
    </row>
    <row r="11" spans="1:32" ht="14.25" customHeight="1" x14ac:dyDescent="0.2">
      <c r="A11" s="2031" t="s">
        <v>949</v>
      </c>
      <c r="B11" s="2032"/>
      <c r="C11" s="2032"/>
      <c r="D11" s="2032"/>
      <c r="E11" s="2032"/>
      <c r="F11" s="2032"/>
      <c r="G11" s="2032"/>
      <c r="H11" s="2033"/>
      <c r="I11" s="27"/>
      <c r="J11" s="71"/>
      <c r="K11" s="27"/>
      <c r="O11" s="144" t="s">
        <v>2021</v>
      </c>
      <c r="P11" s="97" t="s">
        <v>199</v>
      </c>
      <c r="Q11" s="30"/>
      <c r="R11" s="28"/>
      <c r="S11" s="27"/>
      <c r="T11" s="2025"/>
      <c r="U11" s="2026"/>
      <c r="V11" s="2026"/>
      <c r="W11" s="2026"/>
      <c r="X11" s="2026"/>
      <c r="Y11" s="2026"/>
      <c r="Z11" s="2026"/>
      <c r="AA11" s="202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39">
        <v>17053425004</v>
      </c>
      <c r="B13" s="2040"/>
      <c r="C13" s="2040"/>
      <c r="D13" s="2040"/>
      <c r="E13" s="2040"/>
      <c r="F13" s="2040"/>
      <c r="G13" s="2040"/>
      <c r="H13" s="2041"/>
      <c r="I13" s="31"/>
      <c r="J13" s="30"/>
      <c r="K13" s="28"/>
      <c r="L13" s="30"/>
      <c r="M13" s="30"/>
      <c r="N13" s="30"/>
      <c r="O13" s="30"/>
      <c r="P13" s="30"/>
      <c r="Q13" s="30"/>
      <c r="R13" s="30"/>
      <c r="S13" s="30"/>
      <c r="T13" s="2044" t="s">
        <v>2025</v>
      </c>
      <c r="U13" s="2045"/>
      <c r="V13" s="2045"/>
      <c r="W13" s="2045"/>
      <c r="X13" s="2045"/>
      <c r="Y13" s="2046"/>
      <c r="Z13" s="2046"/>
      <c r="AA13" s="204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37" t="s">
        <v>2022</v>
      </c>
      <c r="B15" s="2042"/>
      <c r="C15" s="2042"/>
      <c r="D15" s="2042"/>
      <c r="E15" s="2042"/>
      <c r="F15" s="2042"/>
      <c r="G15" s="2042"/>
      <c r="H15" s="2043"/>
      <c r="T15" s="2005" t="s">
        <v>2026</v>
      </c>
      <c r="U15" s="2006"/>
      <c r="V15" s="2006"/>
      <c r="W15" s="2006"/>
      <c r="X15" s="2006"/>
      <c r="Y15" s="2048"/>
      <c r="Z15" s="2048"/>
      <c r="AA15" s="204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7" t="s">
        <v>2041</v>
      </c>
      <c r="B17" s="2067"/>
      <c r="C17" s="2067"/>
      <c r="D17" s="2067"/>
      <c r="E17" s="2067"/>
      <c r="F17" s="2067"/>
      <c r="G17" s="2067"/>
      <c r="H17" s="2068"/>
      <c r="T17" s="2054" t="s">
        <v>2027</v>
      </c>
      <c r="U17" s="2055"/>
      <c r="V17" s="2055"/>
      <c r="W17" s="2055"/>
      <c r="X17" s="2055"/>
      <c r="Y17" s="2055"/>
      <c r="Z17" s="2055"/>
      <c r="AA17" s="2056"/>
    </row>
    <row r="18" spans="1:27" ht="13.5" customHeight="1" x14ac:dyDescent="0.2">
      <c r="A18" s="82" t="s">
        <v>527</v>
      </c>
      <c r="B18" s="73"/>
      <c r="C18" s="69"/>
      <c r="D18" s="73"/>
      <c r="E18" s="73"/>
      <c r="F18" s="73"/>
      <c r="G18" s="73"/>
      <c r="H18" s="53"/>
      <c r="I18" s="2064" t="s">
        <v>671</v>
      </c>
      <c r="J18" s="2065"/>
      <c r="K18" s="2065"/>
      <c r="L18" s="2065"/>
      <c r="M18" s="2065"/>
      <c r="N18" s="2065"/>
      <c r="O18" s="2065"/>
      <c r="P18" s="2065"/>
      <c r="Q18" s="2065"/>
      <c r="R18" s="2065"/>
      <c r="S18" s="2066"/>
      <c r="T18" s="82" t="s">
        <v>706</v>
      </c>
      <c r="U18" s="48"/>
      <c r="V18" s="69"/>
      <c r="W18" s="47"/>
      <c r="X18" s="82" t="s">
        <v>264</v>
      </c>
      <c r="Y18" s="78"/>
      <c r="Z18" s="154" t="s">
        <v>672</v>
      </c>
      <c r="AA18" s="44"/>
    </row>
    <row r="19" spans="1:27" ht="13.5" customHeight="1" x14ac:dyDescent="0.2">
      <c r="A19" s="2037" t="s">
        <v>2023</v>
      </c>
      <c r="B19" s="2038"/>
      <c r="C19" s="2038"/>
      <c r="D19" s="2038"/>
      <c r="E19" s="2038"/>
      <c r="F19" s="2038"/>
      <c r="G19" s="2038"/>
      <c r="H19" s="2036"/>
      <c r="I19" s="30"/>
      <c r="J19" s="96"/>
      <c r="K19" s="40"/>
      <c r="L19" s="38"/>
      <c r="M19" s="109" t="s">
        <v>312</v>
      </c>
      <c r="P19" s="27"/>
      <c r="Q19" s="27"/>
      <c r="R19" s="27"/>
      <c r="S19" s="31"/>
      <c r="T19" s="2037" t="s">
        <v>2028</v>
      </c>
      <c r="U19" s="2035"/>
      <c r="V19" s="2035"/>
      <c r="W19" s="2036"/>
      <c r="X19" s="2052" t="s">
        <v>2029</v>
      </c>
      <c r="Y19" s="2053"/>
      <c r="Z19" s="2050">
        <v>61701</v>
      </c>
      <c r="AA19" s="205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4" t="s">
        <v>2024</v>
      </c>
      <c r="B21" s="2035"/>
      <c r="C21" s="2035"/>
      <c r="D21" s="2035"/>
      <c r="E21" s="2035"/>
      <c r="F21" s="2035"/>
      <c r="G21" s="2035"/>
      <c r="H21" s="2036"/>
      <c r="I21" s="2060" t="s">
        <v>673</v>
      </c>
      <c r="J21" s="2023"/>
      <c r="K21" s="2023"/>
      <c r="L21" s="2023"/>
      <c r="M21" s="2023"/>
      <c r="N21" s="2023"/>
      <c r="O21" s="2023"/>
      <c r="P21" s="2023"/>
      <c r="Q21" s="2023"/>
      <c r="R21" s="2023"/>
      <c r="S21" s="2024"/>
      <c r="T21" s="2002">
        <v>3098286071</v>
      </c>
      <c r="U21" s="2003"/>
      <c r="V21" s="2003"/>
      <c r="W21" s="2003"/>
      <c r="X21" s="2016">
        <v>3098272465</v>
      </c>
      <c r="Y21" s="2017"/>
      <c r="Z21" s="2017"/>
      <c r="AA21" s="2018"/>
    </row>
    <row r="22" spans="1:27" ht="13.5" customHeight="1" x14ac:dyDescent="0.2">
      <c r="A22" s="84" t="s">
        <v>528</v>
      </c>
      <c r="B22" s="56"/>
      <c r="C22" s="56"/>
      <c r="D22" s="56"/>
      <c r="E22" s="56"/>
      <c r="F22" s="56"/>
      <c r="G22" s="56"/>
      <c r="H22" s="57"/>
      <c r="I22" s="2061" t="s">
        <v>1415</v>
      </c>
      <c r="J22" s="2062"/>
      <c r="K22" s="2062"/>
      <c r="L22" s="2062"/>
      <c r="M22" s="2062"/>
      <c r="N22" s="2062"/>
      <c r="O22" s="2062"/>
      <c r="P22" s="2062"/>
      <c r="Q22" s="2062"/>
      <c r="R22" s="2062"/>
      <c r="S22" s="2063"/>
      <c r="T22" s="82" t="s">
        <v>1502</v>
      </c>
      <c r="U22" s="48"/>
      <c r="V22" s="69"/>
      <c r="W22" s="48"/>
      <c r="X22" s="155" t="s">
        <v>1309</v>
      </c>
      <c r="Z22" s="43"/>
      <c r="AA22" s="44"/>
    </row>
    <row r="23" spans="1:27" ht="13.5" customHeight="1" x14ac:dyDescent="0.2">
      <c r="A23" s="2057"/>
      <c r="B23" s="2058"/>
      <c r="C23" s="2058"/>
      <c r="D23" s="2058"/>
      <c r="E23" s="2058"/>
      <c r="F23" s="2058"/>
      <c r="G23" s="2058"/>
      <c r="H23" s="2059"/>
      <c r="T23" s="1997" t="s">
        <v>2030</v>
      </c>
      <c r="U23" s="1998"/>
      <c r="V23" s="1998"/>
      <c r="W23" s="1998"/>
      <c r="X23" s="2013">
        <v>44530</v>
      </c>
      <c r="Y23" s="2014"/>
      <c r="Z23" s="2014"/>
      <c r="AA23" s="2015"/>
    </row>
    <row r="24" spans="1:27" ht="14.1" customHeight="1" x14ac:dyDescent="0.2">
      <c r="A24" s="85" t="s">
        <v>672</v>
      </c>
      <c r="B24" s="46"/>
      <c r="C24" s="46"/>
      <c r="D24" s="46"/>
      <c r="E24" s="46"/>
      <c r="F24" s="46"/>
      <c r="G24" s="46"/>
      <c r="H24" s="58"/>
      <c r="J24" s="2099">
        <f>IF(B5="x",IF(AUDITCHECK!D29="AFR form Incomplete.","",IF(AUDITCHECK!D29="Deficit reduction plan is required.","School District must complete a deficit reduction plan in the 2019-2020 Budget",)),"")</f>
        <v>0</v>
      </c>
      <c r="K24" s="2099"/>
      <c r="L24" s="2099"/>
      <c r="M24" s="2099"/>
      <c r="N24" s="2099"/>
      <c r="O24" s="2099"/>
      <c r="P24" s="2099"/>
      <c r="Q24" s="2099"/>
      <c r="R24" s="2099"/>
      <c r="S24" s="2100"/>
      <c r="T24" s="102" t="s">
        <v>528</v>
      </c>
      <c r="U24" s="103"/>
      <c r="V24" s="103"/>
      <c r="W24" s="103"/>
      <c r="X24" s="104"/>
      <c r="Y24" s="104"/>
      <c r="Z24" s="104"/>
      <c r="AA24" s="105"/>
    </row>
    <row r="25" spans="1:27" ht="14.1" customHeight="1" x14ac:dyDescent="0.2">
      <c r="A25" s="2034">
        <v>61743</v>
      </c>
      <c r="B25" s="2035"/>
      <c r="C25" s="2035"/>
      <c r="D25" s="2035"/>
      <c r="E25" s="2035"/>
      <c r="F25" s="2035"/>
      <c r="G25" s="2035"/>
      <c r="H25" s="2036"/>
      <c r="I25" s="110"/>
      <c r="J25" s="2101"/>
      <c r="K25" s="2101"/>
      <c r="L25" s="2101"/>
      <c r="M25" s="2101"/>
      <c r="N25" s="2101"/>
      <c r="O25" s="2101"/>
      <c r="P25" s="2101"/>
      <c r="Q25" s="2101"/>
      <c r="R25" s="2101"/>
      <c r="S25" s="2102"/>
      <c r="T25" s="1994"/>
      <c r="U25" s="1995"/>
      <c r="V25" s="1995"/>
      <c r="W25" s="1995"/>
      <c r="X25" s="1995"/>
      <c r="Y25" s="1995"/>
      <c r="Z25" s="1995"/>
      <c r="AA25" s="199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92" t="s">
        <v>1497</v>
      </c>
      <c r="J27" s="2065"/>
      <c r="K27" s="2065"/>
      <c r="L27" s="2065"/>
      <c r="M27" s="2065"/>
      <c r="N27" s="2065"/>
      <c r="O27" s="2065"/>
      <c r="P27" s="2065"/>
      <c r="Q27" s="2065"/>
      <c r="R27" s="2065"/>
      <c r="S27" s="206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38"/>
      <c r="Q35" s="2035"/>
      <c r="R35" s="203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7" t="s">
        <v>2031</v>
      </c>
      <c r="B38" s="2067"/>
      <c r="C38" s="2067"/>
      <c r="D38" s="2067"/>
      <c r="E38" s="2067"/>
      <c r="F38" s="2035"/>
      <c r="G38" s="2035"/>
      <c r="H38" s="2036"/>
      <c r="I38" s="2086"/>
      <c r="J38" s="2006"/>
      <c r="K38" s="2006"/>
      <c r="L38" s="2006"/>
      <c r="M38" s="2006"/>
      <c r="N38" s="2006"/>
      <c r="O38" s="2006"/>
      <c r="P38" s="2007"/>
      <c r="Q38" s="2007"/>
      <c r="R38" s="2007"/>
      <c r="S38" s="2008"/>
      <c r="T38" s="2005"/>
      <c r="U38" s="2006"/>
      <c r="V38" s="2006"/>
      <c r="W38" s="2006"/>
      <c r="X38" s="2007"/>
      <c r="Y38" s="2007"/>
      <c r="Z38" s="2007"/>
      <c r="AA38" s="2008"/>
    </row>
    <row r="39" spans="1:27" ht="12" customHeight="1" x14ac:dyDescent="0.2">
      <c r="A39" s="2090" t="s">
        <v>528</v>
      </c>
      <c r="B39" s="2091"/>
      <c r="C39" s="69"/>
      <c r="D39" s="66"/>
      <c r="E39" s="66"/>
      <c r="F39" s="76"/>
      <c r="G39" s="66"/>
      <c r="H39" s="53"/>
      <c r="I39" s="2090" t="s">
        <v>528</v>
      </c>
      <c r="J39" s="2091"/>
      <c r="K39" s="2091"/>
      <c r="L39" s="2091"/>
      <c r="M39" s="2091"/>
      <c r="N39" s="64"/>
      <c r="O39" s="69"/>
      <c r="P39" s="69"/>
      <c r="Q39" s="75"/>
      <c r="R39" s="69"/>
      <c r="S39" s="53"/>
      <c r="T39" s="69" t="s">
        <v>528</v>
      </c>
      <c r="U39" s="48"/>
      <c r="V39" s="69"/>
      <c r="W39" s="47"/>
      <c r="X39" s="75"/>
      <c r="Y39" s="43"/>
      <c r="Z39" s="43"/>
      <c r="AA39" s="44"/>
    </row>
    <row r="40" spans="1:27" ht="13.5" customHeight="1" x14ac:dyDescent="0.2">
      <c r="A40" s="2093"/>
      <c r="B40" s="2094"/>
      <c r="C40" s="2095"/>
      <c r="D40" s="2095"/>
      <c r="E40" s="2095"/>
      <c r="F40" s="2096"/>
      <c r="G40" s="2096"/>
      <c r="H40" s="2097"/>
      <c r="I40" s="2009"/>
      <c r="J40" s="2011"/>
      <c r="K40" s="2011"/>
      <c r="L40" s="2011"/>
      <c r="M40" s="2011"/>
      <c r="N40" s="2011"/>
      <c r="O40" s="2011"/>
      <c r="P40" s="2011"/>
      <c r="Q40" s="2011"/>
      <c r="R40" s="2011"/>
      <c r="S40" s="2012"/>
      <c r="T40" s="2009"/>
      <c r="U40" s="2010"/>
      <c r="V40" s="2011"/>
      <c r="W40" s="2011"/>
      <c r="X40" s="2011"/>
      <c r="Y40" s="2011"/>
      <c r="Z40" s="2011"/>
      <c r="AA40" s="201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3">
        <v>8157435394</v>
      </c>
      <c r="B42" s="2084"/>
      <c r="C42" s="2085"/>
      <c r="D42" s="2098"/>
      <c r="E42" s="2084"/>
      <c r="F42" s="2084"/>
      <c r="G42" s="2084"/>
      <c r="H42" s="2085"/>
      <c r="I42" s="2004"/>
      <c r="J42" s="2000"/>
      <c r="K42" s="2000"/>
      <c r="L42" s="2000"/>
      <c r="M42" s="2000"/>
      <c r="N42" s="2000"/>
      <c r="O42" s="2001"/>
      <c r="P42" s="1999"/>
      <c r="Q42" s="2000"/>
      <c r="R42" s="2000"/>
      <c r="S42" s="2001"/>
      <c r="T42" s="2004"/>
      <c r="U42" s="2000"/>
      <c r="V42" s="2000"/>
      <c r="W42" s="2001"/>
      <c r="X42" s="1999"/>
      <c r="Y42" s="2000"/>
      <c r="Z42" s="2000"/>
      <c r="AA42" s="200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7"/>
      <c r="B44" s="2088"/>
      <c r="C44" s="2088"/>
      <c r="D44" s="2088"/>
      <c r="E44" s="2088"/>
      <c r="F44" s="2088"/>
      <c r="G44" s="2088"/>
      <c r="H44" s="2089"/>
      <c r="I44" s="2079"/>
      <c r="J44" s="2081"/>
      <c r="K44" s="2081"/>
      <c r="L44" s="2081"/>
      <c r="M44" s="2081"/>
      <c r="N44" s="2081"/>
      <c r="O44" s="2081"/>
      <c r="P44" s="2081"/>
      <c r="Q44" s="2081"/>
      <c r="R44" s="2081"/>
      <c r="S44" s="2082"/>
      <c r="T44" s="2079"/>
      <c r="U44" s="2080"/>
      <c r="V44" s="2080"/>
      <c r="W44" s="2080"/>
      <c r="X44" s="2080"/>
      <c r="Y44" s="2080"/>
      <c r="Z44" s="2081"/>
      <c r="AA44" s="2082"/>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1"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2"/>
      <c r="B3" s="1339"/>
      <c r="C3" s="1340"/>
      <c r="D3" s="1341" t="s">
        <v>254</v>
      </c>
      <c r="E3" s="1340"/>
      <c r="F3" s="1341" t="s">
        <v>255</v>
      </c>
    </row>
    <row r="4" spans="1:8" ht="13.7" customHeight="1" x14ac:dyDescent="0.2">
      <c r="A4" s="579" t="s">
        <v>1147</v>
      </c>
      <c r="B4" s="1771">
        <f>'Revenues 9-14'!C5</f>
        <v>594068</v>
      </c>
      <c r="C4" s="1772">
        <v>594104</v>
      </c>
      <c r="D4" s="1773">
        <f>B4-C4</f>
        <v>-36</v>
      </c>
      <c r="E4" s="1772">
        <v>627190</v>
      </c>
      <c r="F4" s="1773">
        <f>E4-C4</f>
        <v>33086</v>
      </c>
    </row>
    <row r="5" spans="1:8" ht="13.7" customHeight="1" x14ac:dyDescent="0.2">
      <c r="A5" s="579" t="s">
        <v>865</v>
      </c>
      <c r="B5" s="1774">
        <f>'Revenues 9-14'!D5</f>
        <v>53877</v>
      </c>
      <c r="C5" s="1714">
        <v>53880</v>
      </c>
      <c r="D5" s="1775">
        <f t="shared" ref="D5:D18" si="0">B5-C5</f>
        <v>-3</v>
      </c>
      <c r="E5" s="1714">
        <v>54000</v>
      </c>
      <c r="F5" s="1775">
        <f>E5-C5</f>
        <v>120</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21551</v>
      </c>
      <c r="C7" s="1714">
        <v>21552</v>
      </c>
      <c r="D7" s="1775">
        <f t="shared" si="0"/>
        <v>-1</v>
      </c>
      <c r="E7" s="1714">
        <v>22000</v>
      </c>
      <c r="F7" s="1775">
        <f t="shared" si="1"/>
        <v>448</v>
      </c>
    </row>
    <row r="8" spans="1:8" ht="13.7" customHeight="1" x14ac:dyDescent="0.2">
      <c r="A8" s="579" t="s">
        <v>1171</v>
      </c>
      <c r="B8" s="1774">
        <f>'Revenues 9-14'!G5</f>
        <v>9801</v>
      </c>
      <c r="C8" s="1714">
        <v>9797</v>
      </c>
      <c r="D8" s="1775">
        <f t="shared" si="0"/>
        <v>4</v>
      </c>
      <c r="E8" s="1714">
        <v>10250</v>
      </c>
      <c r="F8" s="1775">
        <f t="shared" si="1"/>
        <v>453</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f>'Revenues 9-14'!J5</f>
        <v>19592</v>
      </c>
      <c r="C11" s="1714">
        <v>19592</v>
      </c>
      <c r="D11" s="1775">
        <f t="shared" si="0"/>
        <v>0</v>
      </c>
      <c r="E11" s="1714">
        <v>20500</v>
      </c>
      <c r="F11" s="1775">
        <f t="shared" si="1"/>
        <v>908</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0</v>
      </c>
      <c r="C14" s="1714"/>
      <c r="D14" s="1775">
        <f t="shared" si="0"/>
        <v>0</v>
      </c>
      <c r="E14" s="1714"/>
      <c r="F14" s="1775">
        <f t="shared" si="1"/>
        <v>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9793</v>
      </c>
      <c r="C16" s="1714">
        <v>9797</v>
      </c>
      <c r="D16" s="1775">
        <f t="shared" si="0"/>
        <v>-4</v>
      </c>
      <c r="E16" s="1714">
        <v>10250</v>
      </c>
      <c r="F16" s="1775">
        <f t="shared" si="1"/>
        <v>453</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708682</v>
      </c>
      <c r="C19" s="1776">
        <f>SUM(C4:C18)</f>
        <v>708722</v>
      </c>
      <c r="D19" s="1776">
        <f>SUM(D4:D18)</f>
        <v>-40</v>
      </c>
      <c r="E19" s="1776">
        <f>SUM(E4:E18)</f>
        <v>744190</v>
      </c>
      <c r="F19" s="1776">
        <f>SUM(F4:F18)</f>
        <v>35468</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7" t="s">
        <v>625</v>
      </c>
      <c r="B1" s="2248"/>
      <c r="C1" s="585"/>
    </row>
    <row r="2" spans="1:7" ht="33.75" x14ac:dyDescent="0.2">
      <c r="A2" s="2256" t="s">
        <v>1782</v>
      </c>
      <c r="B2" s="2257"/>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60" t="s">
        <v>1106</v>
      </c>
      <c r="B3" s="2261"/>
      <c r="C3" s="2249"/>
      <c r="D3" s="2250"/>
      <c r="E3" s="2250"/>
      <c r="F3" s="2251"/>
    </row>
    <row r="4" spans="1:7" ht="12.75" customHeight="1" thickBot="1" x14ac:dyDescent="0.25">
      <c r="A4" s="2258" t="s">
        <v>626</v>
      </c>
      <c r="B4" s="2259"/>
      <c r="C4" s="1706"/>
      <c r="D4" s="1706"/>
      <c r="E4" s="1706"/>
      <c r="F4" s="1782">
        <f>SUM(C4+D4)-E4</f>
        <v>0</v>
      </c>
    </row>
    <row r="5" spans="1:7" ht="15.75" customHeight="1" thickTop="1" x14ac:dyDescent="0.2">
      <c r="A5" s="2243" t="s">
        <v>1103</v>
      </c>
      <c r="B5" s="2244"/>
      <c r="C5" s="2252"/>
      <c r="D5" s="2253"/>
      <c r="E5" s="2253"/>
      <c r="F5" s="2254"/>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45" t="s">
        <v>627</v>
      </c>
      <c r="B15" s="2246"/>
      <c r="C15" s="1782">
        <f>SUM(C6:C14)</f>
        <v>0</v>
      </c>
      <c r="D15" s="1782">
        <f>SUM(D6:D14)</f>
        <v>0</v>
      </c>
      <c r="E15" s="1782">
        <f>SUM(E6:E14)</f>
        <v>0</v>
      </c>
      <c r="F15" s="1782">
        <f>SUM(F6:F14)</f>
        <v>0</v>
      </c>
      <c r="G15" s="473"/>
    </row>
    <row r="16" spans="1:7" s="197" customFormat="1" ht="15.75" customHeight="1" thickTop="1" x14ac:dyDescent="0.2">
      <c r="A16" s="2255" t="s">
        <v>1104</v>
      </c>
      <c r="B16" s="2244"/>
      <c r="C16" s="2252"/>
      <c r="D16" s="2253"/>
      <c r="E16" s="2253"/>
      <c r="F16" s="2254"/>
    </row>
    <row r="17" spans="1:11" ht="12.75" customHeight="1" thickBot="1" x14ac:dyDescent="0.25">
      <c r="A17" s="2268" t="s">
        <v>64</v>
      </c>
      <c r="B17" s="2269"/>
      <c r="C17" s="1783"/>
      <c r="D17" s="1714"/>
      <c r="E17" s="1783"/>
      <c r="F17" s="1782">
        <f>SUM(C17+D17)-E17</f>
        <v>0</v>
      </c>
    </row>
    <row r="18" spans="1:11" ht="12.75" customHeight="1" thickTop="1" thickBot="1" x14ac:dyDescent="0.25">
      <c r="A18" s="2268" t="s">
        <v>6</v>
      </c>
      <c r="B18" s="2269"/>
      <c r="C18" s="1783"/>
      <c r="D18" s="1714"/>
      <c r="E18" s="1783"/>
      <c r="F18" s="1782">
        <f>SUM(C18+D18)-E18</f>
        <v>0</v>
      </c>
    </row>
    <row r="19" spans="1:11" ht="12.75" customHeight="1" thickTop="1" thickBot="1" x14ac:dyDescent="0.25">
      <c r="A19" s="2268" t="s">
        <v>385</v>
      </c>
      <c r="B19" s="2269"/>
      <c r="C19" s="1783"/>
      <c r="D19" s="1714"/>
      <c r="E19" s="1783"/>
      <c r="F19" s="1782">
        <f>SUM(C19+D19)-E19</f>
        <v>0</v>
      </c>
    </row>
    <row r="20" spans="1:11" ht="12.75" customHeight="1" thickTop="1" thickBot="1" x14ac:dyDescent="0.25">
      <c r="A20" s="2268" t="s">
        <v>445</v>
      </c>
      <c r="B20" s="2269"/>
      <c r="C20" s="1783"/>
      <c r="D20" s="1714"/>
      <c r="E20" s="1783"/>
      <c r="F20" s="1782">
        <f>SUM(C20+D20)-E20</f>
        <v>0</v>
      </c>
    </row>
    <row r="21" spans="1:11" ht="14.25" thickTop="1" thickBot="1" x14ac:dyDescent="0.25">
      <c r="A21" s="2245" t="s">
        <v>628</v>
      </c>
      <c r="B21" s="2246"/>
      <c r="C21" s="1782">
        <f>SUM(C17:C20)</f>
        <v>0</v>
      </c>
      <c r="D21" s="1782">
        <f>SUM(D17:D20)</f>
        <v>0</v>
      </c>
      <c r="E21" s="1782">
        <f>SUM(E17:E20)</f>
        <v>0</v>
      </c>
      <c r="F21" s="1782">
        <f>SUM(F17:F20)</f>
        <v>0</v>
      </c>
      <c r="G21" s="473"/>
    </row>
    <row r="22" spans="1:11" ht="15.75" customHeight="1" thickTop="1" x14ac:dyDescent="0.2">
      <c r="A22" s="2270" t="s">
        <v>1105</v>
      </c>
      <c r="B22" s="2244"/>
      <c r="C22" s="2252"/>
      <c r="D22" s="2253"/>
      <c r="E22" s="2253"/>
      <c r="F22" s="2254"/>
    </row>
    <row r="23" spans="1:11" ht="13.5" thickBot="1" x14ac:dyDescent="0.25">
      <c r="A23" s="2258" t="s">
        <v>629</v>
      </c>
      <c r="B23" s="2259"/>
      <c r="C23" s="1706"/>
      <c r="D23" s="1706"/>
      <c r="E23" s="1706"/>
      <c r="F23" s="1782">
        <f>SUM(C23+D23)-E23</f>
        <v>0</v>
      </c>
      <c r="G23" s="473"/>
    </row>
    <row r="24" spans="1:11" ht="15.75" customHeight="1" thickTop="1" x14ac:dyDescent="0.2">
      <c r="A24" s="2270" t="s">
        <v>2009</v>
      </c>
      <c r="B24" s="2244"/>
      <c r="C24" s="2252"/>
      <c r="D24" s="2253"/>
      <c r="E24" s="2253"/>
      <c r="F24" s="2254"/>
    </row>
    <row r="25" spans="1:11" ht="13.5" thickBot="1" x14ac:dyDescent="0.25">
      <c r="A25" s="2258" t="s">
        <v>2010</v>
      </c>
      <c r="B25" s="2259"/>
      <c r="C25" s="1706"/>
      <c r="D25" s="1706"/>
      <c r="E25" s="1706"/>
      <c r="F25" s="1782">
        <f>SUM(C25+D25)-E25</f>
        <v>0</v>
      </c>
      <c r="G25" s="473"/>
    </row>
    <row r="26" spans="1:11" ht="15.75" customHeight="1" thickTop="1" x14ac:dyDescent="0.2">
      <c r="A26" s="2243" t="s">
        <v>652</v>
      </c>
      <c r="B26" s="2244"/>
      <c r="C26" s="589"/>
      <c r="D26" s="589"/>
      <c r="E26" s="589"/>
      <c r="F26" s="590"/>
    </row>
    <row r="27" spans="1:11" ht="13.5" thickBot="1" x14ac:dyDescent="0.25">
      <c r="A27" s="2245" t="s">
        <v>1063</v>
      </c>
      <c r="B27" s="2246"/>
      <c r="C27" s="1714"/>
      <c r="D27" s="1714"/>
      <c r="E27" s="1714"/>
      <c r="F27" s="1782">
        <f>SUM(C27+D27)-E27</f>
        <v>0</v>
      </c>
      <c r="G27" s="473"/>
    </row>
    <row r="28" spans="1:11" ht="7.5" customHeight="1" thickTop="1" x14ac:dyDescent="0.2">
      <c r="A28" s="489"/>
    </row>
    <row r="29" spans="1:11" ht="23.25" customHeight="1" x14ac:dyDescent="0.2">
      <c r="A29" s="2271" t="s">
        <v>578</v>
      </c>
      <c r="B29" s="2248"/>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c r="B31" s="595"/>
      <c r="C31" s="1784"/>
      <c r="D31" s="1785"/>
      <c r="E31" s="1784"/>
      <c r="F31" s="1784"/>
      <c r="G31" s="1784"/>
      <c r="H31" s="1784"/>
      <c r="I31" s="1786">
        <f>((E31+F31)-H31)+G31</f>
        <v>0</v>
      </c>
      <c r="J31" s="1784"/>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0</v>
      </c>
      <c r="D49" s="1792"/>
      <c r="E49" s="1786">
        <f t="shared" ref="E49:J49" si="2">SUM(E31:E48)</f>
        <v>0</v>
      </c>
      <c r="F49" s="1786">
        <f t="shared" si="2"/>
        <v>0</v>
      </c>
      <c r="G49" s="1786">
        <f t="shared" si="2"/>
        <v>0</v>
      </c>
      <c r="H49" s="1786">
        <f t="shared" si="2"/>
        <v>0</v>
      </c>
      <c r="I49" s="1786">
        <f t="shared" si="2"/>
        <v>0</v>
      </c>
      <c r="J49" s="1786">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62" t="s">
        <v>580</v>
      </c>
      <c r="C52" s="2263"/>
      <c r="D52" s="2263"/>
      <c r="E52" s="603" t="s">
        <v>840</v>
      </c>
      <c r="F52" s="2264"/>
      <c r="G52" s="2265"/>
      <c r="H52" s="596"/>
      <c r="I52" s="596"/>
      <c r="J52" s="600"/>
    </row>
    <row r="53" spans="1:11" ht="11.25" customHeight="1" x14ac:dyDescent="0.2">
      <c r="A53" s="604" t="s">
        <v>907</v>
      </c>
      <c r="B53" s="605" t="s">
        <v>945</v>
      </c>
      <c r="C53" s="600"/>
      <c r="D53" s="597"/>
      <c r="E53" s="603" t="s">
        <v>494</v>
      </c>
      <c r="F53" s="2266"/>
      <c r="G53" s="2267"/>
      <c r="H53" s="596"/>
      <c r="I53" s="596"/>
      <c r="J53" s="600"/>
    </row>
    <row r="54" spans="1:11" ht="11.25" customHeight="1" x14ac:dyDescent="0.2">
      <c r="A54" s="606" t="s">
        <v>908</v>
      </c>
      <c r="B54" s="601" t="s">
        <v>946</v>
      </c>
      <c r="C54" s="600"/>
      <c r="D54" s="597"/>
      <c r="E54" s="603" t="s">
        <v>495</v>
      </c>
      <c r="F54" s="2266"/>
      <c r="G54" s="226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19" colorId="8" zoomScale="110" zoomScaleNormal="110" workbookViewId="0">
      <selection activeCell="J16" sqref="J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98" t="s">
        <v>851</v>
      </c>
      <c r="B1" s="2299"/>
      <c r="C1" s="2299"/>
      <c r="D1" s="2299"/>
      <c r="E1" s="2299"/>
      <c r="F1" s="2299"/>
      <c r="G1" s="2300"/>
      <c r="H1" s="1343"/>
      <c r="I1" s="614"/>
      <c r="J1" s="400"/>
    </row>
    <row r="2" spans="1:11" ht="26.25" x14ac:dyDescent="0.2">
      <c r="A2" s="2275" t="s">
        <v>1661</v>
      </c>
      <c r="B2" s="2276"/>
      <c r="C2" s="2276"/>
      <c r="D2" s="2276"/>
      <c r="E2" s="2277"/>
      <c r="F2" s="615" t="s">
        <v>898</v>
      </c>
      <c r="G2" s="616" t="s">
        <v>1658</v>
      </c>
      <c r="H2" s="616" t="s">
        <v>407</v>
      </c>
      <c r="I2" s="616" t="s">
        <v>1150</v>
      </c>
      <c r="J2" s="616" t="s">
        <v>1792</v>
      </c>
      <c r="K2" s="616" t="s">
        <v>137</v>
      </c>
    </row>
    <row r="3" spans="1:11" x14ac:dyDescent="0.2">
      <c r="A3" s="2278" t="str">
        <f>"Cash Basis Fund Balance as of July 1, "&amp;'AFR20'!E2-1</f>
        <v>Cash Basis Fund Balance as of July 1, 2019</v>
      </c>
      <c r="B3" s="2279"/>
      <c r="C3" s="2279"/>
      <c r="D3" s="2279"/>
      <c r="E3" s="2280"/>
      <c r="F3" s="617"/>
      <c r="G3" s="1794"/>
      <c r="H3" s="1794"/>
      <c r="I3" s="1794"/>
      <c r="J3" s="1795">
        <v>27324</v>
      </c>
      <c r="K3" s="1795"/>
    </row>
    <row r="4" spans="1:11" x14ac:dyDescent="0.2">
      <c r="A4" s="2281" t="s">
        <v>366</v>
      </c>
      <c r="B4" s="2282"/>
      <c r="C4" s="2282"/>
      <c r="D4" s="2282"/>
      <c r="E4" s="2263"/>
      <c r="F4" s="620"/>
      <c r="G4" s="1796"/>
      <c r="H4" s="1797"/>
      <c r="I4" s="1796"/>
      <c r="J4" s="1798"/>
      <c r="K4" s="1798"/>
    </row>
    <row r="5" spans="1:11" x14ac:dyDescent="0.2">
      <c r="A5" s="2301" t="s">
        <v>1062</v>
      </c>
      <c r="B5" s="2272"/>
      <c r="C5" s="2272"/>
      <c r="D5" s="2272"/>
      <c r="E5" s="2302"/>
      <c r="F5" s="622" t="s">
        <v>843</v>
      </c>
      <c r="G5" s="1799"/>
      <c r="H5" s="1794"/>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v>25727</v>
      </c>
      <c r="K8" s="1798"/>
    </row>
    <row r="9" spans="1:11" x14ac:dyDescent="0.2">
      <c r="A9" s="629" t="s">
        <v>137</v>
      </c>
      <c r="B9" s="630"/>
      <c r="C9" s="630"/>
      <c r="D9" s="630"/>
      <c r="E9" s="631"/>
      <c r="F9" s="628" t="s">
        <v>848</v>
      </c>
      <c r="G9" s="1803"/>
      <c r="H9" s="1799"/>
      <c r="I9" s="1799"/>
      <c r="J9" s="1802"/>
      <c r="K9" s="1795"/>
    </row>
    <row r="10" spans="1:11" x14ac:dyDescent="0.2">
      <c r="A10" s="2301" t="s">
        <v>1793</v>
      </c>
      <c r="B10" s="2272"/>
      <c r="C10" s="2272"/>
      <c r="D10" s="2272"/>
      <c r="E10" s="2303"/>
      <c r="F10" s="633" t="s">
        <v>857</v>
      </c>
      <c r="G10" s="1803"/>
      <c r="H10" s="1804"/>
      <c r="I10" s="1794"/>
      <c r="J10" s="1795"/>
      <c r="K10" s="1795"/>
    </row>
    <row r="11" spans="1:11" x14ac:dyDescent="0.2">
      <c r="A11" s="2301" t="s">
        <v>159</v>
      </c>
      <c r="B11" s="2272"/>
      <c r="C11" s="2272"/>
      <c r="D11" s="2272"/>
      <c r="E11" s="2302"/>
      <c r="F11" s="622" t="s">
        <v>847</v>
      </c>
      <c r="G11" s="1799"/>
      <c r="H11" s="1794"/>
      <c r="I11" s="1794"/>
      <c r="J11" s="1795"/>
      <c r="K11" s="1801"/>
    </row>
    <row r="12" spans="1:11" ht="13.5" thickBot="1" x14ac:dyDescent="0.25">
      <c r="A12" s="2289" t="s">
        <v>899</v>
      </c>
      <c r="B12" s="2290"/>
      <c r="C12" s="2290"/>
      <c r="D12" s="2290"/>
      <c r="E12" s="2291"/>
      <c r="F12" s="1482"/>
      <c r="G12" s="1805">
        <f>SUM(G5:G11)</f>
        <v>0</v>
      </c>
      <c r="H12" s="1805">
        <f>SUM(H5:H11)</f>
        <v>0</v>
      </c>
      <c r="I12" s="1805">
        <f>SUM(I5:I11)</f>
        <v>0</v>
      </c>
      <c r="J12" s="1805">
        <f>SUM(J5:J11)</f>
        <v>25727</v>
      </c>
      <c r="K12" s="1805">
        <f>SUM(K5:K11)</f>
        <v>0</v>
      </c>
    </row>
    <row r="13" spans="1:11" ht="13.5" thickTop="1" x14ac:dyDescent="0.2">
      <c r="A13" s="2283" t="s">
        <v>367</v>
      </c>
      <c r="B13" s="2284"/>
      <c r="C13" s="2284"/>
      <c r="D13" s="2284"/>
      <c r="E13" s="2285"/>
      <c r="F13" s="634"/>
      <c r="G13" s="1806"/>
      <c r="H13" s="1807"/>
      <c r="I13" s="1808"/>
      <c r="J13" s="1808"/>
      <c r="K13" s="1808"/>
    </row>
    <row r="14" spans="1:11" x14ac:dyDescent="0.2">
      <c r="A14" s="2307" t="s">
        <v>453</v>
      </c>
      <c r="B14" s="2307"/>
      <c r="C14" s="2307"/>
      <c r="D14" s="2307"/>
      <c r="E14" s="2308"/>
      <c r="F14" s="635" t="s">
        <v>849</v>
      </c>
      <c r="G14" s="1803"/>
      <c r="H14" s="1794"/>
      <c r="I14" s="1799"/>
      <c r="J14" s="1801"/>
      <c r="K14" s="1795"/>
    </row>
    <row r="15" spans="1:11" x14ac:dyDescent="0.2">
      <c r="A15" s="2272" t="s">
        <v>4</v>
      </c>
      <c r="B15" s="2272"/>
      <c r="C15" s="2272"/>
      <c r="D15" s="2272"/>
      <c r="E15" s="2302"/>
      <c r="F15" s="635" t="s">
        <v>850</v>
      </c>
      <c r="G15" s="1799"/>
      <c r="H15" s="1794"/>
      <c r="I15" s="1794"/>
      <c r="J15" s="1795">
        <v>30080</v>
      </c>
      <c r="K15" s="1795"/>
    </row>
    <row r="16" spans="1:11" x14ac:dyDescent="0.2">
      <c r="A16" s="2272" t="s">
        <v>295</v>
      </c>
      <c r="B16" s="2272"/>
      <c r="C16" s="2272"/>
      <c r="D16" s="2272"/>
      <c r="E16" s="2302"/>
      <c r="F16" s="635" t="s">
        <v>917</v>
      </c>
      <c r="G16" s="1800"/>
      <c r="H16" s="1796"/>
      <c r="I16" s="1796"/>
      <c r="J16" s="1798"/>
      <c r="K16" s="1798"/>
    </row>
    <row r="17" spans="1:15" x14ac:dyDescent="0.2">
      <c r="A17" s="2296" t="s">
        <v>929</v>
      </c>
      <c r="B17" s="2296"/>
      <c r="C17" s="2296"/>
      <c r="D17" s="2296"/>
      <c r="E17" s="2297"/>
      <c r="F17" s="636"/>
      <c r="G17" s="1809"/>
      <c r="H17" s="1810"/>
      <c r="I17" s="1810"/>
      <c r="J17" s="1811"/>
      <c r="K17" s="1812"/>
    </row>
    <row r="18" spans="1:15" x14ac:dyDescent="0.2">
      <c r="A18" s="2286" t="s">
        <v>365</v>
      </c>
      <c r="B18" s="2287"/>
      <c r="C18" s="2287"/>
      <c r="D18" s="2287"/>
      <c r="E18" s="2288"/>
      <c r="F18" s="635" t="s">
        <v>926</v>
      </c>
      <c r="G18" s="1803"/>
      <c r="H18" s="1803"/>
      <c r="I18" s="1803"/>
      <c r="J18" s="1795"/>
      <c r="K18" s="1813"/>
    </row>
    <row r="19" spans="1:15" ht="21.75" customHeight="1" x14ac:dyDescent="0.2">
      <c r="A19" s="2309" t="s">
        <v>1789</v>
      </c>
      <c r="B19" s="2309"/>
      <c r="C19" s="2309"/>
      <c r="D19" s="2309"/>
      <c r="E19" s="2310"/>
      <c r="F19" s="635" t="s">
        <v>927</v>
      </c>
      <c r="G19" s="1803"/>
      <c r="H19" s="1803"/>
      <c r="I19" s="1803"/>
      <c r="J19" s="1795"/>
      <c r="K19" s="1813"/>
    </row>
    <row r="20" spans="1:15" x14ac:dyDescent="0.2">
      <c r="A20" s="2286" t="s">
        <v>1794</v>
      </c>
      <c r="B20" s="2287"/>
      <c r="C20" s="2287"/>
      <c r="D20" s="2287"/>
      <c r="E20" s="2288"/>
      <c r="F20" s="635" t="s">
        <v>928</v>
      </c>
      <c r="G20" s="1803"/>
      <c r="H20" s="1803"/>
      <c r="I20" s="1803"/>
      <c r="J20" s="1795"/>
      <c r="K20" s="1813"/>
    </row>
    <row r="21" spans="1:15" ht="13.5" thickBot="1" x14ac:dyDescent="0.25">
      <c r="A21" s="2292" t="s">
        <v>633</v>
      </c>
      <c r="B21" s="2292"/>
      <c r="C21" s="2292"/>
      <c r="D21" s="2292"/>
      <c r="E21" s="2292"/>
      <c r="F21" s="1483"/>
      <c r="G21" s="1810"/>
      <c r="H21" s="1814"/>
      <c r="I21" s="1814"/>
      <c r="J21" s="1815">
        <f>SUM(J18:J20)</f>
        <v>0</v>
      </c>
      <c r="K21" s="1811"/>
    </row>
    <row r="22" spans="1:15" ht="13.5" thickTop="1" x14ac:dyDescent="0.2">
      <c r="A22" s="2272" t="s">
        <v>1795</v>
      </c>
      <c r="B22" s="2272"/>
      <c r="C22" s="2272"/>
      <c r="D22" s="2272"/>
      <c r="E22" s="2302"/>
      <c r="F22" s="635" t="s">
        <v>857</v>
      </c>
      <c r="G22" s="1803"/>
      <c r="H22" s="1794"/>
      <c r="I22" s="1794"/>
      <c r="J22" s="1816"/>
      <c r="K22" s="1795"/>
    </row>
    <row r="23" spans="1:15" ht="13.5" thickBot="1" x14ac:dyDescent="0.25">
      <c r="A23" s="2293" t="s">
        <v>900</v>
      </c>
      <c r="B23" s="2292"/>
      <c r="C23" s="2292"/>
      <c r="D23" s="2292"/>
      <c r="E23" s="2292"/>
      <c r="F23" s="1485"/>
      <c r="G23" s="1805">
        <f>SUM(G14:G16,G21,G22)</f>
        <v>0</v>
      </c>
      <c r="H23" s="1805">
        <f>SUM(H14:H16,H21,H22)</f>
        <v>0</v>
      </c>
      <c r="I23" s="1805">
        <f>SUM(I14:I16,I21,I22)</f>
        <v>0</v>
      </c>
      <c r="J23" s="1805">
        <f>SUM(J14:J16,J21,J22)</f>
        <v>30080</v>
      </c>
      <c r="K23" s="1805">
        <f>SUM(K14:K16,K21,K22)</f>
        <v>0</v>
      </c>
      <c r="M23" s="1904"/>
      <c r="N23" s="1904"/>
      <c r="O23" s="1904"/>
    </row>
    <row r="24" spans="1:15" ht="14.25" thickTop="1" thickBot="1" x14ac:dyDescent="0.25">
      <c r="A24" s="2294" t="str">
        <f>"Ending Cash Basis Fund Balance as of June 30, "&amp;'AFR20'!E2</f>
        <v>Ending Cash Basis Fund Balance as of June 30, 2020</v>
      </c>
      <c r="B24" s="2295"/>
      <c r="C24" s="2295"/>
      <c r="D24" s="2295"/>
      <c r="E24" s="2295"/>
      <c r="F24" s="1486"/>
      <c r="G24" s="1817">
        <f>SUM(G3,G12)-G23</f>
        <v>0</v>
      </c>
      <c r="H24" s="1817">
        <f>SUM(H3,H12)-H23</f>
        <v>0</v>
      </c>
      <c r="I24" s="1817">
        <f>SUM(I3,I12)-I23</f>
        <v>0</v>
      </c>
      <c r="J24" s="1817">
        <f>SUM(J3,J12)-J23</f>
        <v>22971</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22971</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4"/>
      <c r="I31" s="2305"/>
      <c r="J31" s="2305"/>
      <c r="K31" s="2305"/>
    </row>
    <row r="32" spans="1:15" x14ac:dyDescent="0.2">
      <c r="A32" s="649"/>
      <c r="B32" s="232"/>
      <c r="C32" s="232"/>
      <c r="D32" s="232"/>
      <c r="E32" s="645"/>
      <c r="F32" s="651" t="s">
        <v>537</v>
      </c>
      <c r="G32" s="618"/>
      <c r="H32" s="2306"/>
      <c r="I32" s="2305"/>
      <c r="J32" s="2305"/>
      <c r="K32" s="2305"/>
    </row>
    <row r="33" spans="1:11" ht="1.5" customHeight="1" x14ac:dyDescent="0.2">
      <c r="A33" s="652" t="s">
        <v>1161</v>
      </c>
      <c r="B33" s="341"/>
      <c r="C33" s="341"/>
      <c r="D33" s="341"/>
      <c r="E33" s="341"/>
      <c r="F33" s="341"/>
      <c r="G33" s="653"/>
      <c r="H33" s="2306"/>
      <c r="I33" s="2305"/>
      <c r="J33" s="2305"/>
      <c r="K33" s="2305"/>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2" t="s">
        <v>538</v>
      </c>
      <c r="B41" s="2273"/>
      <c r="C41" s="2273"/>
      <c r="D41" s="2273"/>
      <c r="E41" s="2273"/>
      <c r="F41" s="227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3" t="s">
        <v>1878</v>
      </c>
      <c r="B1" s="2314"/>
      <c r="C1" s="2315"/>
      <c r="D1" s="666"/>
      <c r="E1" s="667"/>
      <c r="F1" s="667"/>
      <c r="G1" s="668"/>
      <c r="H1" s="669"/>
      <c r="I1" s="670"/>
      <c r="J1" s="2311"/>
      <c r="K1" s="2312"/>
      <c r="L1" s="2312"/>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2500</v>
      </c>
      <c r="D5" s="1820"/>
      <c r="E5" s="1820"/>
      <c r="F5" s="1815">
        <f>(C5+D5)-E5</f>
        <v>2500</v>
      </c>
      <c r="G5" s="676"/>
      <c r="H5" s="680"/>
      <c r="I5" s="680"/>
      <c r="J5" s="680"/>
      <c r="K5" s="637"/>
      <c r="L5" s="1491">
        <f>F5-K5</f>
        <v>2500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237980</v>
      </c>
      <c r="D8" s="1821">
        <v>26900</v>
      </c>
      <c r="E8" s="1821"/>
      <c r="F8" s="1815">
        <f>(C8+D8)-E8</f>
        <v>264880</v>
      </c>
      <c r="G8" s="681">
        <v>50</v>
      </c>
      <c r="H8" s="619">
        <v>181580</v>
      </c>
      <c r="I8" s="619">
        <v>2196</v>
      </c>
      <c r="J8" s="619"/>
      <c r="K8" s="1491">
        <f>(H8+I8)-J8</f>
        <v>183776</v>
      </c>
      <c r="L8" s="1491">
        <f>F8-K8</f>
        <v>81104</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9822</v>
      </c>
      <c r="D10" s="1822"/>
      <c r="E10" s="1822"/>
      <c r="F10" s="1823">
        <f>(C10+D10)-E10</f>
        <v>9822</v>
      </c>
      <c r="G10" s="681">
        <v>20</v>
      </c>
      <c r="H10" s="683">
        <v>9822</v>
      </c>
      <c r="I10" s="683"/>
      <c r="J10" s="683"/>
      <c r="K10" s="1491">
        <f>(H10+I10)-J10</f>
        <v>9822</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59164</v>
      </c>
      <c r="D12" s="1821">
        <v>2397</v>
      </c>
      <c r="E12" s="1821"/>
      <c r="F12" s="1815">
        <f>(C12+D12)-E12</f>
        <v>61561</v>
      </c>
      <c r="G12" s="681">
        <v>10</v>
      </c>
      <c r="H12" s="619">
        <v>57237</v>
      </c>
      <c r="I12" s="619">
        <v>1091</v>
      </c>
      <c r="J12" s="619"/>
      <c r="K12" s="1491">
        <f>(H12+I12)-J12</f>
        <v>58328</v>
      </c>
      <c r="L12" s="1491">
        <f>F12-K12</f>
        <v>3233</v>
      </c>
    </row>
    <row r="13" spans="1:14" ht="14.25" thickTop="1" thickBot="1" x14ac:dyDescent="0.25">
      <c r="A13" s="684" t="s">
        <v>1114</v>
      </c>
      <c r="B13" s="679">
        <v>252</v>
      </c>
      <c r="C13" s="1821">
        <v>83222</v>
      </c>
      <c r="D13" s="1821"/>
      <c r="E13" s="1821"/>
      <c r="F13" s="1815">
        <f>(C13+D13)-E13</f>
        <v>83222</v>
      </c>
      <c r="G13" s="681">
        <v>5</v>
      </c>
      <c r="H13" s="619">
        <v>75282</v>
      </c>
      <c r="I13" s="619">
        <v>4029</v>
      </c>
      <c r="J13" s="619"/>
      <c r="K13" s="1491">
        <f>(H13+I13)-J13</f>
        <v>79311</v>
      </c>
      <c r="L13" s="1491">
        <f>F13-K13</f>
        <v>3911</v>
      </c>
    </row>
    <row r="14" spans="1:14" ht="14.25" thickTop="1" thickBot="1" x14ac:dyDescent="0.25">
      <c r="A14" s="684" t="s">
        <v>1115</v>
      </c>
      <c r="B14" s="679">
        <v>253</v>
      </c>
      <c r="C14" s="1795">
        <v>13847</v>
      </c>
      <c r="D14" s="1795">
        <v>1410</v>
      </c>
      <c r="E14" s="1795"/>
      <c r="F14" s="1815">
        <f>(C14+D14)-E14</f>
        <v>15257</v>
      </c>
      <c r="G14" s="681">
        <v>3</v>
      </c>
      <c r="H14" s="619">
        <v>13210</v>
      </c>
      <c r="I14" s="619">
        <v>764</v>
      </c>
      <c r="J14" s="619"/>
      <c r="K14" s="1491">
        <f>(H14+I14)-J14</f>
        <v>13974</v>
      </c>
      <c r="L14" s="1491">
        <f>F14-K14</f>
        <v>1283</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406535</v>
      </c>
      <c r="D16" s="1815">
        <f>SUM(D3,D5:D6,D8:D10,D12:D15)</f>
        <v>30707</v>
      </c>
      <c r="E16" s="1815">
        <f>SUM(E3,E5:E6,E8:E10,E12:E15)</f>
        <v>0</v>
      </c>
      <c r="F16" s="1815">
        <f>SUM(F3,F5:F6,F8:F10,F12:F15)</f>
        <v>437242</v>
      </c>
      <c r="G16" s="681"/>
      <c r="H16" s="1484">
        <f>SUM(H3,H6,H8:H10,H12:H14,)</f>
        <v>337131</v>
      </c>
      <c r="I16" s="1484">
        <f>SUM(I3,I6,I8:I10,I12:I14,)</f>
        <v>8080</v>
      </c>
      <c r="J16" s="1484">
        <f>SUM(J3,J6,J8:J10,J12:J14,)</f>
        <v>0</v>
      </c>
      <c r="K16" s="1484">
        <f>(H16+I16)-J16</f>
        <v>345211</v>
      </c>
      <c r="L16" s="1484">
        <f>F16-K16</f>
        <v>92031</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8080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21"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9" t="str">
        <f>"ESTIMATED OPERATING EXPENSE PER PUPIL (OEPP)/PER CAPITA TUITION CHARGE (PCTC) COMPUTATIONS ("&amp;'AFR20'!E2-1&amp;" - "&amp;'AFR20'!E2&amp;")"</f>
        <v>ESTIMATED OPERATING EXPENSE PER PUPIL (OEPP)/PER CAPITA TUITION CHARGE (PCTC) COMPUTATIONS (2019 - 2020)</v>
      </c>
      <c r="B1" s="2320"/>
      <c r="C1" s="2320"/>
      <c r="D1" s="2320"/>
      <c r="E1" s="2320"/>
      <c r="F1" s="2321"/>
      <c r="G1" s="691"/>
      <c r="I1" s="701"/>
    </row>
    <row r="2" spans="1:9" ht="15" customHeight="1" thickBot="1" x14ac:dyDescent="0.25">
      <c r="A2" s="2322" t="s">
        <v>474</v>
      </c>
      <c r="B2" s="2323"/>
      <c r="C2" s="2323"/>
      <c r="D2" s="2323"/>
      <c r="E2" s="2323"/>
      <c r="F2" s="232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5"/>
      <c r="B5" s="2326"/>
      <c r="C5" s="2326"/>
      <c r="D5" s="2326"/>
      <c r="E5" s="2326"/>
      <c r="F5" s="2326"/>
    </row>
    <row r="6" spans="1:9" ht="13.5" customHeight="1" thickBot="1" x14ac:dyDescent="0.25">
      <c r="A6" s="2316" t="s">
        <v>1097</v>
      </c>
      <c r="B6" s="2317"/>
      <c r="C6" s="2317"/>
      <c r="D6" s="2317"/>
      <c r="E6" s="2317"/>
      <c r="F6" s="231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719862</v>
      </c>
      <c r="G8" s="701"/>
    </row>
    <row r="9" spans="1:9" x14ac:dyDescent="0.2">
      <c r="A9" s="705" t="s">
        <v>457</v>
      </c>
      <c r="B9" s="706" t="s">
        <v>1851</v>
      </c>
      <c r="C9" s="707"/>
      <c r="D9" s="705" t="s">
        <v>498</v>
      </c>
      <c r="E9" s="704"/>
      <c r="F9" s="1825">
        <f>'Expenditures 15-22'!K151</f>
        <v>69163</v>
      </c>
      <c r="G9" s="708"/>
    </row>
    <row r="10" spans="1:9" x14ac:dyDescent="0.2">
      <c r="A10" s="705" t="s">
        <v>496</v>
      </c>
      <c r="B10" s="706" t="s">
        <v>1852</v>
      </c>
      <c r="C10" s="707"/>
      <c r="D10" s="705" t="s">
        <v>498</v>
      </c>
      <c r="E10" s="704"/>
      <c r="F10" s="1825">
        <f>'Expenditures 15-22'!K174</f>
        <v>0</v>
      </c>
      <c r="G10" s="708"/>
    </row>
    <row r="11" spans="1:9" x14ac:dyDescent="0.2">
      <c r="A11" s="705" t="s">
        <v>458</v>
      </c>
      <c r="B11" s="706" t="s">
        <v>1853</v>
      </c>
      <c r="C11" s="707"/>
      <c r="D11" s="705" t="s">
        <v>498</v>
      </c>
      <c r="E11" s="704"/>
      <c r="F11" s="1825">
        <f>'Expenditures 15-22'!K210</f>
        <v>64391</v>
      </c>
      <c r="G11" s="708"/>
    </row>
    <row r="12" spans="1:9" x14ac:dyDescent="0.2">
      <c r="A12" s="705" t="s">
        <v>459</v>
      </c>
      <c r="B12" s="706" t="s">
        <v>1854</v>
      </c>
      <c r="C12" s="707"/>
      <c r="D12" s="705" t="s">
        <v>498</v>
      </c>
      <c r="E12" s="704"/>
      <c r="F12" s="1825">
        <f>'Expenditures 15-22'!K295</f>
        <v>23923</v>
      </c>
      <c r="G12" s="708"/>
    </row>
    <row r="13" spans="1:9" x14ac:dyDescent="0.2">
      <c r="A13" s="705" t="s">
        <v>106</v>
      </c>
      <c r="B13" s="706" t="s">
        <v>1855</v>
      </c>
      <c r="C13" s="707"/>
      <c r="D13" s="705" t="s">
        <v>498</v>
      </c>
      <c r="E13" s="704"/>
      <c r="F13" s="1825">
        <f>'Expenditures 15-22'!K342</f>
        <v>14227</v>
      </c>
      <c r="G13" s="709"/>
    </row>
    <row r="14" spans="1:9" ht="12" customHeight="1" thickBot="1" x14ac:dyDescent="0.25">
      <c r="A14" s="1492"/>
      <c r="B14" s="1493"/>
      <c r="C14" s="1494"/>
      <c r="D14" s="1495" t="s">
        <v>498</v>
      </c>
      <c r="E14" s="1496" t="s">
        <v>952</v>
      </c>
      <c r="F14" s="1826">
        <f>SUM(F8:F13)</f>
        <v>891566</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46423</v>
      </c>
      <c r="G53" s="701"/>
    </row>
    <row r="54" spans="1:7" x14ac:dyDescent="0.2">
      <c r="A54" s="705" t="s">
        <v>456</v>
      </c>
      <c r="B54" s="705" t="s">
        <v>1462</v>
      </c>
      <c r="C54" s="724" t="s">
        <v>975</v>
      </c>
      <c r="D54" s="720" t="s">
        <v>1088</v>
      </c>
      <c r="E54" s="704"/>
      <c r="F54" s="1832">
        <f>'Expenditures 15-22'!G114</f>
        <v>0</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0</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46423</v>
      </c>
      <c r="G77" s="701"/>
    </row>
    <row r="78" spans="1:9" s="728" customFormat="1" ht="12" customHeight="1" thickTop="1" thickBot="1" x14ac:dyDescent="0.25">
      <c r="A78" s="1499"/>
      <c r="B78" s="1497"/>
      <c r="C78" s="1494"/>
      <c r="D78" s="1498" t="s">
        <v>2015</v>
      </c>
      <c r="E78" s="1496"/>
      <c r="F78" s="1838">
        <f>(F14-F77)</f>
        <v>845143</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51.447000000000003</v>
      </c>
      <c r="G79" s="733"/>
      <c r="H79" s="705"/>
      <c r="I79" s="705"/>
    </row>
    <row r="80" spans="1:9" s="728" customFormat="1" ht="12" customHeight="1" thickBot="1" x14ac:dyDescent="0.25">
      <c r="A80" s="1501"/>
      <c r="B80" s="1497"/>
      <c r="C80" s="1494"/>
      <c r="D80" s="1498" t="s">
        <v>2016</v>
      </c>
      <c r="E80" s="1496" t="s">
        <v>952</v>
      </c>
      <c r="F80" s="1840">
        <f>IF(F79&gt;0,F78/F79," Complete Line 79")</f>
        <v>16427.449608334791</v>
      </c>
      <c r="G80" s="705"/>
    </row>
    <row r="81" spans="1:7" s="728" customFormat="1" ht="8.25" customHeight="1" thickTop="1" x14ac:dyDescent="0.2">
      <c r="A81" s="734"/>
      <c r="B81" s="705"/>
      <c r="C81" s="707"/>
      <c r="D81" s="735"/>
      <c r="E81" s="704"/>
      <c r="F81" s="1841"/>
      <c r="G81" s="705"/>
    </row>
    <row r="82" spans="1:7" s="728" customFormat="1" ht="12" thickBot="1" x14ac:dyDescent="0.25">
      <c r="A82" s="2316" t="s">
        <v>1098</v>
      </c>
      <c r="B82" s="2317"/>
      <c r="C82" s="2317"/>
      <c r="D82" s="2317"/>
      <c r="E82" s="2317"/>
      <c r="F82" s="231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8892</v>
      </c>
      <c r="G95" s="745"/>
    </row>
    <row r="96" spans="1:7" x14ac:dyDescent="0.2">
      <c r="A96" s="741" t="s">
        <v>139</v>
      </c>
      <c r="B96" s="741" t="s">
        <v>174</v>
      </c>
      <c r="C96" s="743">
        <v>1700</v>
      </c>
      <c r="D96" s="751" t="str">
        <f>'Revenues 9-14'!A82</f>
        <v>Total District/School Activity Income</v>
      </c>
      <c r="E96" s="739"/>
      <c r="F96" s="1843">
        <f>SUM('Revenues 9-14'!C82,'Revenues 9-14'!D82)</f>
        <v>35677</v>
      </c>
      <c r="G96" s="745"/>
    </row>
    <row r="97" spans="1:7" x14ac:dyDescent="0.2">
      <c r="A97" s="741" t="s">
        <v>456</v>
      </c>
      <c r="B97" s="741" t="s">
        <v>175</v>
      </c>
      <c r="C97" s="743">
        <f>'Revenues 9-14'!B84</f>
        <v>1811</v>
      </c>
      <c r="D97" s="744" t="str">
        <f>'Revenues 9-14'!A84</f>
        <v>Rentals - Regular Textbooks</v>
      </c>
      <c r="E97" s="739"/>
      <c r="F97" s="1843">
        <f>'Revenues 9-14'!C84</f>
        <v>959</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35</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31426</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5458</v>
      </c>
      <c r="G126" s="763"/>
    </row>
    <row r="127" spans="1:7" x14ac:dyDescent="0.2">
      <c r="A127" s="760" t="s">
        <v>663</v>
      </c>
      <c r="B127" s="760" t="s">
        <v>1934</v>
      </c>
      <c r="C127" s="765">
        <v>4300</v>
      </c>
      <c r="D127" s="766" t="str">
        <f>'Revenues 9-14'!A204</f>
        <v>Total Title I</v>
      </c>
      <c r="E127" s="739"/>
      <c r="F127" s="1843">
        <f>SUM('Revenues 9-14'!C204,'Revenues 9-14'!D204,'Revenues 9-14'!F204,'Revenues 9-14'!G204)</f>
        <v>17508</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344</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6800</v>
      </c>
      <c r="G172" s="760"/>
    </row>
    <row r="173" spans="1:7" x14ac:dyDescent="0.2">
      <c r="A173" s="1579" t="s">
        <v>659</v>
      </c>
      <c r="B173" s="1580" t="s">
        <v>1888</v>
      </c>
      <c r="C173" s="1581">
        <v>3300</v>
      </c>
      <c r="D173" s="1582" t="s">
        <v>1891</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107099</v>
      </c>
    </row>
    <row r="176" spans="1:7" ht="12" customHeight="1" x14ac:dyDescent="0.2">
      <c r="A176" s="1492"/>
      <c r="B176" s="1502"/>
      <c r="C176" s="1503"/>
      <c r="D176" s="1504" t="s">
        <v>2017</v>
      </c>
      <c r="E176" s="1505"/>
      <c r="F176" s="1843">
        <f>'PCTC-OEPP 27-28'!F78-F175</f>
        <v>738044</v>
      </c>
    </row>
    <row r="177" spans="1:9" ht="12" customHeight="1" x14ac:dyDescent="0.2">
      <c r="A177" s="1492"/>
      <c r="B177" s="1502"/>
      <c r="C177" s="1503"/>
      <c r="D177" s="1504" t="s">
        <v>1797</v>
      </c>
      <c r="E177" s="1505"/>
      <c r="F177" s="1843">
        <f>'Cap Outlay Deprec 26'!I18</f>
        <v>8080</v>
      </c>
    </row>
    <row r="178" spans="1:9" ht="12" customHeight="1" x14ac:dyDescent="0.2">
      <c r="A178" s="1492"/>
      <c r="B178" s="1502"/>
      <c r="C178" s="1503"/>
      <c r="D178" s="1504" t="s">
        <v>2018</v>
      </c>
      <c r="E178" s="1505"/>
      <c r="F178" s="1843">
        <f>F176+F177</f>
        <v>746124</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51.447000000000003</v>
      </c>
      <c r="G179" s="763"/>
      <c r="I179" s="701"/>
    </row>
    <row r="180" spans="1:9" ht="12" customHeight="1" thickBot="1" x14ac:dyDescent="0.25">
      <c r="A180" s="1492"/>
      <c r="B180" s="1506"/>
      <c r="C180" s="1503"/>
      <c r="D180" s="1504" t="s">
        <v>2020</v>
      </c>
      <c r="E180" s="1505" t="s">
        <v>1531</v>
      </c>
      <c r="F180" s="1848">
        <f>F178/F179</f>
        <v>14502.769840807043</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D19" sqref="D19"/>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330" t="s">
        <v>1798</v>
      </c>
      <c r="B4" s="2331"/>
      <c r="C4" s="2331"/>
      <c r="D4" s="2331"/>
      <c r="E4" s="2331"/>
      <c r="F4" s="2332"/>
    </row>
    <row r="5" spans="1:6" x14ac:dyDescent="0.25">
      <c r="A5" s="2333"/>
      <c r="B5" s="2334"/>
      <c r="C5" s="2334"/>
      <c r="D5" s="2334"/>
      <c r="E5" s="2334"/>
      <c r="F5" s="2335"/>
    </row>
    <row r="6" spans="1:6" ht="18.75" x14ac:dyDescent="0.25">
      <c r="A6" s="1930" t="s">
        <v>1799</v>
      </c>
      <c r="B6" s="1931"/>
      <c r="C6" s="1932"/>
      <c r="D6" s="1932"/>
      <c r="E6" s="1932"/>
      <c r="F6" s="1933"/>
    </row>
    <row r="7" spans="1:6" ht="47.25" customHeight="1" x14ac:dyDescent="0.25">
      <c r="A7" s="2336" t="s">
        <v>1988</v>
      </c>
      <c r="B7" s="2337"/>
      <c r="C7" s="2337"/>
      <c r="D7" s="2337"/>
      <c r="E7" s="2337"/>
      <c r="F7" s="2338"/>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339" t="s">
        <v>1984</v>
      </c>
      <c r="B10" s="2340"/>
      <c r="C10" s="2340"/>
      <c r="D10" s="2340"/>
      <c r="E10" s="2340"/>
      <c r="F10" s="2341"/>
    </row>
    <row r="11" spans="1:6" ht="33" customHeight="1" x14ac:dyDescent="0.25">
      <c r="A11" s="2336" t="s">
        <v>1989</v>
      </c>
      <c r="B11" s="2337"/>
      <c r="C11" s="2337"/>
      <c r="D11" s="2337"/>
      <c r="E11" s="2337"/>
      <c r="F11" s="2338"/>
    </row>
    <row r="12" spans="1:6" ht="15" customHeight="1" x14ac:dyDescent="0.25">
      <c r="A12" s="1936" t="s">
        <v>1985</v>
      </c>
      <c r="B12" s="1937"/>
      <c r="C12" s="1938"/>
      <c r="D12" s="1938"/>
      <c r="E12" s="1938"/>
      <c r="F12" s="1939"/>
    </row>
    <row r="13" spans="1:6" ht="17.25" customHeight="1" x14ac:dyDescent="0.25">
      <c r="A13" s="2336" t="s">
        <v>1986</v>
      </c>
      <c r="B13" s="2337"/>
      <c r="C13" s="2337"/>
      <c r="D13" s="2337"/>
      <c r="E13" s="2337"/>
      <c r="F13" s="2338"/>
    </row>
    <row r="14" spans="1:6" ht="15" customHeight="1" x14ac:dyDescent="0.25">
      <c r="A14" s="1936" t="s">
        <v>1803</v>
      </c>
      <c r="B14" s="1937"/>
      <c r="C14" s="1938"/>
      <c r="D14" s="1938"/>
      <c r="E14" s="1938"/>
      <c r="F14" s="1939"/>
    </row>
    <row r="15" spans="1:6" ht="32.25" customHeight="1" x14ac:dyDescent="0.25">
      <c r="A15" s="232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8"/>
      <c r="C15" s="2328"/>
      <c r="D15" s="2328"/>
      <c r="E15" s="2328"/>
      <c r="F15" s="2329"/>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1989" t="s">
        <v>2032</v>
      </c>
      <c r="B18" s="1971"/>
      <c r="C18" s="1982"/>
      <c r="D18" s="1949">
        <v>0</v>
      </c>
      <c r="E18" s="1969">
        <f t="shared" ref="E18:E81" si="0">IF(D18&lt;25000,D18,"25,000")</f>
        <v>0</v>
      </c>
      <c r="F18" s="1969" t="str">
        <f t="shared" ref="F18:F81" si="1">IF(D18&gt;=25000,(D18-E18),"0")</f>
        <v>0</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0</v>
      </c>
      <c r="E142" s="1956">
        <f>SUM(E18:E141)</f>
        <v>0</v>
      </c>
      <c r="F142" s="1957">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6" colorId="8" zoomScale="110" zoomScaleNormal="110" workbookViewId="0">
      <selection activeCell="D32" sqref="D3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2" t="s">
        <v>1663</v>
      </c>
      <c r="B5" s="2343"/>
      <c r="C5" s="2343"/>
      <c r="D5" s="2343"/>
      <c r="E5" s="2343"/>
      <c r="F5" s="2343"/>
      <c r="G5" s="2344"/>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v>15316</v>
      </c>
      <c r="F10" s="805"/>
      <c r="G10" s="806"/>
      <c r="H10" s="157"/>
      <c r="I10" s="157"/>
    </row>
    <row r="11" spans="1:13" s="542" customFormat="1" ht="22.5" customHeight="1" x14ac:dyDescent="0.2">
      <c r="A11" s="234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8"/>
      <c r="C11" s="2348"/>
      <c r="D11" s="2349"/>
      <c r="E11" s="1851"/>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450266</v>
      </c>
      <c r="F19" s="1852"/>
      <c r="G19" s="1854">
        <f>'Expenditures 15-22'!K33-SUM('Expenditures 15-22'!G33,'Expenditures 15-22'!I33)+'Expenditures 15-22'!D229</f>
        <v>450266</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14857</v>
      </c>
      <c r="F21" s="1855"/>
      <c r="G21" s="1858">
        <f>'Expenditures 15-22'!K42-SUM('Expenditures 15-22'!G42,'Expenditures 15-22'!I42)+'Expenditures 15-22'!K120-SUM('Expenditures 15-22'!G120,'Expenditures 15-22'!I120)+'Expenditures 15-22'!K180-SUM('Expenditures 15-22'!G180,'Expenditures 15-22'!I180)+'Expenditures 15-22'!D238</f>
        <v>14857</v>
      </c>
      <c r="H21" s="817"/>
      <c r="I21" s="157"/>
    </row>
    <row r="22" spans="1:9" s="542" customFormat="1" ht="12" customHeight="1" x14ac:dyDescent="0.2">
      <c r="A22" s="824" t="s">
        <v>560</v>
      </c>
      <c r="B22" s="825"/>
      <c r="C22" s="823">
        <v>2200</v>
      </c>
      <c r="D22" s="1855"/>
      <c r="E22" s="1857">
        <f>'Expenditures 15-22'!K47-SUM('Expenditures 15-22'!G47,'Expenditures 15-22'!I47)+'Expenditures 15-22'!D243</f>
        <v>1424</v>
      </c>
      <c r="F22" s="1855"/>
      <c r="G22" s="1858">
        <f>'Expenditures 15-22'!K47-SUM('Expenditures 15-22'!G47,'Expenditures 15-22'!I47)+'Expenditures 15-22'!D243</f>
        <v>1424</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207332</v>
      </c>
      <c r="F23" s="1855"/>
      <c r="G23" s="1857">
        <f>'Expenditures 15-22'!K53-SUM('Expenditures 15-22'!G53,'Expenditures 15-22'!I53)+'Expenditures 15-22'!D257+'Expenditures 15-22'!K330-SUM('Expenditures 15-22'!G330,'Expenditures 15-22'!I330)</f>
        <v>207332</v>
      </c>
      <c r="H23" s="817"/>
      <c r="I23" s="157"/>
    </row>
    <row r="24" spans="1:9" s="542" customFormat="1" ht="12" customHeight="1" x14ac:dyDescent="0.2">
      <c r="A24" s="824" t="s">
        <v>562</v>
      </c>
      <c r="B24" s="825"/>
      <c r="C24" s="823">
        <v>2400</v>
      </c>
      <c r="D24" s="1855"/>
      <c r="E24" s="1857">
        <f>'Expenditures 15-22'!K57-SUM('Expenditures 15-22'!G57,'Expenditures 15-22'!I57)+'Expenditures 15-22'!D261</f>
        <v>0</v>
      </c>
      <c r="F24" s="1855"/>
      <c r="G24" s="1858">
        <f>'Expenditures 15-22'!K57-SUM('Expenditures 15-22'!G57,'Expenditures 15-22'!I57)+'Expenditures 15-22'!D261</f>
        <v>0</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0</v>
      </c>
      <c r="E27" s="1857">
        <f>E8</f>
        <v>0</v>
      </c>
      <c r="F27" s="1857">
        <f>'Expenditures 15-22'!K60-SUM('Expenditures 15-22'!G60,'Expenditures 15-22'!I60)+'Expenditures 15-22'!D264-E8</f>
        <v>0</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72632</v>
      </c>
      <c r="F28" s="1859">
        <f>'Expenditures 15-22'!K61-SUM('Expenditures 15-22'!G61,'Expenditures 15-22'!I61)+'Expenditures 15-22'!K124-SUM('Expenditures 15-22'!G124,'Expenditures 15-22'!I124)+'Expenditures 15-22'!D266-E9</f>
        <v>72632</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67163</v>
      </c>
      <c r="F29" s="1855"/>
      <c r="G29" s="1858">
        <f>'Expenditures 15-22'!K62-SUM('Expenditures 15-22'!G62,'Expenditures 15-22'!I62)+'Expenditures 15-22'!K125-SUM('Expenditures 15-22'!G125,'Expenditures 15-22'!I125)+'Expenditures 15-22'!K182-SUM('Expenditures 15-22'!G182,'Expenditures 15-22'!I182)+'Expenditures 15-22'!D267</f>
        <v>67163</v>
      </c>
      <c r="H29" s="815"/>
    </row>
    <row r="30" spans="1:9" ht="12" customHeight="1" x14ac:dyDescent="0.2">
      <c r="A30" s="824" t="s">
        <v>100</v>
      </c>
      <c r="B30" s="827"/>
      <c r="C30" s="823">
        <v>2560</v>
      </c>
      <c r="D30" s="1855"/>
      <c r="E30" s="1857">
        <f>'Expenditures 15-22'!K63-SUM('Expenditures 15-22'!G63,'Expenditures 15-22'!I63)+'Expenditures 15-22'!D268-E10</f>
        <v>16153</v>
      </c>
      <c r="F30" s="1855"/>
      <c r="G30" s="1857">
        <f>'Expenditures 15-22'!K63-SUM('Expenditures 15-22'!G63,'Expenditures 15-22'!I63)+'Expenditures 15-22'!D268-E10</f>
        <v>16153</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0</v>
      </c>
      <c r="E41" s="1859">
        <f>SUM(E19:E40)</f>
        <v>829827</v>
      </c>
      <c r="F41" s="1859">
        <f>SUM(F19:F39)</f>
        <v>72632</v>
      </c>
      <c r="G41" s="1859">
        <f>SUM(G19:G40)</f>
        <v>757195</v>
      </c>
    </row>
    <row r="42" spans="1:7" x14ac:dyDescent="0.2">
      <c r="A42" s="817"/>
      <c r="B42" s="157"/>
      <c r="C42" s="831"/>
      <c r="D42" s="2345" t="s">
        <v>519</v>
      </c>
      <c r="E42" s="2346"/>
      <c r="F42" s="832" t="s">
        <v>520</v>
      </c>
      <c r="G42" s="833"/>
    </row>
    <row r="43" spans="1:7" ht="12" customHeight="1" x14ac:dyDescent="0.2">
      <c r="A43" s="817"/>
      <c r="B43" s="157"/>
      <c r="C43" s="831"/>
      <c r="D43" s="1507" t="s">
        <v>470</v>
      </c>
      <c r="E43" s="1860">
        <f>D41</f>
        <v>0</v>
      </c>
      <c r="F43" s="1507" t="s">
        <v>470</v>
      </c>
      <c r="G43" s="1860">
        <f>F41</f>
        <v>72632</v>
      </c>
    </row>
    <row r="44" spans="1:7" ht="12" customHeight="1" x14ac:dyDescent="0.2">
      <c r="A44" s="817"/>
      <c r="B44" s="157"/>
      <c r="C44" s="831"/>
      <c r="D44" s="1507" t="s">
        <v>471</v>
      </c>
      <c r="E44" s="1860">
        <f>E41</f>
        <v>829827</v>
      </c>
      <c r="F44" s="1507" t="s">
        <v>471</v>
      </c>
      <c r="G44" s="1860">
        <f>G41</f>
        <v>757195</v>
      </c>
    </row>
    <row r="45" spans="1:7" ht="12" customHeight="1" x14ac:dyDescent="0.2">
      <c r="A45" s="817"/>
      <c r="B45" s="157"/>
      <c r="C45" s="157"/>
      <c r="D45" s="1508" t="s">
        <v>999</v>
      </c>
      <c r="E45" s="1861">
        <f>(E43/E44)</f>
        <v>0</v>
      </c>
      <c r="F45" s="1508" t="s">
        <v>999</v>
      </c>
      <c r="G45" s="1861">
        <f>(G43/G44)</f>
        <v>9.5922450623683458E-2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activeCell="D16" sqref="D16"/>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53" t="s">
        <v>1365</v>
      </c>
      <c r="B1" s="2353"/>
      <c r="C1" s="2353"/>
      <c r="D1" s="2353"/>
      <c r="E1" s="2353"/>
      <c r="F1" s="2353"/>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54" t="s">
        <v>1532</v>
      </c>
      <c r="B5" s="2355"/>
      <c r="C5" s="2356"/>
      <c r="D5" s="2356"/>
      <c r="E5" s="2356"/>
      <c r="F5" s="2356"/>
      <c r="G5" s="1556"/>
      <c r="L5" s="1556"/>
      <c r="M5" s="1913"/>
      <c r="N5" s="1913"/>
      <c r="O5" s="1913"/>
    </row>
    <row r="6" spans="1:15" ht="12" customHeight="1" x14ac:dyDescent="0.25">
      <c r="A6" s="1529"/>
      <c r="B6" s="1530"/>
      <c r="C6" s="2357" t="str">
        <f>COVER!A17</f>
        <v xml:space="preserve">  Rooks Creek CCSD 425</v>
      </c>
      <c r="D6" s="2357"/>
      <c r="E6" s="2357"/>
      <c r="F6" s="1531"/>
      <c r="G6" s="1556"/>
      <c r="L6" s="1556"/>
      <c r="M6" s="1913"/>
      <c r="N6" s="1913"/>
      <c r="O6" s="1913"/>
    </row>
    <row r="7" spans="1:15" ht="11.25" customHeight="1" thickBot="1" x14ac:dyDescent="0.3">
      <c r="A7" s="1529"/>
      <c r="B7" s="1530"/>
      <c r="C7" s="2358">
        <f>COVER!A13</f>
        <v>17053425004</v>
      </c>
      <c r="D7" s="2358"/>
      <c r="E7" s="2358"/>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t="s">
        <v>2033</v>
      </c>
      <c r="D25" s="1544" t="s">
        <v>2033</v>
      </c>
      <c r="E25" s="1547" t="s">
        <v>2033</v>
      </c>
      <c r="F25" s="1546" t="s">
        <v>2035</v>
      </c>
      <c r="G25" s="1556"/>
      <c r="H25" s="1556">
        <f t="shared" si="0"/>
        <v>5</v>
      </c>
      <c r="I25" s="1556">
        <f t="shared" si="1"/>
        <v>5</v>
      </c>
      <c r="J25" s="1556">
        <f t="shared" si="2"/>
        <v>5</v>
      </c>
      <c r="L25" s="1556"/>
      <c r="M25" s="1913"/>
      <c r="N25" s="1913"/>
      <c r="O25" s="1913"/>
    </row>
    <row r="26" spans="1:15" ht="12" customHeight="1" x14ac:dyDescent="0.2">
      <c r="A26" s="1542" t="s">
        <v>1520</v>
      </c>
      <c r="B26" s="1543"/>
      <c r="C26" s="1544" t="s">
        <v>2033</v>
      </c>
      <c r="D26" s="1544" t="s">
        <v>2033</v>
      </c>
      <c r="E26" s="1547" t="s">
        <v>2033</v>
      </c>
      <c r="F26" s="1546" t="s">
        <v>2034</v>
      </c>
      <c r="G26" s="1556"/>
      <c r="H26" s="1556">
        <f t="shared" si="0"/>
        <v>5</v>
      </c>
      <c r="I26" s="1556">
        <f t="shared" si="1"/>
        <v>5</v>
      </c>
      <c r="J26" s="1556">
        <f t="shared" si="2"/>
        <v>5</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10</v>
      </c>
      <c r="I34" s="1556">
        <f>SUM(I11:I32)</f>
        <v>10</v>
      </c>
      <c r="J34" s="1556">
        <f>SUM(J11:J32)</f>
        <v>10</v>
      </c>
      <c r="K34" s="1556">
        <f>SUM(H34:J34)</f>
        <v>30</v>
      </c>
      <c r="L34" s="1556"/>
      <c r="M34" s="1913"/>
      <c r="N34" s="1913"/>
      <c r="O34" s="1913"/>
    </row>
    <row r="35" spans="1:15" ht="12" customHeight="1" x14ac:dyDescent="0.2">
      <c r="A35" s="1549" t="s">
        <v>1378</v>
      </c>
      <c r="B35" s="1550"/>
      <c r="C35" s="2359"/>
      <c r="D35" s="2359"/>
      <c r="E35" s="2359"/>
      <c r="F35" s="2360"/>
    </row>
    <row r="36" spans="1:15" ht="12" customHeight="1" x14ac:dyDescent="0.2">
      <c r="A36" s="2350"/>
      <c r="B36" s="2351"/>
      <c r="C36" s="2351"/>
      <c r="D36" s="2351"/>
      <c r="E36" s="2351"/>
      <c r="F36" s="2352"/>
    </row>
    <row r="37" spans="1:15" ht="12" customHeight="1" x14ac:dyDescent="0.2">
      <c r="A37" s="2350"/>
      <c r="B37" s="2351"/>
      <c r="C37" s="2351"/>
      <c r="D37" s="2351"/>
      <c r="E37" s="2351"/>
      <c r="F37" s="2352"/>
    </row>
    <row r="38" spans="1:15" ht="12" customHeight="1" x14ac:dyDescent="0.2">
      <c r="A38" s="2364"/>
      <c r="B38" s="2365"/>
      <c r="C38" s="2365"/>
      <c r="D38" s="2365"/>
      <c r="E38" s="2365"/>
      <c r="F38" s="2366"/>
    </row>
    <row r="39" spans="1:15" ht="4.5" hidden="1" customHeight="1" x14ac:dyDescent="0.2">
      <c r="A39" s="1551"/>
      <c r="B39" s="1551"/>
      <c r="C39" s="1551"/>
      <c r="D39" s="1551"/>
      <c r="E39" s="1551"/>
      <c r="F39" s="1551"/>
    </row>
    <row r="40" spans="1:15" s="1548" customFormat="1" ht="12" customHeight="1" x14ac:dyDescent="0.25">
      <c r="A40" s="1552" t="s">
        <v>1377</v>
      </c>
      <c r="B40" s="1553"/>
      <c r="C40" s="2367"/>
      <c r="D40" s="2367"/>
      <c r="E40" s="2367"/>
      <c r="F40" s="2368"/>
      <c r="H40" s="1557"/>
      <c r="I40" s="1557"/>
      <c r="J40" s="1557"/>
      <c r="K40" s="1557"/>
    </row>
    <row r="41" spans="1:15" s="1548" customFormat="1" ht="12" customHeight="1" x14ac:dyDescent="0.25">
      <c r="A41" s="2369"/>
      <c r="B41" s="2370"/>
      <c r="C41" s="2370"/>
      <c r="D41" s="2370"/>
      <c r="E41" s="2370"/>
      <c r="F41" s="2371"/>
      <c r="H41" s="1557"/>
      <c r="I41" s="1557"/>
      <c r="J41" s="1557"/>
      <c r="K41" s="1557"/>
    </row>
    <row r="42" spans="1:15" s="1548" customFormat="1" ht="12" customHeight="1" x14ac:dyDescent="0.25">
      <c r="A42" s="2369"/>
      <c r="B42" s="2370"/>
      <c r="C42" s="2370"/>
      <c r="D42" s="2370"/>
      <c r="E42" s="2370"/>
      <c r="F42" s="2371"/>
      <c r="H42" s="1557"/>
      <c r="I42" s="1557"/>
      <c r="J42" s="1557"/>
      <c r="K42" s="1557"/>
    </row>
    <row r="43" spans="1:15" s="1548" customFormat="1" ht="15" x14ac:dyDescent="0.25">
      <c r="A43" s="2361"/>
      <c r="B43" s="2362"/>
      <c r="C43" s="2362"/>
      <c r="D43" s="2362"/>
      <c r="E43" s="2362"/>
      <c r="F43" s="2363"/>
      <c r="H43" s="1557"/>
      <c r="I43" s="1557"/>
      <c r="J43" s="1557"/>
      <c r="K43" s="1557"/>
    </row>
    <row r="44" spans="1:15" s="1548" customFormat="1" ht="12" hidden="1" customHeight="1" x14ac:dyDescent="0.25">
      <c r="A44" s="2361"/>
      <c r="B44" s="2362"/>
      <c r="C44" s="2362"/>
      <c r="D44" s="2362"/>
      <c r="E44" s="2362"/>
      <c r="F44" s="2363"/>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colorId="8" zoomScaleNormal="100" workbookViewId="0">
      <selection activeCell="H13" sqref="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7" t="str">
        <f>COVER!A17</f>
        <v xml:space="preserve">  Rooks Creek CCSD 425</v>
      </c>
      <c r="J6" s="2378"/>
      <c r="K6" s="2379"/>
      <c r="R6" s="1427"/>
    </row>
    <row r="7" spans="1:18" x14ac:dyDescent="0.2">
      <c r="A7" s="2380" t="s">
        <v>864</v>
      </c>
      <c r="B7" s="2381"/>
      <c r="C7" s="2381"/>
      <c r="D7" s="2381"/>
      <c r="E7" s="2382"/>
      <c r="F7" s="847"/>
      <c r="G7" s="839"/>
      <c r="H7" s="846" t="s">
        <v>369</v>
      </c>
      <c r="I7" s="2383">
        <f>COVER!A13</f>
        <v>17053425004</v>
      </c>
      <c r="J7" s="2383"/>
      <c r="K7" s="2383"/>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384" t="s">
        <v>478</v>
      </c>
      <c r="B11" s="2385"/>
      <c r="C11" s="2386"/>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145238</v>
      </c>
      <c r="F12" s="1864"/>
      <c r="G12" s="1863">
        <f t="shared" ref="G12:G18" si="0">SUM(E12:F12)</f>
        <v>145238</v>
      </c>
      <c r="H12" s="1865">
        <v>149545</v>
      </c>
      <c r="I12" s="1864"/>
      <c r="J12" s="1865"/>
      <c r="K12" s="1863">
        <f t="shared" ref="K12:K18" si="1">SUM(H12:J12)</f>
        <v>149545</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7" t="s">
        <v>7</v>
      </c>
      <c r="C18" s="2388"/>
      <c r="D18" s="2389"/>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145238</v>
      </c>
      <c r="F19" s="1868">
        <f t="shared" si="2"/>
        <v>0</v>
      </c>
      <c r="G19" s="1868">
        <f t="shared" si="2"/>
        <v>145238</v>
      </c>
      <c r="H19" s="1868">
        <f t="shared" si="2"/>
        <v>149545</v>
      </c>
      <c r="I19" s="1868">
        <f t="shared" si="2"/>
        <v>0</v>
      </c>
      <c r="J19" s="1868">
        <f t="shared" si="2"/>
        <v>0</v>
      </c>
      <c r="K19" s="1868">
        <f t="shared" si="2"/>
        <v>149545</v>
      </c>
    </row>
    <row r="20" spans="1:11" ht="13.5" thickTop="1" x14ac:dyDescent="0.2">
      <c r="A20" s="863">
        <v>9</v>
      </c>
      <c r="B20" s="2390" t="str">
        <f>"Percent Increase (Decrease) for FY"&amp;'AFR20'!E2+1&amp;" (Budgeted) over FY"&amp;'AFR20'!E2&amp;" (Actual)"</f>
        <v>Percent Increase (Decrease) for FY2021 (Budgeted) over FY2020 (Actual)</v>
      </c>
      <c r="C20" s="2390"/>
      <c r="D20" s="2391"/>
      <c r="E20" s="1869"/>
      <c r="F20" s="1869"/>
      <c r="G20" s="1869"/>
      <c r="H20" s="1869"/>
      <c r="I20" s="1869"/>
      <c r="J20" s="1978"/>
      <c r="K20" s="1870">
        <f>IF(AND(G19&gt;0,K19&gt;0),(((K19-G19)/G19)),"Enter Budget Data")</f>
        <v>2.9654773544113798E-2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396"/>
      <c r="D26" s="2396"/>
      <c r="E26" s="874"/>
      <c r="F26" s="2395"/>
      <c r="G26" s="2395"/>
    </row>
    <row r="27" spans="1:11" x14ac:dyDescent="0.2">
      <c r="B27" s="871"/>
      <c r="C27" s="875" t="s">
        <v>1026</v>
      </c>
      <c r="D27" s="876"/>
      <c r="E27" s="877"/>
      <c r="F27" s="2392" t="s">
        <v>1495</v>
      </c>
      <c r="G27" s="2392"/>
    </row>
    <row r="28" spans="1:11" ht="28.5" customHeight="1" x14ac:dyDescent="0.2">
      <c r="B28" s="871"/>
      <c r="C28" s="2394"/>
      <c r="D28" s="2394"/>
      <c r="E28" s="878"/>
      <c r="F28" s="2394"/>
      <c r="G28" s="2394"/>
    </row>
    <row r="29" spans="1:11" x14ac:dyDescent="0.2">
      <c r="B29" s="871"/>
      <c r="C29" s="879" t="s">
        <v>1547</v>
      </c>
      <c r="E29" s="880"/>
      <c r="F29" s="2393" t="s">
        <v>1496</v>
      </c>
      <c r="G29" s="2393"/>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5"/>
      <c r="E33" s="2375"/>
      <c r="F33" s="2375"/>
      <c r="G33" s="2375"/>
      <c r="H33" s="2375"/>
      <c r="I33" s="2375"/>
      <c r="J33" s="1976"/>
    </row>
    <row r="34" spans="1:11" ht="10.35" customHeight="1" x14ac:dyDescent="0.2">
      <c r="C34" s="2375"/>
      <c r="D34" s="2375"/>
      <c r="E34" s="2375"/>
      <c r="F34" s="2375"/>
      <c r="G34" s="2375"/>
      <c r="H34" s="2375"/>
      <c r="I34" s="2375"/>
      <c r="J34" s="1976"/>
    </row>
    <row r="35" spans="1:11" ht="7.5" customHeight="1" x14ac:dyDescent="0.2">
      <c r="C35" s="886"/>
    </row>
    <row r="36" spans="1:11" ht="13.5" customHeight="1" x14ac:dyDescent="0.2">
      <c r="B36" s="885"/>
      <c r="C36" s="237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5"/>
      <c r="E36" s="2375"/>
      <c r="F36" s="2375"/>
      <c r="G36" s="2375"/>
      <c r="H36" s="2375"/>
      <c r="I36" s="2375"/>
      <c r="J36" s="1976"/>
      <c r="K36" s="887"/>
    </row>
    <row r="37" spans="1:11" ht="22.5" customHeight="1" x14ac:dyDescent="0.2">
      <c r="C37" s="2375"/>
      <c r="D37" s="2375"/>
      <c r="E37" s="2375"/>
      <c r="F37" s="2375"/>
      <c r="G37" s="2375"/>
      <c r="H37" s="2375"/>
      <c r="I37" s="2375"/>
      <c r="J37" s="1976"/>
      <c r="K37" s="887"/>
    </row>
    <row r="38" spans="1:11" ht="7.5" customHeight="1" x14ac:dyDescent="0.2">
      <c r="C38" s="886"/>
      <c r="D38" s="888"/>
      <c r="E38" s="889"/>
      <c r="F38" s="890"/>
      <c r="G38" s="889"/>
    </row>
    <row r="39" spans="1:11" ht="13.5" customHeight="1" x14ac:dyDescent="0.2">
      <c r="B39" s="885"/>
      <c r="C39" s="2372" t="str">
        <f>"The district will amend their budget to become in compliance with the limitation."</f>
        <v>The district will amend their budget to become in compliance with the limitation.</v>
      </c>
      <c r="D39" s="2373"/>
      <c r="E39" s="2373"/>
      <c r="F39" s="2373"/>
      <c r="G39" s="2373"/>
      <c r="H39" s="2373"/>
      <c r="I39" s="2373"/>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6" sqref="B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2036</v>
      </c>
    </row>
    <row r="6" spans="1:2" x14ac:dyDescent="0.2">
      <c r="A6" s="892">
        <v>2</v>
      </c>
      <c r="B6" s="307" t="s">
        <v>2038</v>
      </c>
    </row>
    <row r="7" spans="1:2" x14ac:dyDescent="0.2">
      <c r="A7" s="892">
        <v>3</v>
      </c>
      <c r="B7" s="307" t="s">
        <v>2037</v>
      </c>
    </row>
    <row r="8" spans="1:2" x14ac:dyDescent="0.2">
      <c r="A8" s="892">
        <v>4</v>
      </c>
    </row>
    <row r="9" spans="1:2" x14ac:dyDescent="0.2">
      <c r="A9" s="893"/>
    </row>
    <row r="10" spans="1:2" x14ac:dyDescent="0.2">
      <c r="A10" s="893"/>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Rooks Creek CCSD 425</v>
      </c>
    </row>
    <row r="65" spans="2:2" x14ac:dyDescent="0.2">
      <c r="B65" s="894">
        <f>COVER!A13</f>
        <v>17053425004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6" t="s">
        <v>1058</v>
      </c>
      <c r="B35" s="2106"/>
      <c r="C35" s="2106"/>
      <c r="D35" s="2106"/>
      <c r="E35" s="210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3" t="s">
        <v>686</v>
      </c>
      <c r="B40" s="2103"/>
      <c r="C40" s="2103"/>
      <c r="D40" s="2103"/>
      <c r="E40" s="2103"/>
    </row>
    <row r="41" spans="1:5" x14ac:dyDescent="0.2">
      <c r="A41" s="2104" t="s">
        <v>1594</v>
      </c>
      <c r="B41" s="2104"/>
      <c r="C41" s="2104"/>
      <c r="D41" s="2104"/>
      <c r="E41" s="2104"/>
    </row>
    <row r="42" spans="1:5" ht="12.75" customHeight="1" x14ac:dyDescent="0.2">
      <c r="A42" s="2105" t="s">
        <v>1015</v>
      </c>
      <c r="B42" s="2105"/>
      <c r="C42" s="2105"/>
      <c r="D42" s="2105"/>
      <c r="E42" s="2105"/>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16" sqref="B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7" t="s">
        <v>1668</v>
      </c>
      <c r="B18" s="239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I29" sqref="I29"/>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8" t="s">
        <v>1672</v>
      </c>
      <c r="B1" s="2399"/>
      <c r="C1" s="2399"/>
      <c r="D1" s="2399"/>
      <c r="E1" s="2399"/>
      <c r="F1" s="2400"/>
    </row>
    <row r="2" spans="1:8" ht="45" customHeight="1" x14ac:dyDescent="0.2">
      <c r="A2" s="240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9"/>
      <c r="C2" s="2409"/>
      <c r="D2" s="2409"/>
      <c r="E2" s="2409"/>
      <c r="F2" s="2410"/>
      <c r="G2" s="898"/>
      <c r="H2" s="898"/>
    </row>
    <row r="3" spans="1:8" ht="57" customHeight="1" x14ac:dyDescent="0.2">
      <c r="A3" s="2411" t="s">
        <v>1975</v>
      </c>
      <c r="B3" s="2412"/>
      <c r="C3" s="2412"/>
      <c r="D3" s="2412"/>
      <c r="E3" s="2412"/>
      <c r="F3" s="2413"/>
      <c r="G3" s="898"/>
      <c r="H3" s="898"/>
    </row>
    <row r="4" spans="1:8" ht="14.25" customHeight="1" x14ac:dyDescent="0.2">
      <c r="A4" s="241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8"/>
      <c r="C4" s="2418"/>
      <c r="D4" s="2418"/>
      <c r="E4" s="2418"/>
      <c r="F4" s="2419"/>
      <c r="G4" s="898"/>
      <c r="H4" s="898"/>
    </row>
    <row r="5" spans="1:8" ht="14.25" customHeight="1" x14ac:dyDescent="0.2">
      <c r="A5" s="242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1"/>
      <c r="C5" s="2421"/>
      <c r="D5" s="2421"/>
      <c r="E5" s="2421"/>
      <c r="F5" s="2422"/>
      <c r="G5" s="898"/>
      <c r="H5" s="898"/>
    </row>
    <row r="6" spans="1:8" s="899" customFormat="1" ht="41.25" customHeight="1" x14ac:dyDescent="0.2">
      <c r="A6" s="2414" t="s">
        <v>1673</v>
      </c>
      <c r="B6" s="2415"/>
      <c r="C6" s="2415"/>
      <c r="D6" s="2415"/>
      <c r="E6" s="2415"/>
      <c r="F6" s="2416"/>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712869</v>
      </c>
      <c r="C8" s="1871">
        <f>'Acct Summary 7-8'!D8</f>
        <v>59607</v>
      </c>
      <c r="D8" s="1871">
        <f>'Acct Summary 7-8'!F8</f>
        <v>53478</v>
      </c>
      <c r="E8" s="1871">
        <f>'Acct Summary 7-8'!I8</f>
        <v>0</v>
      </c>
      <c r="F8" s="1871">
        <f>SUM(B8:E8)</f>
        <v>825954</v>
      </c>
    </row>
    <row r="9" spans="1:8" s="903" customFormat="1" ht="14.25" customHeight="1" thickBot="1" x14ac:dyDescent="0.25">
      <c r="A9" s="902" t="s">
        <v>1355</v>
      </c>
      <c r="B9" s="1872">
        <f>'Acct Summary 7-8'!C17</f>
        <v>719862</v>
      </c>
      <c r="C9" s="1872">
        <f>'Acct Summary 7-8'!D17</f>
        <v>69163</v>
      </c>
      <c r="D9" s="1872">
        <f>'Acct Summary 7-8'!F17</f>
        <v>64391</v>
      </c>
      <c r="E9" s="1871"/>
      <c r="F9" s="1871">
        <f>SUM(B9:E9)</f>
        <v>853416</v>
      </c>
    </row>
    <row r="10" spans="1:8" s="903" customFormat="1" ht="14.25" thickTop="1" thickBot="1" x14ac:dyDescent="0.25">
      <c r="A10" s="904" t="s">
        <v>1356</v>
      </c>
      <c r="B10" s="1873">
        <f>(B8-B9)</f>
        <v>-6993</v>
      </c>
      <c r="C10" s="1873">
        <f>(C8-C9)</f>
        <v>-9556</v>
      </c>
      <c r="D10" s="1873">
        <f>(D8-D9)</f>
        <v>-10913</v>
      </c>
      <c r="E10" s="1872">
        <f>(E8-E9)</f>
        <v>0</v>
      </c>
      <c r="F10" s="1874">
        <f>SUM(F8-F9)</f>
        <v>-27462</v>
      </c>
    </row>
    <row r="11" spans="1:8" s="903" customFormat="1" ht="14.25" thickTop="1" thickBot="1" x14ac:dyDescent="0.25">
      <c r="A11" s="905" t="s">
        <v>1906</v>
      </c>
      <c r="B11" s="1875">
        <f>'Acct Summary 7-8'!C81</f>
        <v>436211</v>
      </c>
      <c r="C11" s="1875">
        <f>'Acct Summary 7-8'!D81</f>
        <v>259326</v>
      </c>
      <c r="D11" s="1875">
        <f>'Acct Summary 7-8'!F81</f>
        <v>242883</v>
      </c>
      <c r="E11" s="1875">
        <f>'Acct Summary 7-8'!I81</f>
        <v>0</v>
      </c>
      <c r="F11" s="1876">
        <f>SUM(B11:E11)</f>
        <v>938420</v>
      </c>
    </row>
    <row r="12" spans="1:8" ht="16.5" customHeight="1" thickTop="1" x14ac:dyDescent="0.2">
      <c r="A12" s="906"/>
      <c r="B12" s="907"/>
      <c r="C12" s="2402" t="str">
        <f>IF(AND(F10&lt;0,F11&gt;=0,ABS(F10*3)&gt;ABS(F11)),A16,IF(AND(F10&lt;0,F11&gt;0,ABS(F10*3)&lt;=ABS(F11)),A17,IF(AND(F10&lt;0,F11&lt;0),A16,IF(F11=0,A19,A18))))</f>
        <v>Unbalanced -  however, a deficit reduction plan is not required at this time.</v>
      </c>
      <c r="D12" s="2403"/>
      <c r="E12" s="2403"/>
      <c r="F12" s="2404"/>
    </row>
    <row r="13" spans="1:8" ht="19.5" customHeight="1" x14ac:dyDescent="0.2">
      <c r="A13" s="908"/>
      <c r="B13" s="909"/>
      <c r="C13" s="2402"/>
      <c r="D13" s="2403"/>
      <c r="E13" s="2403"/>
      <c r="F13" s="2404"/>
      <c r="H13" s="898"/>
    </row>
    <row r="14" spans="1:8" ht="19.5" customHeight="1" x14ac:dyDescent="0.2">
      <c r="A14" s="908"/>
      <c r="B14" s="909"/>
      <c r="C14" s="2402"/>
      <c r="D14" s="2403"/>
      <c r="E14" s="2403"/>
      <c r="F14" s="2404"/>
      <c r="H14" s="898"/>
    </row>
    <row r="15" spans="1:8" ht="17.25" customHeight="1" x14ac:dyDescent="0.2">
      <c r="A15" s="908"/>
      <c r="B15" s="909"/>
      <c r="C15" s="2405"/>
      <c r="D15" s="2406"/>
      <c r="E15" s="2406"/>
      <c r="F15" s="2407"/>
      <c r="H15" s="898"/>
    </row>
    <row r="16" spans="1:8" s="288" customFormat="1" ht="51.75" hidden="1" customHeight="1" x14ac:dyDescent="0.2">
      <c r="A16" s="2401" t="s">
        <v>1669</v>
      </c>
      <c r="B16" s="2401"/>
      <c r="C16" s="2401"/>
      <c r="D16" s="2401"/>
      <c r="E16" s="2401"/>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D82" sqref="D82"/>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3" t="s">
        <v>660</v>
      </c>
      <c r="B3" s="2424"/>
      <c r="C3" s="2424"/>
      <c r="D3" s="2425"/>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4" t="s">
        <v>1490</v>
      </c>
      <c r="D7" s="2435"/>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6" t="s">
        <v>1001</v>
      </c>
      <c r="B15" s="2427"/>
      <c r="C15" s="2427"/>
      <c r="D15" s="2428"/>
    </row>
    <row r="16" spans="1:4" s="542" customFormat="1" ht="24" customHeight="1" x14ac:dyDescent="0.2">
      <c r="A16" s="2429" t="s">
        <v>658</v>
      </c>
      <c r="B16" s="2430"/>
      <c r="C16" s="2430"/>
      <c r="D16" s="2431"/>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8" t="s">
        <v>311</v>
      </c>
      <c r="D21" s="2439"/>
    </row>
    <row r="22" spans="1:10" ht="12.75" x14ac:dyDescent="0.2">
      <c r="A22" s="963"/>
      <c r="B22" s="964">
        <v>2</v>
      </c>
      <c r="C22" s="2436" t="s">
        <v>1510</v>
      </c>
      <c r="D22" s="2437"/>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0" t="s">
        <v>533</v>
      </c>
      <c r="D43" s="2441"/>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2" t="s">
        <v>779</v>
      </c>
      <c r="D56" s="2433"/>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2" t="s">
        <v>1677</v>
      </c>
      <c r="D70" s="2433"/>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ht="22.5" x14ac:dyDescent="0.2">
      <c r="A82" s="922"/>
      <c r="B82" s="944">
        <v>15</v>
      </c>
      <c r="C82" s="954" t="s">
        <v>1887</v>
      </c>
      <c r="D82" s="1964" t="str">
        <f>IF('Contracts Paid in CY 29'!$D$142&gt;0,"OK","PLEASE ENTER CONTRACTS PAID IN CURRENT YEAR.  IF NONE, STATE NO CONTRACTS ON PAGE 29.")</f>
        <v>PLEASE ENTER CONTRACTS PAID IN CURRENT YEAR.  IF NONE, STATE NO CONTRACTS ON PAGE 29.</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17053425004</v>
      </c>
      <c r="E2" s="1592">
        <v>2020</v>
      </c>
      <c r="F2" s="1592">
        <v>1</v>
      </c>
      <c r="G2" s="1962">
        <v>101000300</v>
      </c>
    </row>
    <row r="3" spans="1:7" ht="15" x14ac:dyDescent="0.25">
      <c r="A3" t="s">
        <v>950</v>
      </c>
      <c r="B3" s="135" t="str">
        <f>COVER!A15</f>
        <v>Livingston</v>
      </c>
      <c r="E3" s="1888" t="s">
        <v>1974</v>
      </c>
      <c r="F3" s="1888" t="s">
        <v>1973</v>
      </c>
      <c r="G3" s="1962">
        <v>101000400</v>
      </c>
    </row>
    <row r="4" spans="1:7" ht="15" x14ac:dyDescent="0.25">
      <c r="A4" t="s">
        <v>1000</v>
      </c>
      <c r="B4" s="135" t="str">
        <f>COVER!A17</f>
        <v xml:space="preserve">  Rooks Creek CCSD 425</v>
      </c>
      <c r="E4" s="1886">
        <v>44119</v>
      </c>
      <c r="F4" s="1887">
        <v>44151</v>
      </c>
      <c r="G4" s="1962">
        <v>101000600</v>
      </c>
    </row>
    <row r="5" spans="1:7" ht="15" x14ac:dyDescent="0.25">
      <c r="A5" t="s">
        <v>699</v>
      </c>
      <c r="B5" s="135" t="str">
        <f>COVER!A38</f>
        <v>Todd Bean</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066-005232</v>
      </c>
      <c r="G15" s="1962">
        <v>402100400</v>
      </c>
    </row>
    <row r="16" spans="1:7" ht="15" x14ac:dyDescent="0.25">
      <c r="A16" t="s">
        <v>419</v>
      </c>
      <c r="B16" s="135" t="str">
        <f>COVER!T13</f>
        <v>MCK CPAs &amp; Advisors</v>
      </c>
      <c r="G16" s="1962">
        <v>402100600</v>
      </c>
    </row>
    <row r="17" spans="1:7" ht="15" x14ac:dyDescent="0.25">
      <c r="A17" t="s">
        <v>878</v>
      </c>
      <c r="B17" s="135" t="str">
        <f>COVER!T15</f>
        <v>Dawn M Carlson</v>
      </c>
      <c r="G17" s="1962">
        <v>402100800</v>
      </c>
    </row>
    <row r="18" spans="1:7" ht="15" x14ac:dyDescent="0.25">
      <c r="A18" t="s">
        <v>1142</v>
      </c>
      <c r="B18" s="135" t="str">
        <f>COVER!T17</f>
        <v>207 W Jefferson St</v>
      </c>
      <c r="G18" s="1962">
        <v>102200300</v>
      </c>
    </row>
    <row r="19" spans="1:7" ht="15" x14ac:dyDescent="0.25">
      <c r="A19" t="s">
        <v>880</v>
      </c>
      <c r="B19" s="135">
        <f>COVER!T25</f>
        <v>0</v>
      </c>
      <c r="G19" s="1962">
        <v>102200400</v>
      </c>
    </row>
    <row r="20" spans="1:7" ht="15" x14ac:dyDescent="0.25">
      <c r="A20" t="s">
        <v>881</v>
      </c>
      <c r="B20" s="135" t="str">
        <f>COVER!T19</f>
        <v>Bloomington</v>
      </c>
      <c r="G20" s="1962">
        <v>102200600</v>
      </c>
    </row>
    <row r="21" spans="1:7" ht="15" x14ac:dyDescent="0.25">
      <c r="A21" t="s">
        <v>476</v>
      </c>
      <c r="B21" s="135" t="str">
        <f>COVER!X19</f>
        <v>IL</v>
      </c>
      <c r="G21" s="1962">
        <v>102200800</v>
      </c>
    </row>
    <row r="22" spans="1:7" ht="15" x14ac:dyDescent="0.25">
      <c r="A22" t="s">
        <v>882</v>
      </c>
      <c r="B22" s="135">
        <f>COVER!Z19</f>
        <v>61701</v>
      </c>
      <c r="G22" s="1962">
        <v>102300300</v>
      </c>
    </row>
    <row r="23" spans="1:7" ht="15" x14ac:dyDescent="0.25">
      <c r="A23" t="s">
        <v>1144</v>
      </c>
      <c r="B23" s="135">
        <f>COVER!T21</f>
        <v>3098286071</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436211</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436211</v>
      </c>
      <c r="D92" s="2" t="str">
        <f t="shared" si="0"/>
        <v>Error?</v>
      </c>
      <c r="G92" s="1962">
        <v>102640600</v>
      </c>
    </row>
    <row r="93" spans="1:7" ht="15" x14ac:dyDescent="0.25">
      <c r="A93" s="5">
        <v>32</v>
      </c>
      <c r="B93" s="1890">
        <f>'Assets-Liab 5-6'!C41</f>
        <v>436211</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259326</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259326</v>
      </c>
      <c r="D123" s="2" t="str">
        <f t="shared" si="0"/>
        <v>Error?</v>
      </c>
      <c r="G123" s="1962">
        <v>203000400</v>
      </c>
    </row>
    <row r="124" spans="1:7" ht="15" x14ac:dyDescent="0.25">
      <c r="A124" s="5">
        <v>63</v>
      </c>
      <c r="B124" s="1890">
        <f>'Assets-Liab 5-6'!D41</f>
        <v>259326</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6989</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6989</v>
      </c>
      <c r="D140" s="2" t="str">
        <f t="shared" si="1"/>
        <v>Error?</v>
      </c>
    </row>
    <row r="141" spans="1:7" x14ac:dyDescent="0.2">
      <c r="A141" s="5">
        <v>80</v>
      </c>
      <c r="B141" s="1890">
        <f>'Assets-Liab 5-6'!E41</f>
        <v>6989</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242883</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242883</v>
      </c>
      <c r="D170" s="2" t="str">
        <f t="shared" si="1"/>
        <v>Error?</v>
      </c>
    </row>
    <row r="171" spans="1:4" x14ac:dyDescent="0.2">
      <c r="A171" s="5">
        <v>110</v>
      </c>
      <c r="B171" s="1890">
        <f>'Assets-Liab 5-6'!F41</f>
        <v>242883</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21932</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21932</v>
      </c>
      <c r="D189" s="2" t="str">
        <f t="shared" si="1"/>
        <v>Error?</v>
      </c>
    </row>
    <row r="190" spans="1:4" x14ac:dyDescent="0.2">
      <c r="A190" s="5">
        <v>129</v>
      </c>
      <c r="B190" s="1890">
        <f>'Assets-Liab 5-6'!G41</f>
        <v>21932</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13831</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13831</v>
      </c>
      <c r="D212" s="2" t="str">
        <f t="shared" si="2"/>
        <v>Error?</v>
      </c>
    </row>
    <row r="213" spans="1:4" x14ac:dyDescent="0.2">
      <c r="A213" s="12">
        <v>152</v>
      </c>
      <c r="B213" s="1890">
        <f>'Assets-Liab 5-6'!H41</f>
        <v>13831</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2500</v>
      </c>
      <c r="D273" s="2" t="str">
        <f t="shared" si="3"/>
        <v>Error?</v>
      </c>
    </row>
    <row r="274" spans="1:4" x14ac:dyDescent="0.2">
      <c r="A274" s="5">
        <v>213</v>
      </c>
      <c r="B274" s="1890">
        <f>'Assets-Liab 5-6'!M17</f>
        <v>264880</v>
      </c>
      <c r="D274" s="2" t="str">
        <f t="shared" si="3"/>
        <v>Error?</v>
      </c>
    </row>
    <row r="275" spans="1:4" x14ac:dyDescent="0.2">
      <c r="A275" s="5">
        <v>214</v>
      </c>
      <c r="B275" s="1890">
        <f>'Assets-Liab 5-6'!M18</f>
        <v>9822</v>
      </c>
      <c r="D275" s="2" t="str">
        <f t="shared" si="3"/>
        <v>Error?</v>
      </c>
    </row>
    <row r="276" spans="1:4" x14ac:dyDescent="0.2">
      <c r="A276" s="5">
        <v>215</v>
      </c>
      <c r="B276" s="1890">
        <f>'Assets-Liab 5-6'!M19</f>
        <v>160040</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437242</v>
      </c>
      <c r="C279" s="2" t="s">
        <v>569</v>
      </c>
      <c r="D279" s="2" t="str">
        <f t="shared" si="3"/>
        <v>Error?</v>
      </c>
    </row>
    <row r="280" spans="1:4" x14ac:dyDescent="0.2">
      <c r="A280" s="5">
        <v>219</v>
      </c>
      <c r="B280" s="1890">
        <f>'Assets-Liab 5-6'!M40</f>
        <v>437242</v>
      </c>
      <c r="D280" s="2" t="str">
        <f t="shared" si="3"/>
        <v>Error?</v>
      </c>
    </row>
    <row r="281" spans="1:4" x14ac:dyDescent="0.2">
      <c r="A281" s="5">
        <v>220</v>
      </c>
      <c r="B281" s="1890">
        <f>'Assets-Liab 5-6'!M41</f>
        <v>437242</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0</v>
      </c>
      <c r="D283" s="2" t="str">
        <f t="shared" si="3"/>
        <v>Error?</v>
      </c>
    </row>
    <row r="284" spans="1:4" x14ac:dyDescent="0.2">
      <c r="A284" s="5">
        <v>223</v>
      </c>
      <c r="B284" s="1890">
        <f>'Assets-Liab 5-6'!N23</f>
        <v>0</v>
      </c>
      <c r="C284" s="2" t="s">
        <v>569</v>
      </c>
      <c r="D284" s="2" t="str">
        <f t="shared" si="3"/>
        <v>Error?</v>
      </c>
    </row>
    <row r="285" spans="1:4" x14ac:dyDescent="0.2">
      <c r="A285" s="5">
        <v>224</v>
      </c>
      <c r="B285" s="1890">
        <f>'Assets-Liab 5-6'!N36</f>
        <v>0</v>
      </c>
      <c r="D285" s="2" t="str">
        <f t="shared" si="3"/>
        <v>Error?</v>
      </c>
    </row>
    <row r="286" spans="1:4" x14ac:dyDescent="0.2">
      <c r="A286" s="10">
        <v>225</v>
      </c>
      <c r="B286" s="1890"/>
      <c r="D286" s="2" t="str">
        <f t="shared" si="3"/>
        <v>OK</v>
      </c>
    </row>
    <row r="287" spans="1:4" x14ac:dyDescent="0.2">
      <c r="A287" s="5">
        <v>226</v>
      </c>
      <c r="B287" s="1890">
        <f>'Assets-Liab 5-6'!N37</f>
        <v>0</v>
      </c>
      <c r="C287" s="2" t="s">
        <v>569</v>
      </c>
      <c r="D287" s="2" t="str">
        <f t="shared" si="3"/>
        <v>Error?</v>
      </c>
    </row>
    <row r="288" spans="1:4" x14ac:dyDescent="0.2">
      <c r="A288" s="5">
        <v>227</v>
      </c>
      <c r="B288" s="1890">
        <f>'Assets-Liab 5-6'!N41</f>
        <v>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333075</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4150</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408041</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14645</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14645</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0</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131658</v>
      </c>
      <c r="D733" s="2" t="str">
        <f t="shared" si="10"/>
        <v>Error?</v>
      </c>
    </row>
    <row r="734" spans="1:4" x14ac:dyDescent="0.2">
      <c r="A734" s="5">
        <v>673</v>
      </c>
      <c r="B734" s="1890">
        <f>'Expenditures 15-22'!C53</f>
        <v>131658</v>
      </c>
      <c r="C734" s="2" t="s">
        <v>569</v>
      </c>
      <c r="D734" s="2" t="str">
        <f t="shared" si="10"/>
        <v>Error?</v>
      </c>
    </row>
    <row r="735" spans="1:4" x14ac:dyDescent="0.2">
      <c r="A735" s="5">
        <v>674</v>
      </c>
      <c r="B735" s="1890">
        <f>'Expenditures 15-22'!C55</f>
        <v>0</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0</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0</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14569</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14569</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160872</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568913</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19699</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116</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20680</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0</v>
      </c>
      <c r="C785" s="2" t="s">
        <v>569</v>
      </c>
      <c r="D785" s="2" t="str">
        <f t="shared" si="11"/>
        <v>Error?</v>
      </c>
    </row>
    <row r="786" spans="1:4" x14ac:dyDescent="0.2">
      <c r="A786" s="5">
        <v>725</v>
      </c>
      <c r="B786" s="1890">
        <f>'Expenditures 15-22'!D44</f>
        <v>0</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0</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12642</v>
      </c>
      <c r="D791" s="2" t="str">
        <f t="shared" si="11"/>
        <v>Error?</v>
      </c>
    </row>
    <row r="792" spans="1:4" x14ac:dyDescent="0.2">
      <c r="A792" s="5">
        <v>731</v>
      </c>
      <c r="B792" s="1890">
        <f>'Expenditures 15-22'!D53</f>
        <v>12642</v>
      </c>
      <c r="C792" s="2" t="s">
        <v>569</v>
      </c>
      <c r="D792" s="2" t="str">
        <f t="shared" si="11"/>
        <v>Error?</v>
      </c>
    </row>
    <row r="793" spans="1:4" x14ac:dyDescent="0.2">
      <c r="A793" s="5">
        <v>732</v>
      </c>
      <c r="B793" s="1890">
        <f>'Expenditures 15-22'!D55</f>
        <v>0</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0</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12642</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33322</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3762</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1913</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5675</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0</v>
      </c>
      <c r="C843" s="2" t="s">
        <v>569</v>
      </c>
      <c r="D843" s="2" t="str">
        <f t="shared" si="12"/>
        <v>Error?</v>
      </c>
    </row>
    <row r="844" spans="1:4" x14ac:dyDescent="0.2">
      <c r="A844" s="5">
        <v>783</v>
      </c>
      <c r="B844" s="1890">
        <f>'Expenditures 15-22'!E44</f>
        <v>872</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872</v>
      </c>
      <c r="C847" s="2" t="s">
        <v>569</v>
      </c>
      <c r="D847" s="2" t="str">
        <f t="shared" si="12"/>
        <v>Error?</v>
      </c>
    </row>
    <row r="848" spans="1:4" x14ac:dyDescent="0.2">
      <c r="A848" s="5">
        <v>787</v>
      </c>
      <c r="B848" s="1890">
        <f>'Expenditures 15-22'!E49</f>
        <v>35051</v>
      </c>
      <c r="D848" s="2" t="str">
        <f t="shared" si="12"/>
        <v>Error?</v>
      </c>
    </row>
    <row r="849" spans="1:4" x14ac:dyDescent="0.2">
      <c r="A849" s="5">
        <v>788</v>
      </c>
      <c r="B849" s="1890">
        <f>'Expenditures 15-22'!E50</f>
        <v>938</v>
      </c>
      <c r="D849" s="2" t="str">
        <f t="shared" si="12"/>
        <v>Error?</v>
      </c>
    </row>
    <row r="850" spans="1:4" x14ac:dyDescent="0.2">
      <c r="A850" s="5">
        <v>789</v>
      </c>
      <c r="B850" s="1890">
        <f>'Expenditures 15-22'!E53</f>
        <v>35989</v>
      </c>
      <c r="C850" s="2" t="s">
        <v>569</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0</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0</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36861</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42536</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5093</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35</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5128</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0</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552</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552</v>
      </c>
      <c r="C905" s="2" t="s">
        <v>569</v>
      </c>
      <c r="D905" s="2" t="str">
        <f t="shared" si="13"/>
        <v>Error?</v>
      </c>
    </row>
    <row r="906" spans="1:4" x14ac:dyDescent="0.2">
      <c r="A906" s="5">
        <v>845</v>
      </c>
      <c r="B906" s="1890">
        <f>'Expenditures 15-22'!F49</f>
        <v>2749</v>
      </c>
      <c r="D906" s="2" t="str">
        <f t="shared" si="13"/>
        <v>Error?</v>
      </c>
    </row>
    <row r="907" spans="1:4" x14ac:dyDescent="0.2">
      <c r="A907" s="5">
        <v>846</v>
      </c>
      <c r="B907" s="1890">
        <f>'Expenditures 15-22'!F50</f>
        <v>0</v>
      </c>
      <c r="D907" s="2" t="str">
        <f t="shared" si="13"/>
        <v>Error?</v>
      </c>
    </row>
    <row r="908" spans="1:4" x14ac:dyDescent="0.2">
      <c r="A908" s="5">
        <v>847</v>
      </c>
      <c r="B908" s="1890">
        <f>'Expenditures 15-22'!F53</f>
        <v>2749</v>
      </c>
      <c r="C908" s="2" t="s">
        <v>569</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0</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15361</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15361</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18662</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23790</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0</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4878</v>
      </c>
      <c r="D1022" s="2" t="str">
        <f t="shared" si="14"/>
        <v>Error?</v>
      </c>
    </row>
    <row r="1023" spans="1:4" x14ac:dyDescent="0.2">
      <c r="A1023" s="5">
        <v>962</v>
      </c>
      <c r="B1023" s="1890">
        <f>'Expenditures 15-22'!H50</f>
        <v>0</v>
      </c>
      <c r="D1023" s="2" t="str">
        <f t="shared" ref="D1023:D1086" si="15">IF(ISBLANK(B1023),"OK",IF(A1023-B1023=0,"OK","Error?"))</f>
        <v>Error?</v>
      </c>
    </row>
    <row r="1024" spans="1:4" x14ac:dyDescent="0.2">
      <c r="A1024" s="5">
        <v>963</v>
      </c>
      <c r="B1024" s="1890">
        <f>'Expenditures 15-22'!H53</f>
        <v>4878</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4878</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46423</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51301</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361629</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6214</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439524</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0</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14645</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14645</v>
      </c>
      <c r="C1115" s="2" t="s">
        <v>569</v>
      </c>
      <c r="D1115" s="2" t="str">
        <f t="shared" si="16"/>
        <v>Error?</v>
      </c>
    </row>
    <row r="1116" spans="1:4" x14ac:dyDescent="0.2">
      <c r="A1116" s="5">
        <v>1055</v>
      </c>
      <c r="B1116" s="1890">
        <f>'Expenditures 15-22'!K44</f>
        <v>872</v>
      </c>
      <c r="C1116" s="2" t="s">
        <v>569</v>
      </c>
      <c r="D1116" s="2" t="str">
        <f t="shared" si="16"/>
        <v>Error?</v>
      </c>
    </row>
    <row r="1117" spans="1:4" x14ac:dyDescent="0.2">
      <c r="A1117" s="5">
        <v>1056</v>
      </c>
      <c r="B1117" s="1890">
        <f>'Expenditures 15-22'!K45</f>
        <v>552</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1424</v>
      </c>
      <c r="C1119" s="2" t="s">
        <v>569</v>
      </c>
      <c r="D1119" s="2" t="str">
        <f t="shared" si="16"/>
        <v>Error?</v>
      </c>
    </row>
    <row r="1120" spans="1:4" x14ac:dyDescent="0.2">
      <c r="A1120" s="5">
        <v>1059</v>
      </c>
      <c r="B1120" s="1890">
        <f>'Expenditures 15-22'!K49</f>
        <v>42678</v>
      </c>
      <c r="C1120" s="2" t="s">
        <v>569</v>
      </c>
      <c r="D1120" s="2" t="str">
        <f t="shared" si="16"/>
        <v>Error?</v>
      </c>
    </row>
    <row r="1121" spans="1:4" x14ac:dyDescent="0.2">
      <c r="A1121" s="5">
        <v>1060</v>
      </c>
      <c r="B1121" s="1890">
        <f>'Expenditures 15-22'!K50</f>
        <v>145238</v>
      </c>
      <c r="C1121" s="2" t="s">
        <v>569</v>
      </c>
      <c r="D1121" s="2" t="str">
        <f t="shared" si="16"/>
        <v>Error?</v>
      </c>
    </row>
    <row r="1122" spans="1:4" x14ac:dyDescent="0.2">
      <c r="A1122" s="5">
        <v>1061</v>
      </c>
      <c r="B1122" s="1890">
        <f>'Expenditures 15-22'!K53</f>
        <v>187916</v>
      </c>
      <c r="C1122" s="2" t="s">
        <v>569</v>
      </c>
      <c r="D1122" s="2" t="str">
        <f t="shared" si="16"/>
        <v>Error?</v>
      </c>
    </row>
    <row r="1123" spans="1:4" x14ac:dyDescent="0.2">
      <c r="A1123" s="5">
        <v>1062</v>
      </c>
      <c r="B1123" s="1890">
        <f>'Expenditures 15-22'!K55</f>
        <v>0</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0</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0</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29930</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29930</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233915</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46423</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719862</v>
      </c>
      <c r="C1152" s="2" t="s">
        <v>569</v>
      </c>
      <c r="D1152" s="2" t="str">
        <f t="shared" si="17"/>
        <v>Error?</v>
      </c>
    </row>
    <row r="1153" spans="1:4" x14ac:dyDescent="0.2">
      <c r="A1153" s="5">
        <v>1092</v>
      </c>
      <c r="B1153" s="1890">
        <f>'Expenditures 15-22'!K115</f>
        <v>-6993</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32847</v>
      </c>
      <c r="D1221" s="2" t="str">
        <f t="shared" si="18"/>
        <v>Error?</v>
      </c>
    </row>
    <row r="1222" spans="1:4" x14ac:dyDescent="0.2">
      <c r="A1222" s="10">
        <v>1161</v>
      </c>
      <c r="B1222" s="1890"/>
      <c r="D1222" s="2" t="str">
        <f t="shared" si="18"/>
        <v>OK</v>
      </c>
    </row>
    <row r="1223" spans="1:4" x14ac:dyDescent="0.2">
      <c r="A1223" s="5">
        <v>1162</v>
      </c>
      <c r="B1223" s="1890">
        <f>'Expenditures 15-22'!C127</f>
        <v>32847</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32847</v>
      </c>
      <c r="C1225" s="2" t="s">
        <v>569</v>
      </c>
      <c r="D1225" s="2" t="str">
        <f t="shared" si="18"/>
        <v>Error?</v>
      </c>
    </row>
    <row r="1226" spans="1:4" x14ac:dyDescent="0.2">
      <c r="A1226" s="5">
        <v>1165</v>
      </c>
      <c r="B1226" s="1890">
        <f>'Expenditures 15-22'!C151</f>
        <v>32847</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19254</v>
      </c>
      <c r="D1237" s="2" t="str">
        <f t="shared" si="18"/>
        <v>Error?</v>
      </c>
    </row>
    <row r="1238" spans="1:4" x14ac:dyDescent="0.2">
      <c r="A1238" s="10">
        <v>1177</v>
      </c>
      <c r="B1238" s="1890"/>
      <c r="D1238" s="2" t="str">
        <f t="shared" si="18"/>
        <v>OK</v>
      </c>
    </row>
    <row r="1239" spans="1:4" x14ac:dyDescent="0.2">
      <c r="A1239" s="5">
        <v>1178</v>
      </c>
      <c r="B1239" s="1890">
        <f>'Expenditures 15-22'!E127</f>
        <v>19254</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19254</v>
      </c>
      <c r="C1241" s="2" t="s">
        <v>569</v>
      </c>
      <c r="D1241" s="2" t="str">
        <f t="shared" si="18"/>
        <v>Error?</v>
      </c>
    </row>
    <row r="1242" spans="1:4" x14ac:dyDescent="0.2">
      <c r="A1242" s="5">
        <v>1181</v>
      </c>
      <c r="B1242" s="1890">
        <f>'Expenditures 15-22'!E151</f>
        <v>19254</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17062</v>
      </c>
      <c r="D1245" s="2" t="str">
        <f t="shared" si="18"/>
        <v>Error?</v>
      </c>
    </row>
    <row r="1246" spans="1:4" x14ac:dyDescent="0.2">
      <c r="A1246" s="10">
        <v>1185</v>
      </c>
      <c r="B1246" s="1890"/>
      <c r="D1246" s="2" t="str">
        <f t="shared" si="18"/>
        <v>OK</v>
      </c>
    </row>
    <row r="1247" spans="1:4" x14ac:dyDescent="0.2">
      <c r="A1247" s="5">
        <v>1186</v>
      </c>
      <c r="B1247" s="1890">
        <f>'Expenditures 15-22'!F127</f>
        <v>17062</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17062</v>
      </c>
      <c r="C1249" s="2" t="s">
        <v>569</v>
      </c>
      <c r="D1249" s="2" t="str">
        <f t="shared" si="18"/>
        <v>Error?</v>
      </c>
    </row>
    <row r="1250" spans="1:4" x14ac:dyDescent="0.2">
      <c r="A1250" s="5">
        <v>1189</v>
      </c>
      <c r="B1250" s="1890">
        <f>'Expenditures 15-22'!F151</f>
        <v>17062</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0</v>
      </c>
      <c r="C1258" s="2" t="s">
        <v>569</v>
      </c>
      <c r="D1258" s="2" t="str">
        <f t="shared" si="18"/>
        <v>Error?</v>
      </c>
    </row>
    <row r="1259" spans="1:4" x14ac:dyDescent="0.2">
      <c r="A1259" s="5">
        <v>1198</v>
      </c>
      <c r="B1259" s="1890">
        <f>'Expenditures 15-22'!G151</f>
        <v>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69163</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69163</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69163</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69163</v>
      </c>
      <c r="C1288" s="2" t="s">
        <v>569</v>
      </c>
      <c r="D1288" s="2" t="str">
        <f t="shared" si="19"/>
        <v>Error?</v>
      </c>
    </row>
    <row r="1289" spans="1:4" x14ac:dyDescent="0.2">
      <c r="A1289" s="5">
        <v>1228</v>
      </c>
      <c r="B1289" s="1890">
        <f>'Expenditures 15-22'!K152</f>
        <v>-9556</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0</v>
      </c>
      <c r="C1317" s="2" t="s">
        <v>569</v>
      </c>
      <c r="D1317" s="2" t="str">
        <f t="shared" si="19"/>
        <v>Error?</v>
      </c>
    </row>
    <row r="1318" spans="1:4" x14ac:dyDescent="0.2">
      <c r="A1318" s="5">
        <v>1257</v>
      </c>
      <c r="B1318" s="1890">
        <f>'Expenditures 15-22'!H174</f>
        <v>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0</v>
      </c>
      <c r="C1331" s="2" t="s">
        <v>569</v>
      </c>
      <c r="D1331" s="2" t="str">
        <f t="shared" si="19"/>
        <v>Error?</v>
      </c>
    </row>
    <row r="1332" spans="1:4" x14ac:dyDescent="0.2">
      <c r="A1332" s="5">
        <v>1271</v>
      </c>
      <c r="B1332" s="1890">
        <f>'Expenditures 15-22'!K174</f>
        <v>0</v>
      </c>
      <c r="C1332" s="2" t="s">
        <v>569</v>
      </c>
      <c r="D1332" s="2" t="str">
        <f t="shared" si="19"/>
        <v>Error?</v>
      </c>
    </row>
    <row r="1333" spans="1:4" x14ac:dyDescent="0.2">
      <c r="A1333" s="5">
        <v>1272</v>
      </c>
      <c r="B1333" s="1890">
        <f>'Expenditures 15-22'!K175</f>
        <v>0</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35957</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35957</v>
      </c>
      <c r="C1339" s="2" t="s">
        <v>569</v>
      </c>
      <c r="D1339" s="2" t="str">
        <f t="shared" si="19"/>
        <v>Error?</v>
      </c>
    </row>
    <row r="1340" spans="1:4" x14ac:dyDescent="0.2">
      <c r="A1340" s="5">
        <v>1279</v>
      </c>
      <c r="B1340" s="1890">
        <f>'Expenditures 15-22'!C210</f>
        <v>35957</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21999</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21999</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21999</v>
      </c>
      <c r="C1353" s="2" t="s">
        <v>569</v>
      </c>
      <c r="D1353" s="2" t="str">
        <f t="shared" si="20"/>
        <v>Error?</v>
      </c>
    </row>
    <row r="1354" spans="1:4" x14ac:dyDescent="0.2">
      <c r="A1354" s="5">
        <v>1293</v>
      </c>
      <c r="B1354" s="1890">
        <f>'Expenditures 15-22'!F182</f>
        <v>6435</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6435</v>
      </c>
      <c r="C1358" s="2" t="s">
        <v>569</v>
      </c>
      <c r="D1358" s="2" t="str">
        <f t="shared" si="20"/>
        <v>Error?</v>
      </c>
    </row>
    <row r="1359" spans="1:4" x14ac:dyDescent="0.2">
      <c r="A1359" s="5">
        <v>1298</v>
      </c>
      <c r="B1359" s="1890">
        <f>'Expenditures 15-22'!F210</f>
        <v>6435</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64391</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64391</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64391</v>
      </c>
      <c r="C1388" s="2" t="s">
        <v>569</v>
      </c>
      <c r="D1388" s="2" t="str">
        <f t="shared" si="20"/>
        <v>Error?</v>
      </c>
    </row>
    <row r="1389" spans="1:4" x14ac:dyDescent="0.2">
      <c r="A1389" s="5">
        <v>1328</v>
      </c>
      <c r="B1389" s="1890">
        <f>'Expenditures 15-22'!K211</f>
        <v>-10913</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60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10742</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212</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212</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5189</v>
      </c>
      <c r="D1423" s="2" t="str">
        <f t="shared" si="21"/>
        <v>Error?</v>
      </c>
    </row>
    <row r="1424" spans="1:4" x14ac:dyDescent="0.2">
      <c r="A1424" s="5">
        <v>1363</v>
      </c>
      <c r="B1424" s="1890">
        <f>'Expenditures 15-22'!D257</f>
        <v>5189</v>
      </c>
      <c r="C1424" s="2" t="s">
        <v>569</v>
      </c>
      <c r="D1424" s="2" t="str">
        <f t="shared" si="21"/>
        <v>Error?</v>
      </c>
    </row>
    <row r="1425" spans="1:4" x14ac:dyDescent="0.2">
      <c r="A1425" s="5">
        <v>1364</v>
      </c>
      <c r="B1425" s="1890">
        <f>'Expenditures 15-22'!D259</f>
        <v>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0</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3469</v>
      </c>
      <c r="D1431" s="2" t="str">
        <f t="shared" si="21"/>
        <v>Error?</v>
      </c>
    </row>
    <row r="1432" spans="1:4" x14ac:dyDescent="0.2">
      <c r="A1432" s="5">
        <v>1371</v>
      </c>
      <c r="B1432" s="1890">
        <f>'Expenditures 15-22'!D267</f>
        <v>2772</v>
      </c>
      <c r="D1432" s="2" t="str">
        <f t="shared" si="21"/>
        <v>Error?</v>
      </c>
    </row>
    <row r="1433" spans="1:4" x14ac:dyDescent="0.2">
      <c r="A1433" s="5">
        <v>1372</v>
      </c>
      <c r="B1433" s="1890">
        <f>'Expenditures 15-22'!D268</f>
        <v>1539</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7780</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13181</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23923</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60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10742</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212</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212</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5189</v>
      </c>
      <c r="C1487" s="2" t="s">
        <v>569</v>
      </c>
      <c r="D1487" s="2" t="str">
        <f t="shared" si="22"/>
        <v>Error?</v>
      </c>
    </row>
    <row r="1488" spans="1:4" x14ac:dyDescent="0.2">
      <c r="A1488" s="5">
        <v>1427</v>
      </c>
      <c r="B1488" s="1890">
        <f>'Expenditures 15-22'!K257</f>
        <v>5189</v>
      </c>
      <c r="C1488" s="2" t="s">
        <v>569</v>
      </c>
      <c r="D1488" s="2" t="str">
        <f t="shared" si="22"/>
        <v>Error?</v>
      </c>
    </row>
    <row r="1489" spans="1:4" x14ac:dyDescent="0.2">
      <c r="A1489" s="5">
        <v>1428</v>
      </c>
      <c r="B1489" s="1890">
        <f>'Expenditures 15-22'!K259</f>
        <v>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0</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3469</v>
      </c>
      <c r="C1495" s="2" t="s">
        <v>569</v>
      </c>
      <c r="D1495" s="2" t="str">
        <f t="shared" si="22"/>
        <v>Error?</v>
      </c>
    </row>
    <row r="1496" spans="1:4" x14ac:dyDescent="0.2">
      <c r="A1496" s="5">
        <v>1435</v>
      </c>
      <c r="B1496" s="1890">
        <f>'Expenditures 15-22'!K267</f>
        <v>2772</v>
      </c>
      <c r="C1496" s="2" t="s">
        <v>569</v>
      </c>
      <c r="D1496" s="2" t="str">
        <f t="shared" si="22"/>
        <v>Error?</v>
      </c>
    </row>
    <row r="1497" spans="1:4" x14ac:dyDescent="0.2">
      <c r="A1497" s="5">
        <v>1436</v>
      </c>
      <c r="B1497" s="1890">
        <f>'Expenditures 15-22'!K268</f>
        <v>1539</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7780</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13181</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23923</v>
      </c>
      <c r="C1517" s="2" t="s">
        <v>569</v>
      </c>
      <c r="D1517" s="2" t="str">
        <f t="shared" si="22"/>
        <v>Error?</v>
      </c>
    </row>
    <row r="1518" spans="1:4" x14ac:dyDescent="0.2">
      <c r="A1518" s="5">
        <v>1457</v>
      </c>
      <c r="B1518" s="1890">
        <f>'Expenditures 15-22'!K296</f>
        <v>-4328</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30080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30080</v>
      </c>
      <c r="C1535" s="2" t="s">
        <v>569</v>
      </c>
      <c r="D1535" s="2" t="str">
        <f t="shared" ref="D1535:D1598" si="23">IF(ISBLANK(B1535),"OK",IF(A1535-B1535=0,"OK","Error?"))</f>
        <v>Error?</v>
      </c>
    </row>
    <row r="1536" spans="1:4" x14ac:dyDescent="0.2">
      <c r="A1536" s="5">
        <v>1475</v>
      </c>
      <c r="B1536" s="1890">
        <f>'Expenditures 15-22'!E312</f>
        <v>30080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30080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30080</v>
      </c>
      <c r="C1559" s="2" t="s">
        <v>569</v>
      </c>
      <c r="D1559" s="2" t="str">
        <f t="shared" si="23"/>
        <v>Error?</v>
      </c>
    </row>
    <row r="1560" spans="1:4" x14ac:dyDescent="0.2">
      <c r="A1560" s="5">
        <v>1499</v>
      </c>
      <c r="B1560" s="1890">
        <f>'Expenditures 15-22'!K312</f>
        <v>30080</v>
      </c>
      <c r="C1560" s="2" t="s">
        <v>569</v>
      </c>
      <c r="D1560" s="2" t="str">
        <f t="shared" si="23"/>
        <v>Error?</v>
      </c>
    </row>
    <row r="1561" spans="1:4" x14ac:dyDescent="0.2">
      <c r="A1561" s="5">
        <v>1500</v>
      </c>
      <c r="B1561" s="1890">
        <f>'Expenditures 15-22'!K313</f>
        <v>-4353</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443204</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436211</v>
      </c>
      <c r="C1630" s="2" t="s">
        <v>569</v>
      </c>
      <c r="D1630" s="2" t="str">
        <f t="shared" si="24"/>
        <v>Error?</v>
      </c>
    </row>
    <row r="1631" spans="1:4" x14ac:dyDescent="0.2">
      <c r="A1631" s="5">
        <v>1570</v>
      </c>
      <c r="B1631" s="1890">
        <f>'Acct Summary 7-8'!D79</f>
        <v>268882</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259326</v>
      </c>
      <c r="C1644" s="2" t="s">
        <v>569</v>
      </c>
      <c r="D1644" s="2" t="str">
        <f t="shared" si="24"/>
        <v>Error?</v>
      </c>
    </row>
    <row r="1645" spans="1:4" x14ac:dyDescent="0.2">
      <c r="A1645" s="5">
        <v>1584</v>
      </c>
      <c r="B1645" s="1890">
        <f>'Acct Summary 7-8'!E79</f>
        <v>6989</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6989</v>
      </c>
      <c r="C1658" s="2" t="s">
        <v>569</v>
      </c>
      <c r="D1658" s="2" t="str">
        <f t="shared" si="24"/>
        <v>Error?</v>
      </c>
    </row>
    <row r="1659" spans="1:4" x14ac:dyDescent="0.2">
      <c r="A1659" s="5">
        <v>1598</v>
      </c>
      <c r="B1659" s="1890">
        <f>'Acct Summary 7-8'!F79</f>
        <v>253796</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242883</v>
      </c>
      <c r="C1672" s="2" t="s">
        <v>569</v>
      </c>
      <c r="D1672" s="2" t="str">
        <f t="shared" si="25"/>
        <v>Error?</v>
      </c>
    </row>
    <row r="1673" spans="1:4" x14ac:dyDescent="0.2">
      <c r="A1673" s="5">
        <v>1612</v>
      </c>
      <c r="B1673" s="1890">
        <f>'Acct Summary 7-8'!G79</f>
        <v>26260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21932</v>
      </c>
      <c r="C1686" s="2" t="s">
        <v>569</v>
      </c>
      <c r="D1686" s="2" t="str">
        <f t="shared" si="25"/>
        <v>Error?</v>
      </c>
    </row>
    <row r="1687" spans="1:4" x14ac:dyDescent="0.2">
      <c r="A1687" s="5">
        <v>1626</v>
      </c>
      <c r="B1687" s="1890">
        <f>'Acct Summary 7-8'!H79</f>
        <v>18184</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13831</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594068</v>
      </c>
      <c r="C1744" s="2" t="s">
        <v>569</v>
      </c>
      <c r="D1744" s="2" t="str">
        <f t="shared" si="26"/>
        <v>Error?</v>
      </c>
    </row>
    <row r="1745" spans="1:5" x14ac:dyDescent="0.2">
      <c r="A1745" s="5">
        <v>1684</v>
      </c>
      <c r="B1745" s="1890">
        <f>'Tax Sched 23'!B5</f>
        <v>53877</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21551</v>
      </c>
      <c r="C1747" s="2" t="s">
        <v>569</v>
      </c>
      <c r="D1747" s="2" t="str">
        <f t="shared" si="26"/>
        <v>Error?</v>
      </c>
    </row>
    <row r="1748" spans="1:5" x14ac:dyDescent="0.2">
      <c r="A1748" s="5">
        <v>1687</v>
      </c>
      <c r="B1748" s="1890">
        <f>'Tax Sched 23'!B8</f>
        <v>9801</v>
      </c>
      <c r="C1748" s="2" t="s">
        <v>569</v>
      </c>
      <c r="D1748" s="2" t="str">
        <f t="shared" si="26"/>
        <v>Error?</v>
      </c>
    </row>
    <row r="1749" spans="1:5" x14ac:dyDescent="0.2">
      <c r="A1749" s="5">
        <v>1688</v>
      </c>
      <c r="B1749" s="1890">
        <f>'Tax Sched 23'!B10</f>
        <v>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19592</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0</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708682</v>
      </c>
      <c r="C1759" s="2" t="s">
        <v>569</v>
      </c>
      <c r="D1759" s="2" t="str">
        <f t="shared" si="26"/>
        <v>Error?</v>
      </c>
    </row>
    <row r="1760" spans="1:5" x14ac:dyDescent="0.2">
      <c r="A1760" s="5">
        <v>1699</v>
      </c>
      <c r="B1760" s="1890">
        <f>'Tax Sched 23'!D4</f>
        <v>-36</v>
      </c>
      <c r="C1760" s="2" t="s">
        <v>569</v>
      </c>
      <c r="D1760" s="2" t="str">
        <f t="shared" si="26"/>
        <v>Error?</v>
      </c>
    </row>
    <row r="1761" spans="1:7" x14ac:dyDescent="0.2">
      <c r="A1761" s="5">
        <v>1700</v>
      </c>
      <c r="B1761" s="1890">
        <f>'Tax Sched 23'!D5</f>
        <v>-3</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-1</v>
      </c>
      <c r="C1763" s="2" t="s">
        <v>569</v>
      </c>
      <c r="D1763" s="2" t="str">
        <f t="shared" si="26"/>
        <v>Error?</v>
      </c>
    </row>
    <row r="1764" spans="1:7" x14ac:dyDescent="0.2">
      <c r="A1764" s="5">
        <v>1703</v>
      </c>
      <c r="B1764" s="1890">
        <f>'Tax Sched 23'!D8</f>
        <v>4</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0</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-40</v>
      </c>
      <c r="C1775" s="2" t="s">
        <v>569</v>
      </c>
      <c r="D1775" s="2" t="str">
        <f t="shared" si="26"/>
        <v>Error?</v>
      </c>
    </row>
    <row r="1776" spans="1:7" x14ac:dyDescent="0.2">
      <c r="A1776" s="5">
        <v>1715</v>
      </c>
      <c r="B1776" s="1890">
        <f>'Tax Sched 23'!C4</f>
        <v>594104</v>
      </c>
      <c r="D1776" s="2" t="str">
        <f t="shared" si="26"/>
        <v>Error?</v>
      </c>
    </row>
    <row r="1777" spans="1:4" x14ac:dyDescent="0.2">
      <c r="A1777" s="5">
        <v>1716</v>
      </c>
      <c r="B1777" s="1890">
        <f>'Tax Sched 23'!C5</f>
        <v>53880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21552</v>
      </c>
      <c r="D1779" s="2" t="str">
        <f t="shared" si="26"/>
        <v>Error?</v>
      </c>
    </row>
    <row r="1780" spans="1:4" x14ac:dyDescent="0.2">
      <c r="A1780" s="5">
        <v>1719</v>
      </c>
      <c r="B1780" s="1890">
        <f>'Tax Sched 23'!C8</f>
        <v>9797</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19592</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708722</v>
      </c>
      <c r="C1791" s="2" t="s">
        <v>569</v>
      </c>
      <c r="D1791" s="2" t="str">
        <f t="shared" ref="D1791:D1854" si="27">IF(ISBLANK(B1791),"OK",IF(A1791-B1791=0,"OK","Error?"))</f>
        <v>Error?</v>
      </c>
    </row>
    <row r="1792" spans="1:4" x14ac:dyDescent="0.2">
      <c r="A1792" s="5">
        <v>1731</v>
      </c>
      <c r="B1792" s="1890">
        <f>'Tax Sched 23'!F4</f>
        <v>33086</v>
      </c>
      <c r="C1792" s="2" t="s">
        <v>569</v>
      </c>
      <c r="D1792" s="2" t="str">
        <f t="shared" si="27"/>
        <v>Error?</v>
      </c>
    </row>
    <row r="1793" spans="1:4" x14ac:dyDescent="0.2">
      <c r="A1793" s="5">
        <v>1732</v>
      </c>
      <c r="B1793" s="1890">
        <f>'Tax Sched 23'!F5</f>
        <v>120</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448</v>
      </c>
      <c r="C1795" s="2" t="s">
        <v>569</v>
      </c>
      <c r="D1795" s="2" t="str">
        <f t="shared" si="27"/>
        <v>Error?</v>
      </c>
    </row>
    <row r="1796" spans="1:4" x14ac:dyDescent="0.2">
      <c r="A1796" s="5">
        <v>1735</v>
      </c>
      <c r="B1796" s="1890">
        <f>'Tax Sched 23'!F8</f>
        <v>453</v>
      </c>
      <c r="C1796" s="2" t="s">
        <v>569</v>
      </c>
      <c r="D1796" s="2" t="str">
        <f t="shared" si="27"/>
        <v>Error?</v>
      </c>
    </row>
    <row r="1797" spans="1:4" x14ac:dyDescent="0.2">
      <c r="A1797" s="5">
        <v>1736</v>
      </c>
      <c r="B1797" s="1890">
        <f>'Tax Sched 23'!F10</f>
        <v>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908</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35468</v>
      </c>
      <c r="C1807" s="2" t="s">
        <v>569</v>
      </c>
      <c r="D1807" s="2" t="str">
        <f t="shared" si="27"/>
        <v>Error?</v>
      </c>
    </row>
    <row r="1808" spans="1:4" x14ac:dyDescent="0.2">
      <c r="A1808" s="5">
        <v>1747</v>
      </c>
      <c r="B1808" s="1890">
        <f>'Tax Sched 23'!E4</f>
        <v>627190</v>
      </c>
      <c r="D1808" s="2" t="str">
        <f t="shared" si="27"/>
        <v>Error?</v>
      </c>
    </row>
    <row r="1809" spans="1:4" x14ac:dyDescent="0.2">
      <c r="A1809" s="5">
        <v>1748</v>
      </c>
      <c r="B1809" s="1890">
        <f>'Tax Sched 23'!E5</f>
        <v>54000</v>
      </c>
      <c r="D1809" s="2" t="str">
        <f t="shared" si="27"/>
        <v>Error?</v>
      </c>
    </row>
    <row r="1810" spans="1:4" x14ac:dyDescent="0.2">
      <c r="A1810" s="5">
        <v>1749</v>
      </c>
      <c r="B1810" s="1890">
        <f>'Tax Sched 23'!E6</f>
        <v>0</v>
      </c>
      <c r="D1810" s="2" t="str">
        <f t="shared" si="27"/>
        <v>Error?</v>
      </c>
    </row>
    <row r="1811" spans="1:4" x14ac:dyDescent="0.2">
      <c r="A1811" s="5">
        <v>1750</v>
      </c>
      <c r="B1811" s="1890">
        <f>'Tax Sched 23'!E7</f>
        <v>22000</v>
      </c>
      <c r="D1811" s="2" t="str">
        <f t="shared" si="27"/>
        <v>Error?</v>
      </c>
    </row>
    <row r="1812" spans="1:4" x14ac:dyDescent="0.2">
      <c r="A1812" s="5">
        <v>1751</v>
      </c>
      <c r="B1812" s="1890">
        <f>'Tax Sched 23'!E8</f>
        <v>10250</v>
      </c>
      <c r="D1812" s="2" t="str">
        <f t="shared" si="27"/>
        <v>Error?</v>
      </c>
    </row>
    <row r="1813" spans="1:4" x14ac:dyDescent="0.2">
      <c r="A1813" s="5">
        <v>1752</v>
      </c>
      <c r="B1813" s="1890">
        <f>'Tax Sched 23'!E10</f>
        <v>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20500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744190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0</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0</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0</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2500</v>
      </c>
      <c r="D2008" s="2" t="str">
        <f t="shared" si="30"/>
        <v>Error?</v>
      </c>
    </row>
    <row r="2009" spans="1:4" x14ac:dyDescent="0.2">
      <c r="A2009" s="5">
        <v>1948</v>
      </c>
      <c r="B2009" s="1890">
        <f>'Cap Outlay Deprec 26'!C8</f>
        <v>237980</v>
      </c>
      <c r="D2009" s="2" t="str">
        <f t="shared" si="30"/>
        <v>Error?</v>
      </c>
    </row>
    <row r="2010" spans="1:4" x14ac:dyDescent="0.2">
      <c r="A2010" s="5">
        <v>1949</v>
      </c>
      <c r="B2010" s="1890">
        <f>'Cap Outlay Deprec 26'!C10</f>
        <v>9822</v>
      </c>
      <c r="D2010" s="2" t="str">
        <f t="shared" si="30"/>
        <v>Error?</v>
      </c>
    </row>
    <row r="2011" spans="1:4" x14ac:dyDescent="0.2">
      <c r="A2011" s="5">
        <v>1950</v>
      </c>
      <c r="B2011" s="1890">
        <f>'Cap Outlay Deprec 26'!C12</f>
        <v>59164</v>
      </c>
      <c r="D2011" s="2" t="str">
        <f t="shared" si="30"/>
        <v>Error?</v>
      </c>
    </row>
    <row r="2012" spans="1:4" x14ac:dyDescent="0.2">
      <c r="A2012" s="5">
        <v>1951</v>
      </c>
      <c r="B2012" s="1890">
        <f>'Cap Outlay Deprec 26'!C13</f>
        <v>83222</v>
      </c>
      <c r="D2012" s="2" t="str">
        <f t="shared" si="30"/>
        <v>Error?</v>
      </c>
    </row>
    <row r="2013" spans="1:4" x14ac:dyDescent="0.2">
      <c r="A2013" s="5">
        <v>1952</v>
      </c>
      <c r="B2013" s="1890">
        <f>'Cap Outlay Deprec 26'!C16</f>
        <v>406535</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26900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2397</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30707</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2500</v>
      </c>
      <c r="C2026" s="2" t="s">
        <v>569</v>
      </c>
      <c r="D2026" s="2" t="str">
        <f t="shared" si="30"/>
        <v>Error?</v>
      </c>
    </row>
    <row r="2027" spans="1:4" x14ac:dyDescent="0.2">
      <c r="A2027" s="5">
        <v>1966</v>
      </c>
      <c r="B2027" s="1890">
        <f>'Cap Outlay Deprec 26'!F8</f>
        <v>264880</v>
      </c>
      <c r="C2027" s="2" t="s">
        <v>569</v>
      </c>
      <c r="D2027" s="2" t="str">
        <f t="shared" si="30"/>
        <v>Error?</v>
      </c>
    </row>
    <row r="2028" spans="1:4" x14ac:dyDescent="0.2">
      <c r="A2028" s="5">
        <v>1967</v>
      </c>
      <c r="B2028" s="1890">
        <f>'Cap Outlay Deprec 26'!F10</f>
        <v>9822</v>
      </c>
      <c r="C2028" s="2" t="s">
        <v>569</v>
      </c>
      <c r="D2028" s="2" t="str">
        <f t="shared" si="30"/>
        <v>Error?</v>
      </c>
    </row>
    <row r="2029" spans="1:4" x14ac:dyDescent="0.2">
      <c r="A2029" s="5">
        <v>1968</v>
      </c>
      <c r="B2029" s="1890">
        <f>'Cap Outlay Deprec 26'!F12</f>
        <v>61561</v>
      </c>
      <c r="C2029" s="2" t="s">
        <v>569</v>
      </c>
      <c r="D2029" s="2" t="str">
        <f t="shared" si="30"/>
        <v>Error?</v>
      </c>
    </row>
    <row r="2030" spans="1:4" x14ac:dyDescent="0.2">
      <c r="A2030" s="5">
        <v>1969</v>
      </c>
      <c r="B2030" s="1890">
        <f>'Cap Outlay Deprec 26'!F13</f>
        <v>83222</v>
      </c>
      <c r="C2030" s="2" t="s">
        <v>569</v>
      </c>
      <c r="D2030" s="2" t="str">
        <f t="shared" si="30"/>
        <v>Error?</v>
      </c>
    </row>
    <row r="2031" spans="1:4" x14ac:dyDescent="0.2">
      <c r="A2031" s="5">
        <v>1970</v>
      </c>
      <c r="B2031" s="1890">
        <f>'Cap Outlay Deprec 26'!F16</f>
        <v>437242</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181580</v>
      </c>
      <c r="D2033" s="2" t="str">
        <f t="shared" si="30"/>
        <v>Error?</v>
      </c>
    </row>
    <row r="2034" spans="1:4" x14ac:dyDescent="0.2">
      <c r="A2034" s="5">
        <v>1973</v>
      </c>
      <c r="B2034" s="1890">
        <f>'Cap Outlay Deprec 26'!H10</f>
        <v>9822</v>
      </c>
      <c r="D2034" s="2" t="str">
        <f t="shared" si="30"/>
        <v>Error?</v>
      </c>
    </row>
    <row r="2035" spans="1:4" x14ac:dyDescent="0.2">
      <c r="A2035" s="5">
        <v>1974</v>
      </c>
      <c r="B2035" s="1890">
        <f>'Cap Outlay Deprec 26'!H12</f>
        <v>57237</v>
      </c>
      <c r="D2035" s="2" t="str">
        <f t="shared" si="30"/>
        <v>Error?</v>
      </c>
    </row>
    <row r="2036" spans="1:4" x14ac:dyDescent="0.2">
      <c r="A2036" s="5">
        <v>1975</v>
      </c>
      <c r="B2036" s="1890">
        <f>'Cap Outlay Deprec 26'!H13</f>
        <v>75282</v>
      </c>
      <c r="D2036" s="2" t="str">
        <f t="shared" si="30"/>
        <v>Error?</v>
      </c>
    </row>
    <row r="2037" spans="1:4" x14ac:dyDescent="0.2">
      <c r="A2037" s="5">
        <v>1976</v>
      </c>
      <c r="B2037" s="1890">
        <f>'Cap Outlay Deprec 26'!H16</f>
        <v>337131</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2196</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1091</v>
      </c>
      <c r="D2041" s="2" t="str">
        <f t="shared" si="30"/>
        <v>Error?</v>
      </c>
    </row>
    <row r="2042" spans="1:4" x14ac:dyDescent="0.2">
      <c r="A2042" s="5">
        <v>1981</v>
      </c>
      <c r="B2042" s="1890">
        <f>'Cap Outlay Deprec 26'!I13</f>
        <v>4029</v>
      </c>
      <c r="D2042" s="2" t="str">
        <f t="shared" si="30"/>
        <v>Error?</v>
      </c>
    </row>
    <row r="2043" spans="1:4" x14ac:dyDescent="0.2">
      <c r="A2043" s="5">
        <v>1982</v>
      </c>
      <c r="B2043" s="1890">
        <f>'Cap Outlay Deprec 26'!I16</f>
        <v>8080</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183776</v>
      </c>
      <c r="C2051" s="2" t="s">
        <v>569</v>
      </c>
      <c r="D2051" s="2" t="str">
        <f t="shared" si="31"/>
        <v>Error?</v>
      </c>
    </row>
    <row r="2052" spans="1:4" x14ac:dyDescent="0.2">
      <c r="A2052" s="5">
        <v>1991</v>
      </c>
      <c r="B2052" s="1890">
        <f>'Cap Outlay Deprec 26'!K10</f>
        <v>9822</v>
      </c>
      <c r="C2052" s="2" t="s">
        <v>569</v>
      </c>
      <c r="D2052" s="2" t="str">
        <f t="shared" si="31"/>
        <v>Error?</v>
      </c>
    </row>
    <row r="2053" spans="1:4" x14ac:dyDescent="0.2">
      <c r="A2053" s="5">
        <v>1992</v>
      </c>
      <c r="B2053" s="1890">
        <f>'Cap Outlay Deprec 26'!K12</f>
        <v>58328</v>
      </c>
      <c r="C2053" s="2" t="s">
        <v>569</v>
      </c>
      <c r="D2053" s="2" t="str">
        <f t="shared" si="31"/>
        <v>Error?</v>
      </c>
    </row>
    <row r="2054" spans="1:4" x14ac:dyDescent="0.2">
      <c r="A2054" s="5">
        <v>1993</v>
      </c>
      <c r="B2054" s="1890">
        <f>'Cap Outlay Deprec 26'!K13</f>
        <v>79311</v>
      </c>
      <c r="C2054" s="2" t="s">
        <v>569</v>
      </c>
      <c r="D2054" s="2" t="str">
        <f t="shared" si="31"/>
        <v>Error?</v>
      </c>
    </row>
    <row r="2055" spans="1:4" x14ac:dyDescent="0.2">
      <c r="A2055" s="5">
        <v>1994</v>
      </c>
      <c r="B2055" s="1890">
        <f>'Cap Outlay Deprec 26'!K16</f>
        <v>345211</v>
      </c>
      <c r="C2055" s="2" t="s">
        <v>569</v>
      </c>
      <c r="D2055" s="2" t="str">
        <f t="shared" si="31"/>
        <v>Error?</v>
      </c>
    </row>
    <row r="2056" spans="1:4" x14ac:dyDescent="0.2">
      <c r="A2056" s="5">
        <v>1995</v>
      </c>
      <c r="B2056" s="1890">
        <f>'Cap Outlay Deprec 26'!L5</f>
        <v>2500</v>
      </c>
      <c r="C2056" s="2" t="s">
        <v>569</v>
      </c>
      <c r="D2056" s="2" t="str">
        <f t="shared" si="31"/>
        <v>Error?</v>
      </c>
    </row>
    <row r="2057" spans="1:4" x14ac:dyDescent="0.2">
      <c r="A2057" s="5">
        <v>1996</v>
      </c>
      <c r="B2057" s="1890">
        <f>'Cap Outlay Deprec 26'!L8</f>
        <v>81104</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3233</v>
      </c>
      <c r="C2059" s="2" t="s">
        <v>569</v>
      </c>
      <c r="D2059" s="2" t="str">
        <f t="shared" si="31"/>
        <v>Error?</v>
      </c>
    </row>
    <row r="2060" spans="1:4" x14ac:dyDescent="0.2">
      <c r="A2060" s="5">
        <v>1999</v>
      </c>
      <c r="B2060" s="1890">
        <f>'Cap Outlay Deprec 26'!L13</f>
        <v>3911</v>
      </c>
      <c r="C2060" s="2" t="s">
        <v>569</v>
      </c>
      <c r="D2060" s="2" t="str">
        <f t="shared" si="31"/>
        <v>Error?</v>
      </c>
    </row>
    <row r="2061" spans="1:4" x14ac:dyDescent="0.2">
      <c r="A2061" s="5">
        <v>2000</v>
      </c>
      <c r="B2061" s="1890">
        <f>'Cap Outlay Deprec 26'!L16</f>
        <v>92031</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15498</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15498</v>
      </c>
      <c r="C2088" s="2" t="s">
        <v>569</v>
      </c>
      <c r="D2088" s="2" t="str">
        <f t="shared" si="31"/>
        <v>Error?</v>
      </c>
    </row>
    <row r="2089" spans="1:4" x14ac:dyDescent="0.2">
      <c r="A2089" s="5">
        <v>2028</v>
      </c>
      <c r="B2089" s="1890">
        <f>'Expenditures 15-22'!K92</f>
        <v>30925</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657898</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31661</v>
      </c>
      <c r="C2553" s="2" t="s">
        <v>569</v>
      </c>
      <c r="D2553" s="2" t="str">
        <f t="shared" si="38"/>
        <v>Error?</v>
      </c>
    </row>
    <row r="2554" spans="1:4" x14ac:dyDescent="0.2">
      <c r="A2554" s="5">
        <v>2493</v>
      </c>
      <c r="B2554" s="1890">
        <f>'Acct Summary 7-8'!C7</f>
        <v>23310</v>
      </c>
      <c r="C2554" s="2" t="s">
        <v>569</v>
      </c>
      <c r="D2554" s="2" t="str">
        <f t="shared" si="38"/>
        <v>Error?</v>
      </c>
    </row>
    <row r="2555" spans="1:4" x14ac:dyDescent="0.2">
      <c r="A2555" s="5">
        <v>2494</v>
      </c>
      <c r="B2555" s="1890">
        <f>'Acct Summary 7-8'!C8</f>
        <v>712869</v>
      </c>
      <c r="C2555" s="2" t="s">
        <v>569</v>
      </c>
      <c r="D2555" s="2" t="str">
        <f t="shared" si="38"/>
        <v>Error?</v>
      </c>
    </row>
    <row r="2556" spans="1:4" x14ac:dyDescent="0.2">
      <c r="A2556" s="5">
        <v>2495</v>
      </c>
      <c r="B2556" s="1890">
        <f>'Acct Summary 7-8'!C12</f>
        <v>439524</v>
      </c>
      <c r="C2556" s="2" t="s">
        <v>569</v>
      </c>
      <c r="D2556" s="2" t="str">
        <f t="shared" si="38"/>
        <v>Error?</v>
      </c>
    </row>
    <row r="2557" spans="1:4" x14ac:dyDescent="0.2">
      <c r="A2557" s="5">
        <v>2496</v>
      </c>
      <c r="B2557" s="1890">
        <f>'Acct Summary 7-8'!C13</f>
        <v>233915</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46423</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719862</v>
      </c>
      <c r="C2561" s="2" t="s">
        <v>569</v>
      </c>
      <c r="D2561" s="2" t="str">
        <f t="shared" si="39"/>
        <v>Error?</v>
      </c>
    </row>
    <row r="2562" spans="1:4" x14ac:dyDescent="0.2">
      <c r="A2562" s="5">
        <v>2501</v>
      </c>
      <c r="B2562" s="1890">
        <f>'Acct Summary 7-8'!C20</f>
        <v>-6993</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59607</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59607</v>
      </c>
      <c r="C2568" s="2" t="s">
        <v>569</v>
      </c>
      <c r="D2568" s="2" t="str">
        <f t="shared" si="39"/>
        <v>Error?</v>
      </c>
    </row>
    <row r="2569" spans="1:4" x14ac:dyDescent="0.2">
      <c r="A2569" s="5">
        <v>2508</v>
      </c>
      <c r="B2569" s="1890">
        <f>'Acct Summary 7-8'!D13</f>
        <v>69163</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69163</v>
      </c>
      <c r="C2573" s="2" t="s">
        <v>569</v>
      </c>
      <c r="D2573" s="2" t="str">
        <f t="shared" si="39"/>
        <v>Error?</v>
      </c>
    </row>
    <row r="2574" spans="1:4" x14ac:dyDescent="0.2">
      <c r="A2574" s="5">
        <v>2513</v>
      </c>
      <c r="B2574" s="1890">
        <f>'Acct Summary 7-8'!D20</f>
        <v>-9556</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22052</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31426</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53478</v>
      </c>
      <c r="C2595" s="2" t="s">
        <v>569</v>
      </c>
      <c r="D2595" s="2" t="str">
        <f t="shared" si="39"/>
        <v>Error?</v>
      </c>
    </row>
    <row r="2596" spans="1:4" x14ac:dyDescent="0.2">
      <c r="A2596" s="5">
        <v>2535</v>
      </c>
      <c r="B2596" s="1890">
        <f>'Acct Summary 7-8'!F13</f>
        <v>64391</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64391</v>
      </c>
      <c r="C2600" s="2" t="s">
        <v>569</v>
      </c>
      <c r="D2600" s="2" t="str">
        <f t="shared" si="39"/>
        <v>Error?</v>
      </c>
    </row>
    <row r="2601" spans="1:4" x14ac:dyDescent="0.2">
      <c r="A2601" s="5">
        <v>2540</v>
      </c>
      <c r="B2601" s="1890">
        <f>'Acct Summary 7-8'!F20</f>
        <v>-10913</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19595</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19595</v>
      </c>
      <c r="C2606" s="2" t="s">
        <v>569</v>
      </c>
      <c r="D2606" s="2" t="str">
        <f t="shared" si="39"/>
        <v>Error?</v>
      </c>
    </row>
    <row r="2607" spans="1:4" x14ac:dyDescent="0.2">
      <c r="A2607" s="5">
        <v>2546</v>
      </c>
      <c r="B2607" s="1890">
        <f>'Acct Summary 7-8'!G12</f>
        <v>10742</v>
      </c>
      <c r="C2607" s="2" t="s">
        <v>569</v>
      </c>
      <c r="D2607" s="2" t="str">
        <f t="shared" si="39"/>
        <v>Error?</v>
      </c>
    </row>
    <row r="2608" spans="1:4" x14ac:dyDescent="0.2">
      <c r="A2608" s="5">
        <v>2547</v>
      </c>
      <c r="B2608" s="1890">
        <f>'Acct Summary 7-8'!G13</f>
        <v>13181</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23923</v>
      </c>
      <c r="C2612" s="2" t="s">
        <v>569</v>
      </c>
      <c r="D2612" s="2" t="str">
        <f t="shared" si="39"/>
        <v>Error?</v>
      </c>
    </row>
    <row r="2613" spans="1:4" x14ac:dyDescent="0.2">
      <c r="A2613" s="5">
        <v>2552</v>
      </c>
      <c r="B2613" s="1890">
        <f>'Acct Summary 7-8'!G20</f>
        <v>-4328</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0</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0</v>
      </c>
      <c r="C2634" s="2" t="s">
        <v>569</v>
      </c>
      <c r="D2634" s="2" t="str">
        <f t="shared" si="40"/>
        <v>Error?</v>
      </c>
    </row>
    <row r="2635" spans="1:4" x14ac:dyDescent="0.2">
      <c r="A2635" s="5">
        <v>2574</v>
      </c>
      <c r="B2635" s="1890">
        <f>'Acct Summary 7-8'!E17</f>
        <v>0</v>
      </c>
      <c r="C2635" s="2" t="s">
        <v>569</v>
      </c>
      <c r="D2635" s="2" t="str">
        <f t="shared" si="40"/>
        <v>Error?</v>
      </c>
    </row>
    <row r="2636" spans="1:4" x14ac:dyDescent="0.2">
      <c r="A2636" s="5">
        <v>2575</v>
      </c>
      <c r="B2636" s="1890">
        <f>'Acct Summary 7-8'!E20</f>
        <v>0</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25727</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25727</v>
      </c>
      <c r="C2658" s="2" t="s">
        <v>569</v>
      </c>
      <c r="D2658" s="2" t="str">
        <f t="shared" si="40"/>
        <v>Error?</v>
      </c>
    </row>
    <row r="2659" spans="1:4" x14ac:dyDescent="0.2">
      <c r="A2659" s="5">
        <v>2598</v>
      </c>
      <c r="B2659" s="1890">
        <f>'Acct Summary 7-8'!H13</f>
        <v>30080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30080</v>
      </c>
      <c r="C2661" s="2" t="s">
        <v>569</v>
      </c>
      <c r="D2661" s="2" t="str">
        <f t="shared" si="40"/>
        <v>Error?</v>
      </c>
    </row>
    <row r="2662" spans="1:4" x14ac:dyDescent="0.2">
      <c r="A2662" s="5">
        <v>2601</v>
      </c>
      <c r="B2662" s="1890">
        <f>'Acct Summary 7-8'!H20</f>
        <v>-4353</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294</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0</v>
      </c>
      <c r="D2912" s="2" t="str">
        <f t="shared" si="44"/>
        <v>Error?</v>
      </c>
    </row>
    <row r="2913" spans="1:4" x14ac:dyDescent="0.2">
      <c r="A2913" s="5">
        <v>2852</v>
      </c>
      <c r="B2913" s="1890">
        <f>'Assets-Liab 5-6'!I41</f>
        <v>0</v>
      </c>
      <c r="C2913" s="2" t="s">
        <v>569</v>
      </c>
      <c r="D2913" s="2" t="str">
        <f t="shared" si="44"/>
        <v>Error?</v>
      </c>
    </row>
    <row r="2914" spans="1:4" x14ac:dyDescent="0.2">
      <c r="A2914" s="5">
        <v>2853</v>
      </c>
      <c r="B2914" s="1890">
        <f>'Assets-Liab 5-6'!L33</f>
        <v>294</v>
      </c>
      <c r="D2914" s="2" t="str">
        <f t="shared" si="44"/>
        <v>Error?</v>
      </c>
    </row>
    <row r="2915" spans="1:4" x14ac:dyDescent="0.2">
      <c r="A2915" s="10">
        <v>2854</v>
      </c>
      <c r="B2915" s="1890"/>
      <c r="D2915" s="2" t="str">
        <f t="shared" si="44"/>
        <v>OK</v>
      </c>
    </row>
    <row r="2916" spans="1:4" x14ac:dyDescent="0.2">
      <c r="A2916" s="5">
        <v>2855</v>
      </c>
      <c r="B2916" s="1890">
        <f>'Assets-Liab 5-6'!L34</f>
        <v>294</v>
      </c>
      <c r="C2916" s="2" t="s">
        <v>569</v>
      </c>
      <c r="D2916" s="2" t="str">
        <f t="shared" si="44"/>
        <v>Error?</v>
      </c>
    </row>
    <row r="2917" spans="1:4" x14ac:dyDescent="0.2">
      <c r="A2917" s="5">
        <v>2856</v>
      </c>
      <c r="B2917" s="1890">
        <f>'Assets-Liab 5-6'!L41</f>
        <v>294</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15498</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15498</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0</v>
      </c>
      <c r="C3225" s="2" t="s">
        <v>569</v>
      </c>
      <c r="D3225" s="2" t="str">
        <f t="shared" si="49"/>
        <v>Error?</v>
      </c>
    </row>
    <row r="3226" spans="1:4" x14ac:dyDescent="0.2">
      <c r="A3226" s="5">
        <v>3165</v>
      </c>
      <c r="B3226" s="1890">
        <f>'Acct Summary 7-8'!I8</f>
        <v>0</v>
      </c>
      <c r="C3226" s="2" t="s">
        <v>569</v>
      </c>
      <c r="D3226" s="2" t="str">
        <f t="shared" si="49"/>
        <v>Error?</v>
      </c>
    </row>
    <row r="3227" spans="1:4" x14ac:dyDescent="0.2">
      <c r="A3227" s="5">
        <v>3166</v>
      </c>
      <c r="B3227" s="1890">
        <f>'Acct Summary 7-8'!I20</f>
        <v>0</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-6993</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-9556</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-10913</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-4328</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-4353</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0</v>
      </c>
      <c r="C3320" s="2" t="s">
        <v>569</v>
      </c>
      <c r="D3320" s="2" t="str">
        <f t="shared" si="50"/>
        <v>Error?</v>
      </c>
    </row>
    <row r="3321" spans="1:4" x14ac:dyDescent="0.2">
      <c r="A3321" s="5">
        <v>3260</v>
      </c>
      <c r="B3321" s="1890">
        <f>'Acct Summary 7-8'!I79</f>
        <v>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70816</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865</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71681</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5507</v>
      </c>
      <c r="D3387" s="2" t="str">
        <f t="shared" si="51"/>
        <v>Error?</v>
      </c>
    </row>
    <row r="3388" spans="1:4" x14ac:dyDescent="0.2">
      <c r="A3388" s="5">
        <v>3327</v>
      </c>
      <c r="B3388" s="1890">
        <f>'Expenditures 15-22'!D217</f>
        <v>5175</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5507</v>
      </c>
      <c r="C3390" s="2" t="s">
        <v>569</v>
      </c>
      <c r="D3390" s="2" t="str">
        <f t="shared" si="51"/>
        <v>Error?</v>
      </c>
    </row>
    <row r="3391" spans="1:4" x14ac:dyDescent="0.2">
      <c r="A3391" s="5">
        <v>3330</v>
      </c>
      <c r="B3391" s="1890">
        <f>'Expenditures 15-22'!K217</f>
        <v>5175</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436211</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259326</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6989</v>
      </c>
      <c r="D3417" s="2" t="str">
        <f t="shared" si="52"/>
        <v>Error?</v>
      </c>
    </row>
    <row r="3418" spans="1:4" x14ac:dyDescent="0.2">
      <c r="A3418" s="10">
        <v>3357</v>
      </c>
      <c r="B3418" s="1890"/>
      <c r="D3418" s="2" t="str">
        <f t="shared" si="52"/>
        <v>OK</v>
      </c>
    </row>
    <row r="3419" spans="1:4" x14ac:dyDescent="0.2">
      <c r="A3419" s="5">
        <v>3358</v>
      </c>
      <c r="B3419" s="1890">
        <f>'Assets-Liab 5-6'!F4</f>
        <v>242883</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21932</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13831</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294</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9793</v>
      </c>
      <c r="C3446" s="2" t="s">
        <v>569</v>
      </c>
      <c r="D3446" s="2" t="str">
        <f t="shared" si="52"/>
        <v>Error?</v>
      </c>
    </row>
    <row r="3447" spans="1:4" x14ac:dyDescent="0.2">
      <c r="A3447" s="5">
        <v>3386</v>
      </c>
      <c r="B3447" s="1890">
        <f>'Tax Sched 23'!D16</f>
        <v>-4</v>
      </c>
      <c r="C3447" s="2" t="s">
        <v>569</v>
      </c>
      <c r="D3447" s="2" t="str">
        <f t="shared" si="52"/>
        <v>Error?</v>
      </c>
    </row>
    <row r="3448" spans="1:4" x14ac:dyDescent="0.2">
      <c r="A3448" s="5">
        <v>3387</v>
      </c>
      <c r="B3448" s="1890">
        <f>'Tax Sched 23'!C16</f>
        <v>9797</v>
      </c>
      <c r="D3448" s="2" t="str">
        <f t="shared" si="52"/>
        <v>Error?</v>
      </c>
    </row>
    <row r="3449" spans="1:4" x14ac:dyDescent="0.2">
      <c r="A3449" s="5">
        <v>3388</v>
      </c>
      <c r="B3449" s="1890">
        <f>'Tax Sched 23'!F16</f>
        <v>453</v>
      </c>
      <c r="C3449" s="2" t="s">
        <v>569</v>
      </c>
      <c r="D3449" s="2" t="str">
        <f t="shared" si="52"/>
        <v>Error?</v>
      </c>
    </row>
    <row r="3450" spans="1:4" x14ac:dyDescent="0.2">
      <c r="A3450" s="5">
        <v>3389</v>
      </c>
      <c r="B3450" s="1890">
        <f>'Tax Sched 23'!E16</f>
        <v>10250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58178</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58178</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58178</v>
      </c>
      <c r="D3567" s="2" t="str">
        <f t="shared" si="54"/>
        <v>Error?</v>
      </c>
    </row>
    <row r="3568" spans="1:4" x14ac:dyDescent="0.2">
      <c r="A3568" s="5">
        <v>3507</v>
      </c>
      <c r="B3568" s="1890">
        <f>'Assets-Liab 5-6'!K41</f>
        <v>58178</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58178</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58178</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15316</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57223</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770092</v>
      </c>
      <c r="C4122" s="2" t="s">
        <v>569</v>
      </c>
      <c r="D4122" s="2" t="str">
        <f t="shared" si="63"/>
        <v>Error?</v>
      </c>
    </row>
    <row r="4123" spans="1:4" x14ac:dyDescent="0.2">
      <c r="A4123" s="5">
        <v>4062</v>
      </c>
      <c r="B4123" s="1890">
        <f>'Acct Summary 7-8'!D10</f>
        <v>59607</v>
      </c>
      <c r="C4123" s="2" t="s">
        <v>569</v>
      </c>
      <c r="D4123" s="2" t="str">
        <f t="shared" si="63"/>
        <v>Error?</v>
      </c>
    </row>
    <row r="4124" spans="1:4" x14ac:dyDescent="0.2">
      <c r="A4124" s="5">
        <v>4063</v>
      </c>
      <c r="B4124" s="1890">
        <f>'Acct Summary 7-8'!E10</f>
        <v>0</v>
      </c>
      <c r="C4124" s="2" t="s">
        <v>569</v>
      </c>
      <c r="D4124" s="2" t="str">
        <f t="shared" si="63"/>
        <v>Error?</v>
      </c>
    </row>
    <row r="4125" spans="1:4" x14ac:dyDescent="0.2">
      <c r="A4125" s="5">
        <v>4064</v>
      </c>
      <c r="B4125" s="1890">
        <f>'Acct Summary 7-8'!F10</f>
        <v>53478</v>
      </c>
      <c r="C4125" s="2" t="s">
        <v>569</v>
      </c>
      <c r="D4125" s="2" t="str">
        <f t="shared" si="63"/>
        <v>Error?</v>
      </c>
    </row>
    <row r="4126" spans="1:4" x14ac:dyDescent="0.2">
      <c r="A4126" s="5">
        <v>4065</v>
      </c>
      <c r="B4126" s="1890">
        <f>'Acct Summary 7-8'!G10</f>
        <v>19595</v>
      </c>
      <c r="C4126" s="2" t="s">
        <v>569</v>
      </c>
      <c r="D4126" s="2" t="str">
        <f t="shared" si="63"/>
        <v>Error?</v>
      </c>
    </row>
    <row r="4127" spans="1:4" x14ac:dyDescent="0.2">
      <c r="A4127" s="5">
        <v>4066</v>
      </c>
      <c r="B4127" s="1890">
        <f>'Acct Summary 7-8'!H10</f>
        <v>25727</v>
      </c>
      <c r="C4127" s="2" t="s">
        <v>569</v>
      </c>
      <c r="D4127" s="2" t="str">
        <f t="shared" si="63"/>
        <v>Error?</v>
      </c>
    </row>
    <row r="4128" spans="1:4" x14ac:dyDescent="0.2">
      <c r="A4128" s="5">
        <v>4067</v>
      </c>
      <c r="B4128" s="1890">
        <f>'Acct Summary 7-8'!I10</f>
        <v>0</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57223</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777085</v>
      </c>
      <c r="C4136" s="2" t="s">
        <v>569</v>
      </c>
      <c r="D4136" s="2" t="str">
        <f t="shared" si="63"/>
        <v>Error?</v>
      </c>
    </row>
    <row r="4137" spans="1:4" x14ac:dyDescent="0.2">
      <c r="A4137" s="5">
        <v>4076</v>
      </c>
      <c r="B4137" s="1890">
        <f>'Acct Summary 7-8'!D19</f>
        <v>69163</v>
      </c>
      <c r="C4137" s="2" t="s">
        <v>569</v>
      </c>
      <c r="D4137" s="2" t="str">
        <f t="shared" si="63"/>
        <v>Error?</v>
      </c>
    </row>
    <row r="4138" spans="1:4" x14ac:dyDescent="0.2">
      <c r="A4138" s="5">
        <v>4077</v>
      </c>
      <c r="B4138" s="1890">
        <f>'Acct Summary 7-8'!E19</f>
        <v>0</v>
      </c>
      <c r="C4138" s="2" t="s">
        <v>569</v>
      </c>
      <c r="D4138" s="2" t="str">
        <f t="shared" si="63"/>
        <v>Error?</v>
      </c>
    </row>
    <row r="4139" spans="1:4" x14ac:dyDescent="0.2">
      <c r="A4139" s="5">
        <v>4078</v>
      </c>
      <c r="B4139" s="1890">
        <f>'Acct Summary 7-8'!F19</f>
        <v>64391</v>
      </c>
      <c r="C4139" s="2" t="s">
        <v>569</v>
      </c>
      <c r="D4139" s="2" t="str">
        <f t="shared" si="63"/>
        <v>Error?</v>
      </c>
    </row>
    <row r="4140" spans="1:4" x14ac:dyDescent="0.2">
      <c r="A4140" s="5">
        <v>4079</v>
      </c>
      <c r="B4140" s="1890">
        <f>'Acct Summary 7-8'!G19</f>
        <v>23923</v>
      </c>
      <c r="C4140" s="2" t="s">
        <v>569</v>
      </c>
      <c r="D4140" s="2" t="str">
        <f t="shared" si="63"/>
        <v>Error?</v>
      </c>
    </row>
    <row r="4141" spans="1:4" x14ac:dyDescent="0.2">
      <c r="A4141" s="5">
        <v>4080</v>
      </c>
      <c r="B4141" s="1890">
        <f>'Acct Summary 7-8'!H19</f>
        <v>30080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0</v>
      </c>
      <c r="C4171" s="2" t="s">
        <v>569</v>
      </c>
      <c r="D4171" s="2" t="str">
        <f t="shared" si="64"/>
        <v>Error?</v>
      </c>
    </row>
    <row r="4172" spans="1:4" x14ac:dyDescent="0.2">
      <c r="A4172" s="5">
        <v>4111</v>
      </c>
      <c r="B4172" s="1890">
        <f>'Short-Term Long-Term Debt 24'!J49</f>
        <v>0</v>
      </c>
      <c r="C4172" s="2" t="s">
        <v>569</v>
      </c>
      <c r="D4172" s="2" t="str">
        <f t="shared" si="64"/>
        <v>Error?</v>
      </c>
    </row>
    <row r="4173" spans="1:4" x14ac:dyDescent="0.2">
      <c r="A4173" s="5">
        <v>4112</v>
      </c>
      <c r="B4173" s="1890">
        <f>'Short-Term Long-Term Debt 24'!H49</f>
        <v>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2989.43</v>
      </c>
      <c r="C4265" s="2" t="s">
        <v>569</v>
      </c>
      <c r="D4265" s="2" t="str">
        <f t="shared" si="65"/>
        <v>Error?</v>
      </c>
      <c r="E4265" s="125"/>
    </row>
    <row r="4266" spans="1:5" x14ac:dyDescent="0.2">
      <c r="A4266" s="12">
        <v>4205</v>
      </c>
      <c r="B4266" s="1890">
        <f>('FP Info 3'!F10)*100000</f>
        <v>257.39</v>
      </c>
      <c r="C4266" s="2" t="s">
        <v>569</v>
      </c>
      <c r="D4266" s="2" t="str">
        <f t="shared" si="65"/>
        <v>Error?</v>
      </c>
      <c r="E4266" s="125"/>
    </row>
    <row r="4267" spans="1:5" x14ac:dyDescent="0.2">
      <c r="A4267" s="12">
        <v>4206</v>
      </c>
      <c r="B4267" s="1890">
        <f>('FP Info 3'!H10)*100000</f>
        <v>104.86</v>
      </c>
      <c r="C4267" s="2" t="s">
        <v>569</v>
      </c>
      <c r="D4267" s="2" t="str">
        <f t="shared" si="65"/>
        <v>Error?</v>
      </c>
      <c r="E4267" s="125"/>
    </row>
    <row r="4268" spans="1:5" x14ac:dyDescent="0.2">
      <c r="A4268" s="12">
        <v>4207</v>
      </c>
      <c r="B4268" s="1890">
        <f>('FP Info 3'!J10)*100000</f>
        <v>3352</v>
      </c>
      <c r="C4268" s="2" t="s">
        <v>569</v>
      </c>
      <c r="D4268" s="2" t="str">
        <f t="shared" si="65"/>
        <v>Error?</v>
      </c>
    </row>
    <row r="4269" spans="1:5" x14ac:dyDescent="0.2">
      <c r="A4269" s="12">
        <v>4208</v>
      </c>
      <c r="B4269" s="1890">
        <f>'FP Info 3'!J16</f>
        <v>938420</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20980307</v>
      </c>
      <c r="D4995" s="2" t="str">
        <f t="shared" si="77"/>
        <v>Error?</v>
      </c>
    </row>
    <row r="4996" spans="1:4" x14ac:dyDescent="0.2">
      <c r="A4996" s="12">
        <v>4935</v>
      </c>
      <c r="B4996" s="1890">
        <f>'FP Info 3'!H31</f>
        <v>1447641.1830000002</v>
      </c>
      <c r="D4996" s="2" t="str">
        <f t="shared" si="77"/>
        <v>Error?</v>
      </c>
    </row>
    <row r="4997" spans="1:4" x14ac:dyDescent="0.2">
      <c r="A4997" s="12">
        <v>4936</v>
      </c>
      <c r="B4997" s="1890">
        <f>'FP Info 3'!H37</f>
        <v>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594068</v>
      </c>
      <c r="D5061" s="2" t="str">
        <f t="shared" si="78"/>
        <v>Error?</v>
      </c>
    </row>
    <row r="5062" spans="1:4" x14ac:dyDescent="0.2">
      <c r="A5062" s="10">
        <v>5001</v>
      </c>
      <c r="B5062" s="1890"/>
      <c r="D5062" s="2" t="str">
        <f t="shared" si="78"/>
        <v>OK</v>
      </c>
    </row>
    <row r="5063" spans="1:4" x14ac:dyDescent="0.2">
      <c r="A5063" s="5">
        <v>5002</v>
      </c>
      <c r="B5063" s="1890">
        <f>'Revenues 9-14'!C7</f>
        <v>0</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594068</v>
      </c>
      <c r="C5066" s="2" t="s">
        <v>569</v>
      </c>
      <c r="D5066" s="2" t="str">
        <f t="shared" si="78"/>
        <v>Error?</v>
      </c>
    </row>
    <row r="5067" spans="1:4" x14ac:dyDescent="0.2">
      <c r="A5067" s="5">
        <v>5006</v>
      </c>
      <c r="B5067" s="1890">
        <f>'Revenues 9-14'!C14</f>
        <v>35</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6092</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6127</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12175</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12175</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826</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8892</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35677</v>
      </c>
      <c r="D5101" s="2" t="str">
        <f t="shared" si="78"/>
        <v>Error?</v>
      </c>
    </row>
    <row r="5102" spans="1:4" x14ac:dyDescent="0.2">
      <c r="A5102" s="5">
        <v>5041</v>
      </c>
      <c r="B5102" s="1890">
        <f>'Revenues 9-14'!C82</f>
        <v>35677</v>
      </c>
      <c r="C5102" s="2" t="s">
        <v>569</v>
      </c>
      <c r="D5102" s="2" t="str">
        <f t="shared" si="78"/>
        <v>Error?</v>
      </c>
    </row>
    <row r="5103" spans="1:4" x14ac:dyDescent="0.2">
      <c r="A5103" s="5">
        <v>5042</v>
      </c>
      <c r="B5103" s="1890">
        <f>'Revenues 9-14'!C84</f>
        <v>959</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959</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0</v>
      </c>
      <c r="D5119" s="2" t="str">
        <f t="shared" ref="D5119:D5182" si="79">IF(ISBLANK(B5119),"OK",IF(A5119-B5119=0,"OK","Error?"))</f>
        <v>Error?</v>
      </c>
    </row>
    <row r="5120" spans="1:4" x14ac:dyDescent="0.2">
      <c r="A5120" s="5">
        <v>5059</v>
      </c>
      <c r="B5120" s="1890">
        <f>'Revenues 9-14'!C108</f>
        <v>0</v>
      </c>
      <c r="C5120" s="2" t="s">
        <v>569</v>
      </c>
      <c r="D5120" s="2" t="str">
        <f t="shared" si="79"/>
        <v>Error?</v>
      </c>
    </row>
    <row r="5121" spans="1:4" x14ac:dyDescent="0.2">
      <c r="A5121" s="5">
        <v>5060</v>
      </c>
      <c r="B5121" s="1890">
        <f>'Revenues 9-14'!C109</f>
        <v>657898</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31626</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31626</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35</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35</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31661</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4933</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525</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5458</v>
      </c>
      <c r="C5246" s="2" t="s">
        <v>569</v>
      </c>
      <c r="D5246" s="2" t="str">
        <f t="shared" si="80"/>
        <v>Error?</v>
      </c>
    </row>
    <row r="5247" spans="1:4" x14ac:dyDescent="0.2">
      <c r="A5247" s="5">
        <v>5186</v>
      </c>
      <c r="B5247" s="1890">
        <f>'Revenues 9-14'!C200</f>
        <v>17508</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17508</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0</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0</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344</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23310</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23310</v>
      </c>
      <c r="C5326" s="2" t="s">
        <v>569</v>
      </c>
      <c r="D5326" s="2" t="str">
        <f t="shared" si="82"/>
        <v>Error?</v>
      </c>
    </row>
    <row r="5327" spans="1:5" x14ac:dyDescent="0.2">
      <c r="A5327" s="5">
        <v>5266</v>
      </c>
      <c r="B5327" s="1890">
        <f>'Revenues 9-14'!C268</f>
        <v>712869</v>
      </c>
      <c r="C5327" s="2" t="s">
        <v>569</v>
      </c>
      <c r="D5327" s="2" t="str">
        <f t="shared" si="82"/>
        <v>Error?</v>
      </c>
    </row>
    <row r="5328" spans="1:5" x14ac:dyDescent="0.2">
      <c r="A5328" s="5">
        <v>5267</v>
      </c>
      <c r="B5328" s="1890">
        <f>'Revenues 9-14'!D5</f>
        <v>53877</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53877</v>
      </c>
      <c r="C5334" s="2" t="s">
        <v>569</v>
      </c>
      <c r="D5334" s="2" t="str">
        <f t="shared" si="82"/>
        <v>Error?</v>
      </c>
    </row>
    <row r="5335" spans="1:4" x14ac:dyDescent="0.2">
      <c r="A5335" s="5">
        <v>5274</v>
      </c>
      <c r="B5335" s="1890">
        <f>'Revenues 9-14'!D14</f>
        <v>3</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5727</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5730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569</v>
      </c>
      <c r="D5355" s="2" t="str">
        <f t="shared" si="82"/>
        <v>Error?</v>
      </c>
    </row>
    <row r="5356" spans="1:4" x14ac:dyDescent="0.2">
      <c r="A5356" s="5">
        <v>5295</v>
      </c>
      <c r="B5356" s="1890">
        <f>'Revenues 9-14'!D109</f>
        <v>59607</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59607</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0</v>
      </c>
      <c r="C5552" s="2" t="s">
        <v>569</v>
      </c>
      <c r="D5552" s="2" t="str">
        <f t="shared" si="85"/>
        <v>Error?</v>
      </c>
    </row>
    <row r="5553" spans="1:4" x14ac:dyDescent="0.2">
      <c r="A5553" s="5">
        <v>5492</v>
      </c>
      <c r="B5553" s="1890">
        <f>'Revenues 9-14'!F5</f>
        <v>21551</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21551</v>
      </c>
      <c r="C5557" s="2" t="s">
        <v>569</v>
      </c>
      <c r="D5557" s="2" t="str">
        <f t="shared" si="85"/>
        <v>Error?</v>
      </c>
    </row>
    <row r="5558" spans="1:4" x14ac:dyDescent="0.2">
      <c r="A5558" s="5">
        <v>5497</v>
      </c>
      <c r="B5558" s="1890">
        <f>'Revenues 9-14'!F14</f>
        <v>1</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1</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500</v>
      </c>
      <c r="D5586" s="2" t="str">
        <f t="shared" si="86"/>
        <v>Error?</v>
      </c>
    </row>
    <row r="5587" spans="1:4" x14ac:dyDescent="0.2">
      <c r="A5587" s="5">
        <v>5526</v>
      </c>
      <c r="B5587" s="1890">
        <f>'Revenues 9-14'!F108</f>
        <v>500</v>
      </c>
      <c r="C5587" s="2" t="s">
        <v>569</v>
      </c>
      <c r="D5587" s="2" t="str">
        <f t="shared" si="86"/>
        <v>Error?</v>
      </c>
    </row>
    <row r="5588" spans="1:4" x14ac:dyDescent="0.2">
      <c r="A5588" s="5">
        <v>5527</v>
      </c>
      <c r="B5588" s="1890">
        <f>'Revenues 9-14'!F109</f>
        <v>22052</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31027</v>
      </c>
      <c r="D5615" s="2" t="str">
        <f t="shared" si="86"/>
        <v>Error?</v>
      </c>
    </row>
    <row r="5616" spans="1:4" x14ac:dyDescent="0.2">
      <c r="A5616" s="10">
        <v>5555</v>
      </c>
      <c r="B5616" s="1890"/>
      <c r="D5616" s="2" t="str">
        <f t="shared" si="86"/>
        <v>OK</v>
      </c>
    </row>
    <row r="5617" spans="1:5" x14ac:dyDescent="0.2">
      <c r="A5617" s="5">
        <v>5556</v>
      </c>
      <c r="B5617" s="1890">
        <f>'Revenues 9-14'!F153</f>
        <v>399</v>
      </c>
      <c r="D5617" s="2" t="str">
        <f t="shared" si="86"/>
        <v>Error?</v>
      </c>
    </row>
    <row r="5618" spans="1:5" x14ac:dyDescent="0.2">
      <c r="A5618" s="5">
        <v>5557</v>
      </c>
      <c r="B5618" s="1890">
        <f>'Revenues 9-14'!F155</f>
        <v>31426</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31426</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31426</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53478</v>
      </c>
      <c r="C5720" s="2" t="s">
        <v>569</v>
      </c>
      <c r="D5720" s="2" t="str">
        <f t="shared" si="88"/>
        <v>Error?</v>
      </c>
    </row>
    <row r="5721" spans="1:4" x14ac:dyDescent="0.2">
      <c r="A5721" s="5">
        <v>5660</v>
      </c>
      <c r="B5721" s="1890">
        <f>'Revenues 9-14'!G5</f>
        <v>9801</v>
      </c>
      <c r="D5721" s="2" t="str">
        <f t="shared" si="88"/>
        <v>Error?</v>
      </c>
    </row>
    <row r="5722" spans="1:4" x14ac:dyDescent="0.2">
      <c r="A5722" s="5">
        <v>5661</v>
      </c>
      <c r="B5722" s="1890">
        <f>'Revenues 9-14'!G7</f>
        <v>0</v>
      </c>
      <c r="D5722" s="2" t="str">
        <f t="shared" si="88"/>
        <v>Error?</v>
      </c>
    </row>
    <row r="5723" spans="1:4" x14ac:dyDescent="0.2">
      <c r="A5723" s="5">
        <v>5662</v>
      </c>
      <c r="B5723" s="1890">
        <f>'Revenues 9-14'!G8</f>
        <v>9793</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19594</v>
      </c>
      <c r="C5725" s="2" t="s">
        <v>569</v>
      </c>
      <c r="D5725" s="2" t="str">
        <f t="shared" si="88"/>
        <v>Error?</v>
      </c>
    </row>
    <row r="5726" spans="1:4" x14ac:dyDescent="0.2">
      <c r="A5726" s="5">
        <v>5665</v>
      </c>
      <c r="B5726" s="1890">
        <f>'Revenues 9-14'!G14</f>
        <v>1</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1</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19595</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25727</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25727</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25727</v>
      </c>
      <c r="C5915" s="2" t="s">
        <v>569</v>
      </c>
      <c r="D5915" s="2" t="str">
        <f t="shared" si="91"/>
        <v>Error?</v>
      </c>
    </row>
    <row r="5916" spans="1:4" x14ac:dyDescent="0.2">
      <c r="A5916" s="5">
        <v>5855</v>
      </c>
      <c r="B5916" s="1890">
        <f>'Revenues 9-14'!I5</f>
        <v>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0</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19595</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0</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8066</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0</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51.447000000000003</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20619</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20619</v>
      </c>
      <c r="D6215" s="2" t="str">
        <f t="shared" si="96"/>
        <v>Error?</v>
      </c>
      <c r="E6215" s="2" t="s">
        <v>189</v>
      </c>
    </row>
    <row r="6216" spans="1:5" x14ac:dyDescent="0.2">
      <c r="A6216">
        <v>6155</v>
      </c>
      <c r="B6216" s="1890">
        <f>'Assets-Liab 5-6'!J41</f>
        <v>20619</v>
      </c>
      <c r="D6216" s="2" t="str">
        <f t="shared" si="96"/>
        <v>Error?</v>
      </c>
      <c r="E6216" s="2" t="s">
        <v>189</v>
      </c>
    </row>
    <row r="6217" spans="1:5" x14ac:dyDescent="0.2">
      <c r="A6217">
        <v>6156</v>
      </c>
      <c r="B6217" s="1890">
        <f>'Assets-Liab 5-6'!J4</f>
        <v>20619</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19592</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19592</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19592</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14227</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14227</v>
      </c>
      <c r="D6229" s="2" t="str">
        <f t="shared" si="96"/>
        <v>Error?</v>
      </c>
      <c r="E6229" s="2" t="s">
        <v>189</v>
      </c>
    </row>
    <row r="6230" spans="1:5" x14ac:dyDescent="0.2">
      <c r="A6230">
        <v>6169</v>
      </c>
      <c r="B6230" s="1890">
        <f>'Acct Summary 7-8'!J20</f>
        <v>5365</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5365</v>
      </c>
      <c r="D6263" s="2" t="str">
        <f t="shared" si="96"/>
        <v>Error?</v>
      </c>
      <c r="E6263" s="2" t="s">
        <v>189</v>
      </c>
    </row>
    <row r="6264" spans="1:5" x14ac:dyDescent="0.2">
      <c r="A6264">
        <v>6203</v>
      </c>
      <c r="B6264" s="1890">
        <f>'Acct Summary 7-8'!J79</f>
        <v>15254</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20619</v>
      </c>
      <c r="D6266" s="2" t="str">
        <f t="shared" si="96"/>
        <v>Error?</v>
      </c>
      <c r="E6266" s="2" t="s">
        <v>189</v>
      </c>
    </row>
    <row r="6267" spans="1:5" x14ac:dyDescent="0.2">
      <c r="A6267">
        <v>6206</v>
      </c>
      <c r="B6267" s="1890">
        <f>'Acct Summary 7-8'!C82</f>
        <v>-6993</v>
      </c>
      <c r="D6267" s="2" t="str">
        <f t="shared" si="96"/>
        <v>Error?</v>
      </c>
      <c r="E6267" s="2" t="s">
        <v>189</v>
      </c>
    </row>
    <row r="6268" spans="1:5" x14ac:dyDescent="0.2">
      <c r="A6268">
        <v>6207</v>
      </c>
      <c r="B6268" s="1890">
        <f>'Acct Summary 7-8'!D82</f>
        <v>-9556</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-10913</v>
      </c>
      <c r="D6270" s="2" t="str">
        <f t="shared" si="96"/>
        <v>Error?</v>
      </c>
      <c r="E6270" s="2" t="s">
        <v>189</v>
      </c>
    </row>
    <row r="6271" spans="1:5" x14ac:dyDescent="0.2">
      <c r="A6271">
        <v>6210</v>
      </c>
      <c r="B6271" s="1890">
        <f>'Acct Summary 7-8'!G82</f>
        <v>-4328</v>
      </c>
      <c r="D6271" s="2" t="str">
        <f t="shared" ref="D6271:D6334" si="97">IF(ISBLANK(B6271),"OK",IF(A6271-B6271=0,"OK","Error?"))</f>
        <v>Error?</v>
      </c>
      <c r="E6271" s="2" t="s">
        <v>189</v>
      </c>
    </row>
    <row r="6272" spans="1:5" x14ac:dyDescent="0.2">
      <c r="A6272">
        <v>6211</v>
      </c>
      <c r="B6272" s="1890">
        <f>'Acct Summary 7-8'!H82</f>
        <v>-4353</v>
      </c>
      <c r="D6272" s="2" t="str">
        <f t="shared" si="97"/>
        <v>Error?</v>
      </c>
      <c r="E6272" s="2" t="s">
        <v>189</v>
      </c>
    </row>
    <row r="6273" spans="1:5" x14ac:dyDescent="0.2">
      <c r="A6273">
        <v>6212</v>
      </c>
      <c r="B6273" s="1890">
        <f>'Acct Summary 7-8'!I82</f>
        <v>0</v>
      </c>
      <c r="D6273" s="2" t="str">
        <f t="shared" si="97"/>
        <v>Error?</v>
      </c>
      <c r="E6273" s="2" t="s">
        <v>189</v>
      </c>
    </row>
    <row r="6274" spans="1:5" x14ac:dyDescent="0.2">
      <c r="A6274">
        <v>6213</v>
      </c>
      <c r="B6274" s="1890">
        <f>'Acct Summary 7-8'!J82</f>
        <v>5365</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-1.6031232591566927E-2</v>
      </c>
      <c r="D6276" s="2" t="str">
        <f t="shared" si="97"/>
        <v>Error?</v>
      </c>
      <c r="E6276" s="2" t="s">
        <v>189</v>
      </c>
    </row>
    <row r="6277" spans="1:5" x14ac:dyDescent="0.2">
      <c r="A6277">
        <v>6216</v>
      </c>
      <c r="B6277" s="1890">
        <f>'Acct Summary 7-8'!D83</f>
        <v>-3.6849371061906638E-2</v>
      </c>
      <c r="D6277" s="2" t="str">
        <f t="shared" si="97"/>
        <v>Error?</v>
      </c>
      <c r="E6277" s="2" t="s">
        <v>189</v>
      </c>
    </row>
    <row r="6278" spans="1:5" x14ac:dyDescent="0.2">
      <c r="A6278">
        <v>6217</v>
      </c>
      <c r="B6278" s="1890">
        <f>'Acct Summary 7-8'!E83</f>
        <v>0</v>
      </c>
      <c r="D6278" s="2" t="str">
        <f t="shared" si="97"/>
        <v>Error?</v>
      </c>
      <c r="E6278" s="2" t="s">
        <v>189</v>
      </c>
    </row>
    <row r="6279" spans="1:5" x14ac:dyDescent="0.2">
      <c r="A6279">
        <v>6218</v>
      </c>
      <c r="B6279" s="1890">
        <f>'Acct Summary 7-8'!F83</f>
        <v>-4.49310985124525E-2</v>
      </c>
      <c r="D6279" s="2" t="str">
        <f t="shared" si="97"/>
        <v>Error?</v>
      </c>
      <c r="E6279" s="2" t="s">
        <v>189</v>
      </c>
    </row>
    <row r="6280" spans="1:5" x14ac:dyDescent="0.2">
      <c r="A6280">
        <v>6219</v>
      </c>
      <c r="B6280" s="1890">
        <f>'Acct Summary 7-8'!G83</f>
        <v>-0.19733722414736457</v>
      </c>
      <c r="D6280" s="2" t="str">
        <f t="shared" si="97"/>
        <v>Error?</v>
      </c>
      <c r="E6280" s="2" t="s">
        <v>189</v>
      </c>
    </row>
    <row r="6281" spans="1:5" x14ac:dyDescent="0.2">
      <c r="A6281">
        <v>6220</v>
      </c>
      <c r="B6281" s="1890">
        <f>'Acct Summary 7-8'!H83</f>
        <v>-0.31472778540958718</v>
      </c>
      <c r="D6281" s="2" t="str">
        <f t="shared" si="97"/>
        <v>Error?</v>
      </c>
      <c r="E6281" s="2" t="s">
        <v>189</v>
      </c>
    </row>
    <row r="6282" spans="1:5" x14ac:dyDescent="0.2">
      <c r="A6282">
        <v>6221</v>
      </c>
      <c r="B6282" s="1890" t="e">
        <f>'Acct Summary 7-8'!I83</f>
        <v>#DIV/0!</v>
      </c>
      <c r="D6282" s="2" t="e">
        <f t="shared" si="97"/>
        <v>#DIV/0!</v>
      </c>
      <c r="E6282" s="2" t="s">
        <v>189</v>
      </c>
    </row>
    <row r="6283" spans="1:5" x14ac:dyDescent="0.2">
      <c r="A6283">
        <v>6222</v>
      </c>
      <c r="B6283" s="1890">
        <f>'Acct Summary 7-8'!J83</f>
        <v>0.26019690576652604</v>
      </c>
      <c r="D6283" s="2" t="str">
        <f t="shared" si="97"/>
        <v>Error?</v>
      </c>
      <c r="E6283" s="2" t="s">
        <v>189</v>
      </c>
    </row>
    <row r="6284" spans="1:5" x14ac:dyDescent="0.2">
      <c r="A6284">
        <v>6223</v>
      </c>
      <c r="B6284" s="1890">
        <f>'Acct Summary 7-8'!K83</f>
        <v>0</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19592</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19592</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19592</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30925</v>
      </c>
      <c r="D6983" s="2" t="str">
        <f t="shared" si="108"/>
        <v>Error?</v>
      </c>
    </row>
    <row r="6984" spans="1:4" x14ac:dyDescent="0.2">
      <c r="A6984">
        <v>6923</v>
      </c>
      <c r="B6984" s="1890">
        <f>'Expenditures 15-22'!K86</f>
        <v>30925</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30925</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14227</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19592</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14227</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14227</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14227</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14227</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14227</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14227</v>
      </c>
      <c r="D7224" s="2" t="str">
        <f t="shared" si="111"/>
        <v>Error?</v>
      </c>
    </row>
    <row r="7225" spans="1:4" x14ac:dyDescent="0.2">
      <c r="A7225">
        <v>7164</v>
      </c>
      <c r="B7225" s="1890">
        <f>'Expenditures 15-22'!K343</f>
        <v>5365</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13847</v>
      </c>
      <c r="D7615" s="2" t="str">
        <f t="shared" ref="D7615:D7678" si="124">IF(ISBLANK(B7615),"OK",IF(A7615-B7615=0,"OK","Error?"))</f>
        <v>Error?</v>
      </c>
      <c r="E7615" s="2" t="s">
        <v>19</v>
      </c>
    </row>
    <row r="7616" spans="1:5" x14ac:dyDescent="0.2">
      <c r="A7616">
        <f t="shared" si="123"/>
        <v>7555</v>
      </c>
      <c r="B7616" s="1890">
        <f>'Cap Outlay Deprec 26'!D14</f>
        <v>1410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15257</v>
      </c>
      <c r="D7618" s="2" t="str">
        <f t="shared" si="124"/>
        <v>Error?</v>
      </c>
      <c r="E7618" s="2" t="s">
        <v>19</v>
      </c>
    </row>
    <row r="7619" spans="1:5" x14ac:dyDescent="0.2">
      <c r="A7619">
        <f t="shared" si="123"/>
        <v>7558</v>
      </c>
      <c r="B7619" s="1890">
        <f>'Cap Outlay Deprec 26'!H14</f>
        <v>13210</v>
      </c>
      <c r="D7619" s="2" t="str">
        <f t="shared" si="124"/>
        <v>Error?</v>
      </c>
      <c r="E7619" s="2" t="s">
        <v>19</v>
      </c>
    </row>
    <row r="7620" spans="1:5" x14ac:dyDescent="0.2">
      <c r="A7620">
        <f t="shared" si="123"/>
        <v>7559</v>
      </c>
      <c r="B7620" s="1890">
        <f>'Cap Outlay Deprec 26'!I14</f>
        <v>764</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13974</v>
      </c>
      <c r="D7622" s="2" t="str">
        <f t="shared" si="124"/>
        <v>Error?</v>
      </c>
      <c r="E7622" s="2" t="s">
        <v>19</v>
      </c>
    </row>
    <row r="7623" spans="1:5" x14ac:dyDescent="0.2">
      <c r="A7623">
        <f t="shared" si="123"/>
        <v>7562</v>
      </c>
      <c r="B7623" s="1890">
        <f>'Cap Outlay Deprec 26'!L14</f>
        <v>1283</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8080</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27324</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25727</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25727</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0</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30080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30080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22971</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22971</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0</v>
      </c>
      <c r="D7817" s="2" t="str">
        <f t="shared" si="128"/>
        <v>Error?</v>
      </c>
      <c r="E7817" s="4" t="s">
        <v>1969</v>
      </c>
    </row>
    <row r="7818" spans="1:5" x14ac:dyDescent="0.2">
      <c r="A7818">
        <v>7757</v>
      </c>
      <c r="B7818" s="1890">
        <f>'PCTC-OEPP 27-28'!F172</f>
        <v>6800</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891566</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46423</v>
      </c>
      <c r="D7834" s="2" t="str">
        <f t="shared" si="129"/>
        <v>Error?</v>
      </c>
      <c r="E7834" s="4" t="s">
        <v>2001</v>
      </c>
    </row>
    <row r="7835" spans="1:5" x14ac:dyDescent="0.2">
      <c r="A7835">
        <v>7774</v>
      </c>
      <c r="B7835" s="1890">
        <f>'PCTC-OEPP 27-28'!F78</f>
        <v>845143</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16427.449608334791</v>
      </c>
      <c r="D7837" s="2" t="str">
        <f t="shared" si="129"/>
        <v>Error?</v>
      </c>
      <c r="E7837" s="4" t="s">
        <v>2001</v>
      </c>
    </row>
    <row r="7838" spans="1:5" x14ac:dyDescent="0.2">
      <c r="A7838">
        <v>7777</v>
      </c>
      <c r="B7838" s="1890">
        <f>'PCTC-OEPP 27-28'!F96</f>
        <v>35677</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0</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31426</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5458</v>
      </c>
      <c r="D7858" s="2" t="str">
        <f t="shared" si="129"/>
        <v>Error?</v>
      </c>
      <c r="E7858" s="4" t="s">
        <v>2001</v>
      </c>
    </row>
    <row r="7859" spans="1:5" x14ac:dyDescent="0.2">
      <c r="A7859">
        <v>7798</v>
      </c>
      <c r="B7859" s="1890">
        <f>'PCTC-OEPP 27-28'!F127</f>
        <v>17508</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0</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344</v>
      </c>
      <c r="D7871" s="2" t="str">
        <f t="shared" si="129"/>
        <v>Error?</v>
      </c>
      <c r="E7871" s="4" t="s">
        <v>2001</v>
      </c>
    </row>
    <row r="7872" spans="1:5" x14ac:dyDescent="0.2">
      <c r="A7872">
        <v>7811</v>
      </c>
      <c r="B7872" s="1890">
        <f>'PCTC-OEPP 27-28'!F165</f>
        <v>0</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0</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107099</v>
      </c>
      <c r="D7877" s="2" t="str">
        <f t="shared" si="129"/>
        <v>Error?</v>
      </c>
      <c r="E7877" s="4" t="s">
        <v>2001</v>
      </c>
    </row>
    <row r="7878" spans="1:5" x14ac:dyDescent="0.2">
      <c r="A7878">
        <v>7817</v>
      </c>
      <c r="B7878" s="1890">
        <f>'PCTC-OEPP 27-28'!F176</f>
        <v>738044</v>
      </c>
      <c r="D7878" s="2" t="str">
        <f t="shared" si="129"/>
        <v>Error?</v>
      </c>
      <c r="E7878" s="4" t="s">
        <v>2001</v>
      </c>
    </row>
    <row r="7879" spans="1:5" x14ac:dyDescent="0.2">
      <c r="A7879">
        <v>7818</v>
      </c>
      <c r="B7879" s="1890">
        <f>'PCTC-OEPP 27-28'!F178</f>
        <v>746124</v>
      </c>
      <c r="D7879" s="2" t="str">
        <f t="shared" si="129"/>
        <v>Error?</v>
      </c>
      <c r="E7879" s="4" t="s">
        <v>2001</v>
      </c>
    </row>
    <row r="7880" spans="1:5" x14ac:dyDescent="0.2">
      <c r="A7880">
        <v>7819</v>
      </c>
      <c r="B7880" s="1890">
        <f>'PCTC-OEPP 27-28'!F180</f>
        <v>14502.769840807043</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25727</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42" t="s">
        <v>1183</v>
      </c>
      <c r="B2" s="2442"/>
      <c r="C2" s="2442"/>
      <c r="D2" s="2442"/>
      <c r="E2" s="2442"/>
      <c r="F2" s="2442"/>
      <c r="G2" s="2442"/>
      <c r="H2" s="2442"/>
      <c r="I2" s="2442"/>
      <c r="J2" s="2442"/>
      <c r="K2" s="2442"/>
      <c r="L2" s="2442"/>
    </row>
    <row r="3" spans="1:29" ht="13.5" customHeight="1" x14ac:dyDescent="0.2">
      <c r="A3" s="2474" t="s">
        <v>1182</v>
      </c>
      <c r="B3" s="2474"/>
      <c r="C3" s="2474"/>
      <c r="D3" s="2474"/>
      <c r="E3" s="2474"/>
      <c r="F3" s="2474"/>
      <c r="G3" s="2474"/>
      <c r="H3" s="2474"/>
      <c r="I3" s="2474"/>
      <c r="J3" s="2474"/>
      <c r="K3" s="2474"/>
      <c r="L3" s="2474"/>
    </row>
    <row r="4" spans="1:29" ht="13.5" customHeight="1" x14ac:dyDescent="0.2">
      <c r="A4" s="2463" t="str">
        <f>"Year Ending June 30, "&amp;'AFR20'!E2</f>
        <v>Year Ending June 30, 2020</v>
      </c>
      <c r="B4" s="2464"/>
      <c r="C4" s="2464"/>
      <c r="D4" s="2464"/>
      <c r="E4" s="2464"/>
      <c r="F4" s="2464"/>
      <c r="G4" s="2464"/>
      <c r="H4" s="2464"/>
      <c r="I4" s="2464"/>
      <c r="J4" s="2464"/>
      <c r="K4" s="2464"/>
      <c r="L4" s="2464"/>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65" t="str">
        <f>COVER!A17</f>
        <v xml:space="preserve">  Rooks Creek CCSD 425</v>
      </c>
      <c r="B7" s="2466"/>
      <c r="C7" s="2466"/>
      <c r="D7" s="2467"/>
      <c r="E7" s="2468">
        <f>COVER!A13</f>
        <v>17053425004</v>
      </c>
      <c r="F7" s="2469"/>
      <c r="G7" s="2475" t="str">
        <f>COVER!T23</f>
        <v>066-005232</v>
      </c>
      <c r="H7" s="2476"/>
      <c r="I7" s="2476"/>
      <c r="J7" s="2476"/>
      <c r="K7" s="2476"/>
      <c r="L7" s="2477"/>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78"/>
      <c r="B9" s="2479"/>
      <c r="C9" s="2479"/>
      <c r="D9" s="2479"/>
      <c r="E9" s="2479"/>
      <c r="F9" s="2480"/>
      <c r="G9" s="2448" t="str">
        <f>COVER!T13</f>
        <v>MCK CPAs &amp; Advisors</v>
      </c>
      <c r="H9" s="2481"/>
      <c r="I9" s="2481"/>
      <c r="J9" s="2481"/>
      <c r="K9" s="2481"/>
      <c r="L9" s="2482"/>
    </row>
    <row r="10" spans="1:29" ht="13.5" customHeight="1" x14ac:dyDescent="0.2">
      <c r="A10" s="2454" t="str">
        <f>COVER!A38</f>
        <v>Todd Bean</v>
      </c>
      <c r="B10" s="2455"/>
      <c r="C10" s="2455"/>
      <c r="D10" s="2455"/>
      <c r="E10" s="2455"/>
      <c r="F10" s="2456"/>
      <c r="G10" s="2448" t="str">
        <f>COVER!T17</f>
        <v>207 W Jefferson St</v>
      </c>
      <c r="H10" s="2449"/>
      <c r="I10" s="2449"/>
      <c r="J10" s="2449"/>
      <c r="K10" s="2449"/>
      <c r="L10" s="2450"/>
    </row>
    <row r="11" spans="1:29" ht="13.5" customHeight="1" x14ac:dyDescent="0.2">
      <c r="A11" s="1008" t="s">
        <v>1505</v>
      </c>
      <c r="B11" s="1009"/>
      <c r="C11" s="1010"/>
      <c r="D11" s="1015"/>
      <c r="E11" s="1010"/>
      <c r="F11" s="1014"/>
      <c r="G11" s="2448" t="str">
        <f>COVER!T19</f>
        <v>Bloomington</v>
      </c>
      <c r="H11" s="2449"/>
      <c r="I11" s="2449"/>
      <c r="J11" s="2449"/>
      <c r="K11" s="2449"/>
      <c r="L11" s="2450"/>
    </row>
    <row r="12" spans="1:29" ht="13.5" customHeight="1" x14ac:dyDescent="0.2">
      <c r="A12" s="2457" t="s">
        <v>1504</v>
      </c>
      <c r="B12" s="2458"/>
      <c r="C12" s="2458"/>
      <c r="D12" s="2458"/>
      <c r="E12" s="2458"/>
      <c r="F12" s="2459"/>
      <c r="G12" s="2451"/>
      <c r="H12" s="2452"/>
      <c r="I12" s="2452"/>
      <c r="J12" s="2452"/>
      <c r="K12" s="2452"/>
      <c r="L12" s="2453"/>
    </row>
    <row r="13" spans="1:29" ht="13.5" customHeight="1" x14ac:dyDescent="0.2">
      <c r="A13" s="2448"/>
      <c r="B13" s="2449"/>
      <c r="C13" s="2449"/>
      <c r="D13" s="2449"/>
      <c r="E13" s="2449"/>
      <c r="F13" s="2450"/>
      <c r="G13" s="2443" t="s">
        <v>1506</v>
      </c>
      <c r="H13" s="2444"/>
      <c r="I13" s="2460">
        <f>COVER!T25</f>
        <v>0</v>
      </c>
      <c r="J13" s="2461"/>
      <c r="K13" s="2461"/>
      <c r="L13" s="2462"/>
    </row>
    <row r="14" spans="1:29" ht="13.5" customHeight="1" x14ac:dyDescent="0.2">
      <c r="A14" s="2448" t="str">
        <f>COVER!A19</f>
        <v>PO Box 117</v>
      </c>
      <c r="B14" s="2449"/>
      <c r="C14" s="2449"/>
      <c r="D14" s="2449"/>
      <c r="E14" s="2449"/>
      <c r="F14" s="2450"/>
      <c r="G14" s="1019" t="s">
        <v>1177</v>
      </c>
      <c r="H14" s="1017"/>
      <c r="I14" s="1017"/>
      <c r="J14" s="1017"/>
      <c r="K14" s="1017"/>
      <c r="L14" s="1018"/>
    </row>
    <row r="15" spans="1:29" ht="13.5" customHeight="1" x14ac:dyDescent="0.2">
      <c r="A15" s="2448" t="str">
        <f>COVER!A21</f>
        <v>Graymont</v>
      </c>
      <c r="B15" s="2449"/>
      <c r="C15" s="2449"/>
      <c r="D15" s="2449"/>
      <c r="E15" s="2449"/>
      <c r="F15" s="2450"/>
      <c r="G15" s="2445" t="str">
        <f>COVER!T15</f>
        <v>Dawn M Carlson</v>
      </c>
      <c r="H15" s="2446"/>
      <c r="I15" s="2446"/>
      <c r="J15" s="2446"/>
      <c r="K15" s="2446"/>
      <c r="L15" s="2447"/>
    </row>
    <row r="16" spans="1:29" ht="12.2" customHeight="1" x14ac:dyDescent="0.2">
      <c r="A16" s="2471">
        <f>COVER!A25</f>
        <v>61743</v>
      </c>
      <c r="B16" s="2472"/>
      <c r="C16" s="2472"/>
      <c r="D16" s="2472"/>
      <c r="E16" s="2472"/>
      <c r="F16" s="2473"/>
      <c r="G16" s="2483"/>
      <c r="H16" s="2484"/>
      <c r="I16" s="2484"/>
      <c r="J16" s="2484"/>
      <c r="K16" s="2484"/>
      <c r="L16" s="2485"/>
    </row>
    <row r="17" spans="1:13" ht="12.2" customHeight="1" x14ac:dyDescent="0.2">
      <c r="A17" s="2486"/>
      <c r="B17" s="2472"/>
      <c r="C17" s="2472"/>
      <c r="D17" s="2472"/>
      <c r="E17" s="2472"/>
      <c r="F17" s="2473"/>
      <c r="G17" s="1019" t="s">
        <v>1176</v>
      </c>
      <c r="H17" s="1017"/>
      <c r="I17" s="1017"/>
      <c r="J17" s="1017"/>
      <c r="K17" s="1021" t="s">
        <v>1175</v>
      </c>
      <c r="L17" s="1014"/>
      <c r="M17" s="1007"/>
    </row>
    <row r="18" spans="1:13" ht="12.2" customHeight="1" x14ac:dyDescent="0.2">
      <c r="A18" s="2454"/>
      <c r="B18" s="2455"/>
      <c r="C18" s="2455"/>
      <c r="D18" s="2455"/>
      <c r="E18" s="2455"/>
      <c r="F18" s="2456"/>
      <c r="G18" s="2465">
        <f>COVER!T21</f>
        <v>3098286071</v>
      </c>
      <c r="H18" s="2466"/>
      <c r="I18" s="2466"/>
      <c r="J18" s="2466"/>
      <c r="K18" s="2465">
        <f>COVER!X21</f>
        <v>3098272465</v>
      </c>
      <c r="L18" s="2470"/>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D85" sqref="D85"/>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7" t="str">
        <f>'Single Audit Cover'!A7</f>
        <v xml:space="preserve">  Rooks Creek CCSD 425</v>
      </c>
      <c r="B1" s="2488"/>
      <c r="C1" s="2488"/>
      <c r="D1" s="2488"/>
    </row>
    <row r="2" spans="1:11" s="1036" customFormat="1" ht="12.75" x14ac:dyDescent="0.2">
      <c r="A2" s="2489">
        <f>'Single Audit Cover'!E7</f>
        <v>17053425004</v>
      </c>
      <c r="B2" s="2490"/>
      <c r="C2" s="2490"/>
      <c r="D2" s="2490"/>
    </row>
    <row r="3" spans="1:11" s="1036" customFormat="1" ht="12.75" x14ac:dyDescent="0.2">
      <c r="A3" s="2487" t="s">
        <v>1499</v>
      </c>
      <c r="B3" s="2488"/>
      <c r="C3" s="2488"/>
      <c r="D3" s="2488"/>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2" t="str">
        <f>'Single Audit Cover'!A7</f>
        <v xml:space="preserve">  Rooks Creek CCSD 425</v>
      </c>
      <c r="B1" s="2492"/>
      <c r="C1" s="2492"/>
      <c r="D1" s="2492"/>
      <c r="E1" s="2492"/>
    </row>
    <row r="2" spans="1:5" x14ac:dyDescent="0.2">
      <c r="A2" s="2493">
        <f>'Single Audit Cover'!E7</f>
        <v>17053425004</v>
      </c>
      <c r="B2" s="2493"/>
      <c r="C2" s="2493"/>
      <c r="D2" s="2493"/>
      <c r="E2" s="2493"/>
    </row>
    <row r="3" spans="1:5" ht="4.5" customHeight="1" x14ac:dyDescent="0.2"/>
    <row r="4" spans="1:5" x14ac:dyDescent="0.2">
      <c r="A4" s="2492" t="s">
        <v>1236</v>
      </c>
      <c r="B4" s="2492"/>
      <c r="C4" s="2492"/>
      <c r="D4" s="2492"/>
      <c r="E4" s="2492"/>
    </row>
    <row r="5" spans="1:5" x14ac:dyDescent="0.2">
      <c r="A5" s="2495" t="str">
        <f>'Single Audit Cover'!A4</f>
        <v>Year Ending June 30, 2020</v>
      </c>
      <c r="B5" s="2495"/>
      <c r="C5" s="2495"/>
      <c r="D5" s="2495"/>
      <c r="E5" s="2495"/>
    </row>
    <row r="6" spans="1:5" x14ac:dyDescent="0.2">
      <c r="A6" s="2492" t="s">
        <v>1235</v>
      </c>
      <c r="B6" s="2492"/>
      <c r="C6" s="2492"/>
      <c r="D6" s="2492"/>
      <c r="E6" s="2492"/>
    </row>
    <row r="8" spans="1:5" x14ac:dyDescent="0.2">
      <c r="A8" s="1081" t="s">
        <v>1234</v>
      </c>
    </row>
    <row r="10" spans="1:5" x14ac:dyDescent="0.2">
      <c r="A10" s="1082" t="s">
        <v>1233</v>
      </c>
      <c r="B10" s="1083" t="s">
        <v>1232</v>
      </c>
      <c r="C10" s="1083"/>
      <c r="D10" s="1084">
        <f>SUM('Acct Summary 7-8'!C7:K7)</f>
        <v>23310</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23310</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4"/>
      <c r="B24" s="2494"/>
      <c r="D24" s="1089"/>
    </row>
    <row r="25" spans="1:4" x14ac:dyDescent="0.2">
      <c r="A25" s="2491"/>
      <c r="B25" s="2491"/>
      <c r="D25" s="1089"/>
    </row>
    <row r="26" spans="1:4" x14ac:dyDescent="0.2">
      <c r="A26" s="2491"/>
      <c r="B26" s="2491"/>
      <c r="D26" s="1089"/>
    </row>
    <row r="27" spans="1:4" x14ac:dyDescent="0.2">
      <c r="A27" s="2491"/>
      <c r="B27" s="2491"/>
      <c r="D27" s="1089"/>
    </row>
    <row r="28" spans="1:4" x14ac:dyDescent="0.2">
      <c r="A28" s="2491"/>
      <c r="B28" s="2491"/>
      <c r="D28" s="1089"/>
    </row>
    <row r="29" spans="1:4" x14ac:dyDescent="0.2">
      <c r="A29" s="2491"/>
      <c r="B29" s="2491"/>
      <c r="D29" s="1089"/>
    </row>
    <row r="30" spans="1:4" x14ac:dyDescent="0.2">
      <c r="A30" s="2491"/>
      <c r="B30" s="2491"/>
      <c r="D30" s="1089"/>
    </row>
    <row r="32" spans="1:4" x14ac:dyDescent="0.2">
      <c r="A32" s="1081" t="s">
        <v>1224</v>
      </c>
      <c r="D32" s="1084">
        <f>SUM(D19:D30)</f>
        <v>23310</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1"/>
      <c r="B40" s="2491"/>
      <c r="D40" s="1089"/>
    </row>
    <row r="41" spans="1:4" x14ac:dyDescent="0.2">
      <c r="A41" s="2491"/>
      <c r="B41" s="2491"/>
      <c r="D41" s="1092"/>
    </row>
    <row r="42" spans="1:4" x14ac:dyDescent="0.2">
      <c r="A42" s="2491"/>
      <c r="B42" s="2491"/>
      <c r="D42" s="1092"/>
    </row>
    <row r="43" spans="1:4" x14ac:dyDescent="0.2">
      <c r="A43" s="2491"/>
      <c r="B43" s="2491"/>
      <c r="D43" s="1092"/>
    </row>
    <row r="44" spans="1:4" x14ac:dyDescent="0.2">
      <c r="A44" s="2491"/>
      <c r="B44" s="2491"/>
      <c r="D44" s="1092"/>
    </row>
    <row r="45" spans="1:4" x14ac:dyDescent="0.2">
      <c r="A45" s="2491"/>
      <c r="B45" s="2491"/>
      <c r="D45" s="1092"/>
    </row>
    <row r="47" spans="1:4" x14ac:dyDescent="0.2">
      <c r="B47" s="1093" t="s">
        <v>1218</v>
      </c>
      <c r="C47" s="1093"/>
      <c r="D47" s="1094">
        <f>SUM(D35:D45)</f>
        <v>0</v>
      </c>
    </row>
    <row r="49" spans="2:4" x14ac:dyDescent="0.2">
      <c r="B49" s="1093" t="s">
        <v>1217</v>
      </c>
      <c r="C49" s="1093"/>
      <c r="D49" s="1094">
        <f>D32-D47</f>
        <v>23310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74" t="str">
        <f>'Single Audit Cover'!A7</f>
        <v xml:space="preserve">  Rooks Creek CCSD 425</v>
      </c>
      <c r="C1" s="2496"/>
      <c r="D1" s="2496"/>
      <c r="E1" s="2496"/>
      <c r="F1" s="2496"/>
      <c r="G1" s="2496"/>
      <c r="H1" s="2496"/>
      <c r="I1" s="2496"/>
      <c r="J1" s="2496"/>
      <c r="K1" s="2496"/>
      <c r="L1" s="2496"/>
      <c r="M1" s="2496"/>
    </row>
    <row r="2" spans="2:14" ht="15" x14ac:dyDescent="0.2">
      <c r="B2" s="2497">
        <f>'Single Audit Cover'!E7</f>
        <v>17053425004</v>
      </c>
      <c r="C2" s="2497"/>
      <c r="D2" s="2497"/>
      <c r="E2" s="2497"/>
      <c r="F2" s="2497"/>
      <c r="G2" s="2497"/>
      <c r="H2" s="2497"/>
      <c r="I2" s="2497"/>
      <c r="J2" s="2497"/>
      <c r="K2" s="2497"/>
      <c r="L2" s="2497"/>
      <c r="M2" s="2497"/>
      <c r="N2" s="1123"/>
    </row>
    <row r="3" spans="2:14" ht="15" x14ac:dyDescent="0.2">
      <c r="B3" s="2498" t="s">
        <v>1210</v>
      </c>
      <c r="C3" s="2498"/>
      <c r="D3" s="2498"/>
      <c r="E3" s="2498"/>
      <c r="F3" s="2498"/>
      <c r="G3" s="2498"/>
      <c r="H3" s="2498"/>
      <c r="I3" s="2498"/>
      <c r="J3" s="2498"/>
      <c r="K3" s="2498"/>
      <c r="L3" s="2498"/>
      <c r="M3" s="2498"/>
      <c r="N3" s="1123"/>
    </row>
    <row r="4" spans="2:14" ht="15" x14ac:dyDescent="0.2">
      <c r="B4" s="2499" t="str">
        <f>'Single Audit Cover'!A4</f>
        <v>Year Ending June 30, 2020</v>
      </c>
      <c r="C4" s="2499"/>
      <c r="D4" s="2499"/>
      <c r="E4" s="2499"/>
      <c r="F4" s="2499"/>
      <c r="G4" s="2499"/>
      <c r="H4" s="2499"/>
      <c r="I4" s="2499"/>
      <c r="J4" s="2499"/>
      <c r="K4" s="2499"/>
      <c r="L4" s="2499"/>
      <c r="M4" s="2499"/>
      <c r="N4" s="1123"/>
    </row>
    <row r="5" spans="2:14" x14ac:dyDescent="0.2">
      <c r="H5" s="1984"/>
      <c r="J5" s="1984"/>
    </row>
    <row r="6" spans="2:14" x14ac:dyDescent="0.2">
      <c r="B6" s="1124"/>
      <c r="C6" s="1125"/>
      <c r="D6" s="1126" t="s">
        <v>1256</v>
      </c>
      <c r="E6" s="1127" t="s">
        <v>524</v>
      </c>
      <c r="F6" s="1128"/>
      <c r="G6" s="1129" t="s">
        <v>1714</v>
      </c>
      <c r="H6" s="1127"/>
      <c r="I6" s="1127"/>
      <c r="J6" s="1985"/>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3" t="str">
        <f>"7/1/"&amp;MID('AFR20'!$E$2,3,2)-2&amp;"-6/30/"&amp;MID('AFR20'!$E$2,3,2)-1</f>
        <v>7/1/18-6/30/19</v>
      </c>
      <c r="F9" s="1983" t="str">
        <f>"7/1/"&amp;MID('AFR20'!$E$2,3,2)-1&amp;"-6/30/"&amp;MID('AFR20'!$E$2,3,2)</f>
        <v>7/1/19-6/30/20</v>
      </c>
      <c r="G9" s="1983" t="str">
        <f>"7/1/"&amp;MID('AFR20'!$E$2,3,2)-2&amp;"-6/30/"&amp;MID('AFR20'!$E$2,3,2)-1</f>
        <v>7/1/18-6/30/19</v>
      </c>
      <c r="H9" s="1138" t="s">
        <v>1568</v>
      </c>
      <c r="I9" s="1983"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9" t="str">
        <f>'Single Audit Cover'!A7</f>
        <v xml:space="preserve">  Rooks Creek CCSD 425</v>
      </c>
      <c r="B1" s="2509"/>
      <c r="C1" s="2509"/>
      <c r="D1" s="2509"/>
      <c r="E1" s="2509"/>
      <c r="F1" s="2509"/>
    </row>
    <row r="2" spans="1:7" ht="13.5" customHeight="1" x14ac:dyDescent="0.2">
      <c r="A2" s="2497">
        <f>'Single Audit Cover'!E7</f>
        <v>17053425004</v>
      </c>
      <c r="B2" s="2497"/>
      <c r="C2" s="2497"/>
      <c r="D2" s="2497"/>
      <c r="E2" s="2497"/>
      <c r="F2" s="2497"/>
      <c r="G2" s="1096"/>
    </row>
    <row r="3" spans="1:7" ht="15.75" customHeight="1" x14ac:dyDescent="0.2">
      <c r="A3" s="2510" t="s">
        <v>1262</v>
      </c>
      <c r="B3" s="2510"/>
      <c r="C3" s="2510"/>
      <c r="D3" s="2510"/>
      <c r="E3" s="2510"/>
      <c r="F3" s="2510"/>
    </row>
    <row r="4" spans="1:7" ht="13.5" customHeight="1" x14ac:dyDescent="0.2">
      <c r="A4" s="2511" t="str">
        <f>'Single Audit Cover'!A4</f>
        <v>Year Ending June 30, 2020</v>
      </c>
      <c r="B4" s="2511"/>
      <c r="C4" s="2511"/>
      <c r="D4" s="2511"/>
      <c r="E4" s="2511"/>
      <c r="F4" s="2511"/>
    </row>
    <row r="5" spans="1:7" ht="8.25" customHeight="1" x14ac:dyDescent="0.2">
      <c r="C5" s="295"/>
      <c r="D5" s="295"/>
    </row>
    <row r="6" spans="1:7" ht="13.5" customHeight="1" x14ac:dyDescent="0.2">
      <c r="A6" s="1097" t="s">
        <v>1708</v>
      </c>
      <c r="C6" s="295"/>
      <c r="D6" s="295"/>
    </row>
    <row r="7" spans="1:7" ht="60.95" customHeight="1" x14ac:dyDescent="0.2">
      <c r="A7" s="2508" t="s">
        <v>1709</v>
      </c>
      <c r="B7" s="2508"/>
      <c r="C7" s="2508"/>
      <c r="D7" s="2508"/>
      <c r="E7" s="2508"/>
      <c r="F7" s="2508"/>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8" t="s">
        <v>1711</v>
      </c>
      <c r="B13" s="2508"/>
      <c r="C13" s="2508"/>
      <c r="D13" s="2508"/>
      <c r="E13" s="2508"/>
      <c r="F13" s="2508"/>
    </row>
    <row r="14" spans="1:7" ht="9.75" customHeight="1" x14ac:dyDescent="0.2">
      <c r="C14" s="1081"/>
      <c r="D14" s="1081"/>
    </row>
    <row r="15" spans="1:7" ht="13.5" customHeight="1" x14ac:dyDescent="0.2">
      <c r="C15" s="1525" t="s">
        <v>1261</v>
      </c>
      <c r="D15" s="2506" t="s">
        <v>1260</v>
      </c>
      <c r="E15" s="2506"/>
      <c r="F15" s="2506"/>
    </row>
    <row r="16" spans="1:7" ht="13.5" customHeight="1" x14ac:dyDescent="0.2">
      <c r="A16" s="1103"/>
      <c r="B16" s="1097" t="s">
        <v>1259</v>
      </c>
      <c r="C16" s="1525" t="s">
        <v>1258</v>
      </c>
      <c r="D16" s="2507" t="s">
        <v>1574</v>
      </c>
      <c r="E16" s="2507"/>
      <c r="F16" s="2507"/>
    </row>
    <row r="17" spans="1:6" ht="20.45" customHeight="1" x14ac:dyDescent="0.2">
      <c r="A17" s="1104"/>
      <c r="B17" s="1105"/>
      <c r="C17" s="1106"/>
      <c r="D17" s="2501"/>
      <c r="E17" s="2501"/>
      <c r="F17" s="2501"/>
    </row>
    <row r="18" spans="1:6" ht="20.65" customHeight="1" x14ac:dyDescent="0.2">
      <c r="A18" s="1104"/>
      <c r="B18" s="1105"/>
      <c r="C18" s="1106"/>
      <c r="D18" s="2501"/>
      <c r="E18" s="2501"/>
      <c r="F18" s="2501"/>
    </row>
    <row r="19" spans="1:6" ht="20.65" customHeight="1" x14ac:dyDescent="0.2">
      <c r="A19" s="1104"/>
      <c r="B19" s="1105"/>
      <c r="C19" s="1106"/>
      <c r="D19" s="2501"/>
      <c r="E19" s="2501"/>
      <c r="F19" s="2501"/>
    </row>
    <row r="20" spans="1:6" ht="20.65" customHeight="1" x14ac:dyDescent="0.2">
      <c r="A20" s="1104"/>
      <c r="B20" s="1105"/>
      <c r="C20" s="1106"/>
      <c r="D20" s="2501"/>
      <c r="E20" s="2501"/>
      <c r="F20" s="2501"/>
    </row>
    <row r="21" spans="1:6" ht="20.65" customHeight="1" x14ac:dyDescent="0.2">
      <c r="A21" s="1104"/>
      <c r="B21" s="1105"/>
      <c r="C21" s="1106"/>
      <c r="D21" s="2501"/>
      <c r="E21" s="2501"/>
      <c r="F21" s="2501"/>
    </row>
    <row r="22" spans="1:6" ht="20.65" customHeight="1" x14ac:dyDescent="0.2">
      <c r="A22" s="1104"/>
      <c r="B22" s="1105"/>
      <c r="C22" s="1106"/>
      <c r="D22" s="2501"/>
      <c r="E22" s="2501"/>
      <c r="F22" s="2501"/>
    </row>
    <row r="23" spans="1:6" ht="20.65" customHeight="1" x14ac:dyDescent="0.2">
      <c r="A23" s="1104"/>
      <c r="B23" s="1105"/>
      <c r="C23" s="1106"/>
      <c r="D23" s="2501"/>
      <c r="E23" s="2501"/>
      <c r="F23" s="2501"/>
    </row>
    <row r="24" spans="1:6" ht="20.65" customHeight="1" x14ac:dyDescent="0.2">
      <c r="A24" s="1104"/>
      <c r="B24" s="1105"/>
      <c r="C24" s="1106"/>
      <c r="D24" s="2501"/>
      <c r="E24" s="2501"/>
      <c r="F24" s="2501"/>
    </row>
    <row r="25" spans="1:6" ht="20.65" customHeight="1" x14ac:dyDescent="0.2">
      <c r="A25" s="1104"/>
      <c r="B25" s="1105"/>
      <c r="C25" s="1106"/>
      <c r="D25" s="2501"/>
      <c r="E25" s="2501"/>
      <c r="F25" s="2501"/>
    </row>
    <row r="26" spans="1:6" ht="20.65" customHeight="1" x14ac:dyDescent="0.2">
      <c r="A26" s="1104"/>
      <c r="B26" s="1105"/>
      <c r="C26" s="1106"/>
      <c r="D26" s="2501"/>
      <c r="E26" s="2501"/>
      <c r="F26" s="2501"/>
    </row>
    <row r="27" spans="1:6" ht="20.65" customHeight="1" x14ac:dyDescent="0.2">
      <c r="A27" s="1104"/>
      <c r="B27" s="1105"/>
      <c r="C27" s="1106"/>
      <c r="D27" s="2501"/>
      <c r="E27" s="2501"/>
      <c r="F27" s="2501"/>
    </row>
    <row r="28" spans="1:6" ht="20.65" customHeight="1" x14ac:dyDescent="0.2">
      <c r="A28" s="1104"/>
      <c r="B28" s="1105"/>
      <c r="C28" s="1106"/>
      <c r="D28" s="2501"/>
      <c r="E28" s="2501"/>
      <c r="F28" s="2501"/>
    </row>
    <row r="29" spans="1:6" ht="20.65" customHeight="1" x14ac:dyDescent="0.2">
      <c r="A29" s="1104"/>
      <c r="B29" s="1105"/>
      <c r="C29" s="1106"/>
      <c r="D29" s="2501"/>
      <c r="E29" s="2501"/>
      <c r="F29" s="2501"/>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2" t="s">
        <v>1712</v>
      </c>
      <c r="B32" s="2502"/>
      <c r="C32" s="2502"/>
      <c r="D32" s="2502"/>
      <c r="E32" s="2502"/>
      <c r="F32" s="2502"/>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3">
        <f>+C33+C34</f>
        <v>0</v>
      </c>
      <c r="F34" s="2504"/>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5" t="s">
        <v>1576</v>
      </c>
      <c r="C49" s="2505"/>
      <c r="D49" s="2505"/>
      <c r="E49" s="1213"/>
    </row>
    <row r="50" spans="1:5" s="1121" customFormat="1" ht="3.75" customHeight="1" x14ac:dyDescent="0.2">
      <c r="A50" s="1120"/>
      <c r="B50" s="1524"/>
      <c r="C50" s="1524"/>
      <c r="D50" s="1524"/>
      <c r="E50" s="1213"/>
    </row>
    <row r="51" spans="1:5" s="1121" customFormat="1" ht="20.25" customHeight="1" x14ac:dyDescent="0.2">
      <c r="A51" s="1122">
        <v>6</v>
      </c>
      <c r="B51" s="2500" t="s">
        <v>1537</v>
      </c>
      <c r="C51" s="2500"/>
      <c r="D51" s="2500"/>
    </row>
    <row r="52" spans="1:5" ht="14.25" customHeight="1" x14ac:dyDescent="0.2">
      <c r="A52" s="1122"/>
      <c r="B52" s="2500"/>
      <c r="C52" s="2500"/>
      <c r="D52" s="250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9"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7" t="s">
        <v>1160</v>
      </c>
      <c r="B2" s="2107"/>
      <c r="C2" s="2107"/>
      <c r="D2" s="2107"/>
      <c r="E2" s="2107"/>
      <c r="F2" s="2107"/>
      <c r="G2" s="2107"/>
      <c r="H2" s="2107"/>
      <c r="I2" s="2107"/>
      <c r="J2" s="210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1" t="s">
        <v>1619</v>
      </c>
      <c r="B35" s="2122"/>
      <c r="C35" s="2122"/>
      <c r="D35" s="2122"/>
      <c r="E35" s="2123"/>
      <c r="F35" s="2123"/>
      <c r="G35" s="2123"/>
      <c r="H35" s="2123"/>
      <c r="I35" s="212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1" t="s">
        <v>310</v>
      </c>
      <c r="B47" s="2124"/>
      <c r="C47" s="2124"/>
      <c r="D47" s="2124"/>
      <c r="E47" s="2125"/>
      <c r="F47" s="2125"/>
      <c r="G47" s="2125"/>
      <c r="H47" s="2125"/>
      <c r="I47" s="212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8"/>
      <c r="C57" s="2129"/>
      <c r="D57" s="2129"/>
      <c r="E57" s="2129"/>
      <c r="F57" s="2129"/>
      <c r="G57" s="2129"/>
      <c r="H57" s="2129"/>
      <c r="I57" s="2129"/>
      <c r="J57" s="2130"/>
    </row>
    <row r="58" spans="1:10" s="176" customFormat="1" x14ac:dyDescent="0.2">
      <c r="A58" s="248"/>
      <c r="B58" s="2131"/>
      <c r="C58" s="2132"/>
      <c r="D58" s="2132"/>
      <c r="E58" s="2132"/>
      <c r="F58" s="2132"/>
      <c r="G58" s="2132"/>
      <c r="H58" s="2132"/>
      <c r="I58" s="2132"/>
      <c r="J58" s="2133"/>
    </row>
    <row r="59" spans="1:10" s="176" customFormat="1" x14ac:dyDescent="0.2">
      <c r="A59" s="248"/>
      <c r="B59" s="2131"/>
      <c r="C59" s="2132"/>
      <c r="D59" s="2132"/>
      <c r="E59" s="2132"/>
      <c r="F59" s="2132"/>
      <c r="G59" s="2132"/>
      <c r="H59" s="2132"/>
      <c r="I59" s="2132"/>
      <c r="J59" s="2133"/>
    </row>
    <row r="60" spans="1:10" s="176" customFormat="1" x14ac:dyDescent="0.2">
      <c r="A60" s="248"/>
      <c r="B60" s="2131"/>
      <c r="C60" s="2132"/>
      <c r="D60" s="2132"/>
      <c r="E60" s="2132"/>
      <c r="F60" s="2132"/>
      <c r="G60" s="2132"/>
      <c r="H60" s="2132"/>
      <c r="I60" s="2132"/>
      <c r="J60" s="2133"/>
    </row>
    <row r="61" spans="1:10" s="176" customFormat="1" x14ac:dyDescent="0.2">
      <c r="A61" s="248"/>
      <c r="B61" s="2131"/>
      <c r="C61" s="2132"/>
      <c r="D61" s="2132"/>
      <c r="E61" s="2132"/>
      <c r="F61" s="2132"/>
      <c r="G61" s="2132"/>
      <c r="H61" s="2132"/>
      <c r="I61" s="2132"/>
      <c r="J61" s="2133"/>
    </row>
    <row r="62" spans="1:10" s="176" customFormat="1" x14ac:dyDescent="0.2">
      <c r="A62" s="248"/>
      <c r="B62" s="2131"/>
      <c r="C62" s="2132"/>
      <c r="D62" s="2132"/>
      <c r="E62" s="2132"/>
      <c r="F62" s="2132"/>
      <c r="G62" s="2132"/>
      <c r="H62" s="2132"/>
      <c r="I62" s="2132"/>
      <c r="J62" s="2133"/>
    </row>
    <row r="63" spans="1:10" s="176" customFormat="1" x14ac:dyDescent="0.2">
      <c r="A63" s="248"/>
      <c r="B63" s="2131"/>
      <c r="C63" s="2132"/>
      <c r="D63" s="2132"/>
      <c r="E63" s="2132"/>
      <c r="F63" s="2132"/>
      <c r="G63" s="2132"/>
      <c r="H63" s="2132"/>
      <c r="I63" s="2132"/>
      <c r="J63" s="2133"/>
    </row>
    <row r="64" spans="1:10" s="176" customFormat="1" x14ac:dyDescent="0.2">
      <c r="A64" s="248"/>
      <c r="B64" s="2131"/>
      <c r="C64" s="2132"/>
      <c r="D64" s="2132"/>
      <c r="E64" s="2132"/>
      <c r="F64" s="2132"/>
      <c r="G64" s="2132"/>
      <c r="H64" s="2132"/>
      <c r="I64" s="2132"/>
      <c r="J64" s="2133"/>
    </row>
    <row r="65" spans="1:11" s="176" customFormat="1" x14ac:dyDescent="0.2">
      <c r="A65" s="248"/>
      <c r="B65" s="2131"/>
      <c r="C65" s="2132"/>
      <c r="D65" s="2132"/>
      <c r="E65" s="2132"/>
      <c r="F65" s="2132"/>
      <c r="G65" s="2132"/>
      <c r="H65" s="2132"/>
      <c r="I65" s="2132"/>
      <c r="J65" s="2133"/>
    </row>
    <row r="66" spans="1:11" s="176" customFormat="1" x14ac:dyDescent="0.2">
      <c r="A66" s="248"/>
      <c r="B66" s="2131"/>
      <c r="C66" s="2132"/>
      <c r="D66" s="2132"/>
      <c r="E66" s="2132"/>
      <c r="F66" s="2132"/>
      <c r="G66" s="2132"/>
      <c r="H66" s="2132"/>
      <c r="I66" s="2132"/>
      <c r="J66" s="2133"/>
    </row>
    <row r="67" spans="1:11" s="176" customFormat="1" ht="9" customHeight="1" x14ac:dyDescent="0.2">
      <c r="A67" s="249"/>
      <c r="B67" s="2134"/>
      <c r="C67" s="2135"/>
      <c r="D67" s="2135"/>
      <c r="E67" s="2135"/>
      <c r="F67" s="2135"/>
      <c r="G67" s="2135"/>
      <c r="H67" s="2135"/>
      <c r="I67" s="2135"/>
      <c r="J67" s="213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1" t="s">
        <v>1314</v>
      </c>
      <c r="B70" s="2124"/>
      <c r="C70" s="2124"/>
      <c r="D70" s="2124"/>
      <c r="E70" s="2125"/>
      <c r="F70" s="2125"/>
      <c r="G70" s="2125"/>
      <c r="H70" s="2125"/>
      <c r="I70" s="212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6" t="s">
        <v>1311</v>
      </c>
      <c r="B83" s="2126"/>
      <c r="C83" s="2126"/>
      <c r="D83" s="212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7" t="s">
        <v>1992</v>
      </c>
      <c r="B85" s="2137"/>
      <c r="C85" s="2137"/>
      <c r="D85" s="2138"/>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39" t="s">
        <v>1992</v>
      </c>
      <c r="B88" s="2140"/>
      <c r="C88" s="2140"/>
      <c r="D88" s="2141"/>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8"/>
      <c r="C102" s="2109"/>
      <c r="D102" s="2109"/>
      <c r="E102" s="2109"/>
      <c r="F102" s="2109"/>
      <c r="G102" s="2109"/>
      <c r="H102" s="2109"/>
      <c r="I102" s="2110"/>
    </row>
    <row r="103" spans="1:9" s="176" customFormat="1" ht="11.25" customHeight="1" x14ac:dyDescent="0.2">
      <c r="A103" s="294"/>
      <c r="B103" s="2111"/>
      <c r="C103" s="2112"/>
      <c r="D103" s="2112"/>
      <c r="E103" s="2112"/>
      <c r="F103" s="2112"/>
      <c r="G103" s="2112"/>
      <c r="H103" s="2112"/>
      <c r="I103" s="2113"/>
    </row>
    <row r="104" spans="1:9" s="176" customFormat="1" ht="11.25" customHeight="1" x14ac:dyDescent="0.2">
      <c r="A104" s="294"/>
      <c r="B104" s="2111"/>
      <c r="C104" s="2112"/>
      <c r="D104" s="2112"/>
      <c r="E104" s="2112"/>
      <c r="F104" s="2112"/>
      <c r="G104" s="2112"/>
      <c r="H104" s="2112"/>
      <c r="I104" s="2113"/>
    </row>
    <row r="105" spans="1:9" s="176" customFormat="1" x14ac:dyDescent="0.2">
      <c r="A105" s="294"/>
      <c r="B105" s="2111"/>
      <c r="C105" s="2112"/>
      <c r="D105" s="2112"/>
      <c r="E105" s="2112"/>
      <c r="F105" s="2112"/>
      <c r="G105" s="2112"/>
      <c r="H105" s="2112"/>
      <c r="I105" s="2113"/>
    </row>
    <row r="106" spans="1:9" s="176" customFormat="1" ht="11.25" customHeight="1" x14ac:dyDescent="0.2">
      <c r="A106" s="294"/>
      <c r="B106" s="2111"/>
      <c r="C106" s="2112"/>
      <c r="D106" s="2112"/>
      <c r="E106" s="2112"/>
      <c r="F106" s="2112"/>
      <c r="G106" s="2112"/>
      <c r="H106" s="2112"/>
      <c r="I106" s="2113"/>
    </row>
    <row r="107" spans="1:9" s="176" customFormat="1" ht="11.25" customHeight="1" x14ac:dyDescent="0.2">
      <c r="A107" s="294"/>
      <c r="B107" s="2111"/>
      <c r="C107" s="2112"/>
      <c r="D107" s="2112"/>
      <c r="E107" s="2112"/>
      <c r="F107" s="2112"/>
      <c r="G107" s="2112"/>
      <c r="H107" s="2112"/>
      <c r="I107" s="2113"/>
    </row>
    <row r="108" spans="1:9" s="176" customFormat="1" ht="11.25" customHeight="1" x14ac:dyDescent="0.2">
      <c r="A108" s="294"/>
      <c r="B108" s="2111"/>
      <c r="C108" s="2112"/>
      <c r="D108" s="2112"/>
      <c r="E108" s="2112"/>
      <c r="F108" s="2112"/>
      <c r="G108" s="2112"/>
      <c r="H108" s="2112"/>
      <c r="I108" s="2113"/>
    </row>
    <row r="109" spans="1:9" s="176" customFormat="1" ht="11.25" customHeight="1" x14ac:dyDescent="0.2">
      <c r="A109" s="294"/>
      <c r="B109" s="2111"/>
      <c r="C109" s="2112"/>
      <c r="D109" s="2112"/>
      <c r="E109" s="2112"/>
      <c r="F109" s="2112"/>
      <c r="G109" s="2112"/>
      <c r="H109" s="2112"/>
      <c r="I109" s="2113"/>
    </row>
    <row r="110" spans="1:9" s="176" customFormat="1" ht="11.25" customHeight="1" x14ac:dyDescent="0.2">
      <c r="A110" s="294"/>
      <c r="B110" s="2111"/>
      <c r="C110" s="2112"/>
      <c r="D110" s="2112"/>
      <c r="E110" s="2112"/>
      <c r="F110" s="2112"/>
      <c r="G110" s="2112"/>
      <c r="H110" s="2112"/>
      <c r="I110" s="2113"/>
    </row>
    <row r="111" spans="1:9" s="176" customFormat="1" ht="11.25" customHeight="1" x14ac:dyDescent="0.2">
      <c r="A111" s="294"/>
      <c r="B111" s="2111"/>
      <c r="C111" s="2112"/>
      <c r="D111" s="2112"/>
      <c r="E111" s="2112"/>
      <c r="F111" s="2112"/>
      <c r="G111" s="2112"/>
      <c r="H111" s="2112"/>
      <c r="I111" s="2113"/>
    </row>
    <row r="112" spans="1:9" s="176" customFormat="1" ht="11.25" customHeight="1" x14ac:dyDescent="0.2">
      <c r="A112" s="294"/>
      <c r="B112" s="2114"/>
      <c r="C112" s="2115"/>
      <c r="D112" s="2115"/>
      <c r="E112" s="2115"/>
      <c r="F112" s="2115"/>
      <c r="G112" s="2115"/>
      <c r="H112" s="2115"/>
      <c r="I112" s="211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7" t="s">
        <v>2025</v>
      </c>
      <c r="D114" s="211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8" t="s">
        <v>1321</v>
      </c>
      <c r="D117" s="2119"/>
      <c r="E117" s="2120"/>
      <c r="F117" s="2120"/>
      <c r="G117" s="2120"/>
      <c r="H117" s="2120"/>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election activeCell="G35" sqref="G35"/>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3" t="str">
        <f>'Single Audit Cover'!A7</f>
        <v xml:space="preserve">  Rooks Creek CCSD 425</v>
      </c>
      <c r="C1" s="2524"/>
      <c r="D1" s="2524"/>
      <c r="E1" s="2524"/>
      <c r="F1" s="2524"/>
      <c r="G1" s="2524"/>
      <c r="H1" s="2524"/>
      <c r="I1" s="2524"/>
      <c r="J1" s="1223"/>
    </row>
    <row r="2" spans="2:10" s="295" customFormat="1" ht="12.75" customHeight="1" x14ac:dyDescent="0.2">
      <c r="B2" s="2525">
        <f>'Single Audit Cover'!E7</f>
        <v>17053425004</v>
      </c>
      <c r="C2" s="2526"/>
      <c r="D2" s="2526"/>
      <c r="E2" s="2526"/>
      <c r="F2" s="2526"/>
      <c r="G2" s="2526"/>
      <c r="H2" s="2526"/>
      <c r="I2" s="2526"/>
      <c r="J2" s="1223"/>
    </row>
    <row r="3" spans="2:10" s="295" customFormat="1" ht="12.75" customHeight="1" x14ac:dyDescent="0.2">
      <c r="B3" s="2527" t="s">
        <v>1276</v>
      </c>
      <c r="C3" s="2528"/>
      <c r="D3" s="2528"/>
      <c r="E3" s="2528"/>
      <c r="F3" s="2528"/>
      <c r="G3" s="2528"/>
      <c r="H3" s="2528"/>
      <c r="I3" s="2528"/>
      <c r="J3" s="1224"/>
    </row>
    <row r="4" spans="2:10" s="295" customFormat="1" ht="12.75" customHeight="1" x14ac:dyDescent="0.2">
      <c r="B4" s="2527" t="str">
        <f>'Single Audit Cover'!A4</f>
        <v>Year Ending June 30, 2020</v>
      </c>
      <c r="C4" s="2528"/>
      <c r="D4" s="2528"/>
      <c r="E4" s="2528"/>
      <c r="F4" s="2528"/>
      <c r="G4" s="2528"/>
      <c r="H4" s="2528"/>
      <c r="I4" s="2528"/>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7" t="s">
        <v>1275</v>
      </c>
      <c r="C7" s="2528"/>
      <c r="D7" s="2528"/>
      <c r="E7" s="2528"/>
      <c r="F7" s="2528"/>
      <c r="G7" s="2528"/>
      <c r="H7" s="2528"/>
      <c r="I7" s="2528"/>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29" t="s">
        <v>1156</v>
      </c>
      <c r="D11" s="2529"/>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t="s">
        <v>2021</v>
      </c>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t="s">
        <v>2021</v>
      </c>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t="s">
        <v>2021</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2021</v>
      </c>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t="s">
        <v>2021</v>
      </c>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30" t="s">
        <v>2039</v>
      </c>
      <c r="E29" s="2530"/>
      <c r="F29" s="2530"/>
      <c r="G29" s="2530"/>
      <c r="H29" s="2530"/>
      <c r="I29" s="2530"/>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t="s">
        <v>2033</v>
      </c>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31" t="s">
        <v>1731</v>
      </c>
      <c r="D37" s="2532"/>
      <c r="E37" s="2532"/>
      <c r="F37" s="2533"/>
      <c r="G37" s="2531" t="s">
        <v>1578</v>
      </c>
      <c r="H37" s="2532"/>
      <c r="I37" s="2533"/>
    </row>
    <row r="38" spans="2:9" ht="16.5" customHeight="1" x14ac:dyDescent="0.2">
      <c r="B38" s="1245" t="s">
        <v>2040</v>
      </c>
      <c r="C38" s="2519" t="s">
        <v>2040</v>
      </c>
      <c r="D38" s="2520"/>
      <c r="E38" s="2520"/>
      <c r="F38" s="2521"/>
      <c r="G38" s="2534" t="s">
        <v>2040</v>
      </c>
      <c r="H38" s="2535"/>
      <c r="I38" s="2536"/>
    </row>
    <row r="39" spans="2:9" ht="16.5" customHeight="1" x14ac:dyDescent="0.2">
      <c r="B39" s="1245"/>
      <c r="C39" s="2519"/>
      <c r="D39" s="2520"/>
      <c r="E39" s="2520"/>
      <c r="F39" s="2521"/>
      <c r="G39" s="2522"/>
      <c r="H39" s="2522"/>
      <c r="I39" s="2522"/>
    </row>
    <row r="40" spans="2:9" ht="16.5" customHeight="1" x14ac:dyDescent="0.2">
      <c r="B40" s="1245"/>
      <c r="C40" s="2519"/>
      <c r="D40" s="2520"/>
      <c r="E40" s="2520"/>
      <c r="F40" s="2521"/>
      <c r="G40" s="2522"/>
      <c r="H40" s="2522"/>
      <c r="I40" s="2522"/>
    </row>
    <row r="41" spans="2:9" ht="16.5" customHeight="1" x14ac:dyDescent="0.2">
      <c r="B41" s="1245"/>
      <c r="C41" s="2519"/>
      <c r="D41" s="2520"/>
      <c r="E41" s="2520"/>
      <c r="F41" s="2521"/>
      <c r="G41" s="2522"/>
      <c r="H41" s="2522"/>
      <c r="I41" s="2522"/>
    </row>
    <row r="42" spans="2:9" ht="16.5" customHeight="1" x14ac:dyDescent="0.2">
      <c r="B42" s="1245"/>
      <c r="C42" s="2519"/>
      <c r="D42" s="2520"/>
      <c r="E42" s="2520"/>
      <c r="F42" s="2521"/>
      <c r="G42" s="2522"/>
      <c r="H42" s="2522"/>
      <c r="I42" s="2522"/>
    </row>
    <row r="43" spans="2:9" ht="16.5" customHeight="1" x14ac:dyDescent="0.2">
      <c r="B43" s="1245"/>
      <c r="C43" s="2512" t="s">
        <v>1579</v>
      </c>
      <c r="D43" s="2513"/>
      <c r="E43" s="2513"/>
      <c r="F43" s="2514"/>
      <c r="G43" s="2515">
        <f>SUM(G38:I42)</f>
        <v>0</v>
      </c>
      <c r="H43" s="2515"/>
      <c r="I43" s="2515"/>
    </row>
    <row r="44" spans="2:9" ht="12.75" customHeight="1" x14ac:dyDescent="0.2"/>
    <row r="45" spans="2:9" ht="12.75" customHeight="1" x14ac:dyDescent="0.2">
      <c r="B45" s="1986" t="str">
        <f>"Total Federal Expenditures for 7/1/"&amp;MID('AFR20'!E2,3,2)-1&amp;"-6/30/"&amp;MID('AFR20'!E2,3,2)</f>
        <v>Total Federal Expenditures for 7/1/19-6/30/20</v>
      </c>
      <c r="C45" s="1987"/>
      <c r="D45" s="2516">
        <v>0</v>
      </c>
      <c r="E45" s="2517"/>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18">
        <v>750000</v>
      </c>
      <c r="F49" s="2518"/>
      <c r="G49" s="2518"/>
      <c r="H49" s="300"/>
    </row>
    <row r="51" spans="1:9" ht="13.5" customHeight="1" x14ac:dyDescent="0.2">
      <c r="B51" s="1183" t="s">
        <v>1263</v>
      </c>
      <c r="C51" s="1103"/>
      <c r="E51" s="1239"/>
      <c r="F51" s="1121" t="s">
        <v>879</v>
      </c>
      <c r="G51" s="1239" t="s">
        <v>2021</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3" t="str">
        <f>'Single Audit Cover'!A7</f>
        <v xml:space="preserve">  Rooks Creek CCSD 425</v>
      </c>
      <c r="C1" s="2523"/>
      <c r="D1" s="2523"/>
      <c r="E1" s="2523"/>
      <c r="F1" s="2523"/>
      <c r="G1" s="2523"/>
      <c r="H1" s="2523"/>
      <c r="I1" s="2523"/>
      <c r="J1" s="2523"/>
      <c r="K1" s="2523"/>
      <c r="L1" s="1189"/>
      <c r="M1" s="1189"/>
    </row>
    <row r="2" spans="1:13" ht="12" customHeight="1" x14ac:dyDescent="0.2">
      <c r="B2" s="2525">
        <f>'Single Audit Cover'!E7</f>
        <v>17053425004</v>
      </c>
      <c r="C2" s="2525"/>
      <c r="D2" s="2525"/>
      <c r="E2" s="2525"/>
      <c r="F2" s="2525"/>
      <c r="G2" s="2525"/>
      <c r="H2" s="2525"/>
      <c r="I2" s="2525"/>
      <c r="J2" s="2525"/>
      <c r="K2" s="2525"/>
      <c r="L2" s="1190"/>
      <c r="M2" s="1191"/>
    </row>
    <row r="3" spans="1:13" ht="10.35" customHeight="1" x14ac:dyDescent="0.2">
      <c r="B3" s="2539" t="s">
        <v>1276</v>
      </c>
      <c r="C3" s="2539"/>
      <c r="D3" s="2539"/>
      <c r="E3" s="2539"/>
      <c r="F3" s="2539"/>
      <c r="G3" s="2539"/>
      <c r="H3" s="2539"/>
      <c r="I3" s="2539"/>
      <c r="J3" s="2539"/>
      <c r="K3" s="2539"/>
      <c r="L3" s="1192"/>
      <c r="M3" s="1192"/>
    </row>
    <row r="4" spans="1:13" ht="14.25" customHeight="1" x14ac:dyDescent="0.2">
      <c r="B4" s="2540" t="str">
        <f>'Single Audit Cover'!A4</f>
        <v>Year Ending June 30, 2020</v>
      </c>
      <c r="C4" s="2540"/>
      <c r="D4" s="2540"/>
      <c r="E4" s="2540"/>
      <c r="F4" s="2540"/>
      <c r="G4" s="2540"/>
      <c r="H4" s="2540"/>
      <c r="I4" s="2540"/>
      <c r="J4" s="2540"/>
      <c r="K4" s="2540"/>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40" t="s">
        <v>1287</v>
      </c>
      <c r="C7" s="2540"/>
      <c r="D7" s="2541"/>
      <c r="E7" s="2541"/>
      <c r="F7" s="2541"/>
      <c r="G7" s="2541"/>
      <c r="H7" s="2541"/>
      <c r="I7" s="2541"/>
      <c r="J7" s="2541"/>
      <c r="K7" s="2541"/>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8"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8"/>
      <c r="C14" s="2538"/>
      <c r="D14" s="2538"/>
      <c r="E14" s="2538"/>
      <c r="F14" s="2538"/>
      <c r="G14" s="2538"/>
      <c r="H14" s="2538"/>
      <c r="I14" s="2538"/>
      <c r="J14" s="2538"/>
      <c r="K14" s="2538"/>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8"/>
      <c r="C17" s="2538"/>
      <c r="D17" s="2538"/>
      <c r="E17" s="2538"/>
      <c r="F17" s="2538"/>
      <c r="G17" s="2538"/>
      <c r="H17" s="2538"/>
      <c r="I17" s="2538"/>
      <c r="J17" s="2538"/>
      <c r="K17" s="2538"/>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2"/>
      <c r="C20" s="2542"/>
      <c r="D20" s="2538"/>
      <c r="E20" s="2538"/>
      <c r="F20" s="2538"/>
      <c r="G20" s="2538"/>
      <c r="H20" s="2538"/>
      <c r="I20" s="2538"/>
      <c r="J20" s="2538"/>
      <c r="K20" s="2538"/>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8"/>
      <c r="C23" s="2538"/>
      <c r="D23" s="2538"/>
      <c r="E23" s="2538"/>
      <c r="F23" s="2538"/>
      <c r="G23" s="2538"/>
      <c r="H23" s="2538"/>
      <c r="I23" s="2538"/>
      <c r="J23" s="2538"/>
      <c r="K23" s="2538"/>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8"/>
      <c r="C26" s="2538"/>
      <c r="D26" s="2538"/>
      <c r="E26" s="2538"/>
      <c r="F26" s="2538"/>
      <c r="G26" s="2538"/>
      <c r="H26" s="2538"/>
      <c r="I26" s="2538"/>
      <c r="J26" s="2538"/>
      <c r="K26" s="2538"/>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7"/>
      <c r="C29" s="2537"/>
      <c r="D29" s="2538"/>
      <c r="E29" s="2538"/>
      <c r="F29" s="2538"/>
      <c r="G29" s="2538"/>
      <c r="H29" s="2538"/>
      <c r="I29" s="2538"/>
      <c r="J29" s="2538"/>
      <c r="K29" s="2538"/>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7"/>
      <c r="C32" s="2537"/>
      <c r="D32" s="2538"/>
      <c r="E32" s="2538"/>
      <c r="F32" s="2538"/>
      <c r="G32" s="2538"/>
      <c r="H32" s="2538"/>
      <c r="I32" s="2538"/>
      <c r="J32" s="2538"/>
      <c r="K32" s="2538"/>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6" t="str">
        <f>'Single Audit Cover'!A7</f>
        <v xml:space="preserve">  Rooks Creek CCSD 425</v>
      </c>
      <c r="C1" s="2546"/>
      <c r="D1" s="2546"/>
      <c r="E1" s="2546"/>
      <c r="F1" s="2546"/>
      <c r="G1" s="2546"/>
      <c r="H1" s="2546"/>
      <c r="I1" s="2546"/>
      <c r="J1" s="2546"/>
      <c r="K1" s="2546"/>
      <c r="L1" s="1266"/>
    </row>
    <row r="2" spans="1:12" ht="12.75" customHeight="1" x14ac:dyDescent="0.2">
      <c r="B2" s="2547">
        <f>'Single Audit Cover'!E7</f>
        <v>17053425004</v>
      </c>
      <c r="C2" s="2547"/>
      <c r="D2" s="2547"/>
      <c r="E2" s="2547"/>
      <c r="F2" s="2547"/>
      <c r="G2" s="2547"/>
      <c r="H2" s="2547"/>
      <c r="I2" s="2547"/>
      <c r="J2" s="2547"/>
      <c r="K2" s="2547"/>
      <c r="L2" s="1267"/>
    </row>
    <row r="3" spans="1:12" ht="12.75" customHeight="1" x14ac:dyDescent="0.2">
      <c r="B3" s="2539" t="s">
        <v>1276</v>
      </c>
      <c r="C3" s="2539"/>
      <c r="D3" s="2539"/>
      <c r="E3" s="2539"/>
      <c r="F3" s="2539"/>
      <c r="G3" s="2539"/>
      <c r="H3" s="2539"/>
      <c r="I3" s="2539"/>
      <c r="J3" s="2539"/>
      <c r="K3" s="2539"/>
      <c r="L3" s="1192"/>
    </row>
    <row r="4" spans="1:12" ht="12.75" customHeight="1" x14ac:dyDescent="0.2">
      <c r="B4" s="2539" t="str">
        <f>'Single Audit Cover'!A4</f>
        <v>Year Ending June 30, 2020</v>
      </c>
      <c r="C4" s="2539"/>
      <c r="D4" s="2539"/>
      <c r="E4" s="2539"/>
      <c r="F4" s="2539"/>
      <c r="G4" s="2539"/>
      <c r="H4" s="2539"/>
      <c r="I4" s="2539"/>
      <c r="J4" s="2539"/>
      <c r="K4" s="2539"/>
      <c r="L4" s="1192"/>
    </row>
    <row r="5" spans="1:12" ht="5.25" customHeight="1" x14ac:dyDescent="0.2">
      <c r="B5" s="1081" t="s">
        <v>1161</v>
      </c>
      <c r="C5" s="1081"/>
      <c r="L5" s="300"/>
    </row>
    <row r="6" spans="1:12" ht="30.75" customHeight="1" x14ac:dyDescent="0.2">
      <c r="A6" s="300"/>
      <c r="B6" s="2548" t="s">
        <v>1299</v>
      </c>
      <c r="C6" s="2548"/>
      <c r="D6" s="2548"/>
      <c r="E6" s="2548"/>
      <c r="F6" s="2548"/>
      <c r="G6" s="2548"/>
      <c r="H6" s="2548"/>
      <c r="I6" s="2548"/>
      <c r="J6" s="2548"/>
      <c r="K6" s="2548"/>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8"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30"/>
      <c r="G12" s="2530"/>
      <c r="H12" s="2530"/>
      <c r="I12" s="2530"/>
      <c r="J12" s="2530"/>
      <c r="K12" s="2530"/>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3"/>
      <c r="E14" s="2543"/>
      <c r="F14" s="2543"/>
      <c r="H14" s="1275" t="s">
        <v>1294</v>
      </c>
      <c r="I14" s="2544"/>
      <c r="J14" s="2544"/>
      <c r="K14" s="2544"/>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4"/>
      <c r="E16" s="2544"/>
      <c r="F16" s="2544"/>
      <c r="G16" s="2544"/>
      <c r="H16" s="2544"/>
      <c r="I16" s="2544"/>
      <c r="J16" s="2544"/>
      <c r="K16" s="2544"/>
      <c r="L16" s="300"/>
    </row>
    <row r="17" spans="2:12" ht="13.5" customHeight="1" x14ac:dyDescent="0.2">
      <c r="B17" s="1201" t="s">
        <v>1292</v>
      </c>
      <c r="C17" s="1201"/>
      <c r="D17" s="2545"/>
      <c r="E17" s="2545"/>
      <c r="F17" s="2545"/>
      <c r="G17" s="2545"/>
      <c r="H17" s="2545"/>
      <c r="I17" s="2545"/>
      <c r="J17" s="2545"/>
      <c r="K17" s="2545"/>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8"/>
      <c r="C20" s="2538"/>
      <c r="D20" s="2538"/>
      <c r="E20" s="2538"/>
      <c r="F20" s="2538"/>
      <c r="G20" s="2538"/>
      <c r="H20" s="2538"/>
      <c r="I20" s="2538"/>
      <c r="J20" s="2538"/>
      <c r="K20" s="2538"/>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8"/>
      <c r="C23" s="2538"/>
      <c r="D23" s="2538"/>
      <c r="E23" s="2538"/>
      <c r="F23" s="2538"/>
      <c r="G23" s="2538"/>
      <c r="H23" s="2538"/>
      <c r="I23" s="2538"/>
      <c r="J23" s="2538"/>
      <c r="K23" s="2538"/>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8"/>
      <c r="C26" s="2538"/>
      <c r="D26" s="2538"/>
      <c r="E26" s="2538"/>
      <c r="F26" s="2538"/>
      <c r="G26" s="2538"/>
      <c r="H26" s="2538"/>
      <c r="I26" s="2538"/>
      <c r="J26" s="2538"/>
      <c r="K26" s="2538"/>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8"/>
      <c r="C29" s="2538"/>
      <c r="D29" s="2538"/>
      <c r="E29" s="2538"/>
      <c r="F29" s="2538"/>
      <c r="G29" s="2538"/>
      <c r="H29" s="2538"/>
      <c r="I29" s="2538"/>
      <c r="J29" s="2538"/>
      <c r="K29" s="2538"/>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8"/>
      <c r="C32" s="2538"/>
      <c r="D32" s="2538"/>
      <c r="E32" s="2538"/>
      <c r="F32" s="2538"/>
      <c r="G32" s="2538"/>
      <c r="H32" s="2538"/>
      <c r="I32" s="2538"/>
      <c r="J32" s="2538"/>
      <c r="K32" s="2538"/>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8"/>
      <c r="C35" s="2538"/>
      <c r="D35" s="2538"/>
      <c r="E35" s="2538"/>
      <c r="F35" s="2538"/>
      <c r="G35" s="2538"/>
      <c r="H35" s="2538"/>
      <c r="I35" s="2538"/>
      <c r="J35" s="2538"/>
      <c r="K35" s="2538"/>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8"/>
      <c r="C38" s="2538"/>
      <c r="D38" s="2538"/>
      <c r="E38" s="2538"/>
      <c r="F38" s="2538"/>
      <c r="G38" s="2538"/>
      <c r="H38" s="2538"/>
      <c r="I38" s="2538"/>
      <c r="J38" s="2538"/>
      <c r="K38" s="2538"/>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8"/>
      <c r="C41" s="2538"/>
      <c r="D41" s="2538"/>
      <c r="E41" s="2538"/>
      <c r="F41" s="2538"/>
      <c r="G41" s="2538"/>
      <c r="H41" s="2538"/>
      <c r="I41" s="2538"/>
      <c r="J41" s="2538"/>
      <c r="K41" s="2538"/>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23" t="str">
        <f>'Single Audit Cover'!A7</f>
        <v xml:space="preserve">  Rooks Creek CCSD 425</v>
      </c>
      <c r="C1" s="2523"/>
      <c r="D1" s="2523"/>
      <c r="E1" s="1285"/>
    </row>
    <row r="2" spans="2:5" s="1103" customFormat="1" ht="12.75" customHeight="1" x14ac:dyDescent="0.2">
      <c r="B2" s="2525">
        <f>'Single Audit Cover'!E7</f>
        <v>17053425004</v>
      </c>
      <c r="C2" s="2525"/>
      <c r="D2" s="2525"/>
      <c r="E2" s="1286"/>
    </row>
    <row r="3" spans="2:5" ht="12.75" customHeight="1" x14ac:dyDescent="0.2">
      <c r="B3" s="2539" t="s">
        <v>1746</v>
      </c>
      <c r="C3" s="2539"/>
      <c r="D3" s="2539"/>
      <c r="E3" s="1095"/>
    </row>
    <row r="4" spans="2:5" s="1103" customFormat="1" ht="12.75" customHeight="1" x14ac:dyDescent="0.2">
      <c r="B4" s="2549" t="str">
        <f>'Single Audit Cover'!A4</f>
        <v>Year Ending June 30, 2020</v>
      </c>
      <c r="C4" s="2549"/>
      <c r="D4" s="2549"/>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2" t="s">
        <v>383</v>
      </c>
      <c r="B1" s="2142"/>
      <c r="C1" s="2142"/>
      <c r="D1" s="2142"/>
      <c r="E1" s="2142"/>
      <c r="F1" s="2142"/>
      <c r="G1" s="2142"/>
      <c r="H1" s="2142"/>
      <c r="I1" s="2142"/>
      <c r="J1" s="2142"/>
      <c r="K1" s="2142"/>
      <c r="L1" s="2142"/>
      <c r="M1" s="214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20980307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2.9894299999999999E-2</v>
      </c>
      <c r="E10" s="333" t="s">
        <v>998</v>
      </c>
      <c r="F10" s="332">
        <v>2.5739000000000001E-3</v>
      </c>
      <c r="G10" s="333" t="s">
        <v>998</v>
      </c>
      <c r="H10" s="332">
        <v>1.0486E-3</v>
      </c>
      <c r="I10" s="333" t="s">
        <v>999</v>
      </c>
      <c r="J10" s="1473">
        <f>ROUND(D10+F10+H10,5)</f>
        <v>3.3520000000000001E-2</v>
      </c>
      <c r="K10" s="217"/>
      <c r="L10" s="332">
        <v>0</v>
      </c>
      <c r="M10" s="217"/>
    </row>
    <row r="11" spans="1:14" ht="7.5" customHeight="1" x14ac:dyDescent="0.2">
      <c r="B11" s="217"/>
      <c r="C11" s="217"/>
      <c r="D11" s="2152" t="str">
        <f>IF(SUM(J10)&lt;=0.0999999,"","Enter the Tax Rates by moving the decimal two places to the left.")</f>
        <v/>
      </c>
      <c r="E11" s="2153"/>
      <c r="F11" s="2153"/>
      <c r="G11" s="2153"/>
      <c r="H11" s="2153"/>
      <c r="I11" s="2153"/>
      <c r="J11" s="215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825954</v>
      </c>
      <c r="E16" s="1597"/>
      <c r="F16" s="1596">
        <f>SUM('Acct Summary 7-8'!C17,'Acct Summary 7-8'!D17,'Acct Summary 7-8'!F17)</f>
        <v>853416</v>
      </c>
      <c r="G16" s="1597"/>
      <c r="H16" s="1596">
        <f>SUM(D16-F16)</f>
        <v>-27462</v>
      </c>
      <c r="I16" s="1598"/>
      <c r="J16" s="1596">
        <f>SUM('Acct Summary 7-8'!C81,'Acct Summary 7-8'!D81,'Acct Summary 7-8'!F81,'Acct Summary 7-8'!I81)</f>
        <v>938420</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74">
        <f>IF(B31="X",(J7*0.069),IF(B32="X",(J7*0.138),"Enter x in a.or b."))</f>
        <v>1447641.1830000002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3"/>
      <c r="C54" s="2144"/>
      <c r="D54" s="2144"/>
      <c r="E54" s="2144"/>
      <c r="F54" s="2144"/>
      <c r="G54" s="2144"/>
      <c r="H54" s="2144"/>
      <c r="I54" s="2144"/>
      <c r="J54" s="2144"/>
      <c r="K54" s="2144"/>
      <c r="L54" s="2145"/>
      <c r="M54" s="357"/>
    </row>
    <row r="55" spans="1:13" ht="12.75" customHeight="1" x14ac:dyDescent="0.2">
      <c r="B55" s="2146"/>
      <c r="C55" s="2147"/>
      <c r="D55" s="2147"/>
      <c r="E55" s="2147"/>
      <c r="F55" s="2147"/>
      <c r="G55" s="2147"/>
      <c r="H55" s="2147"/>
      <c r="I55" s="2147"/>
      <c r="J55" s="2147"/>
      <c r="K55" s="2147"/>
      <c r="L55" s="2148"/>
      <c r="M55" s="357"/>
    </row>
    <row r="56" spans="1:13" ht="12.75" customHeight="1" x14ac:dyDescent="0.2">
      <c r="B56" s="2146"/>
      <c r="C56" s="2147"/>
      <c r="D56" s="2147"/>
      <c r="E56" s="2147"/>
      <c r="F56" s="2147"/>
      <c r="G56" s="2147"/>
      <c r="H56" s="2147"/>
      <c r="I56" s="2147"/>
      <c r="J56" s="2147"/>
      <c r="K56" s="2147"/>
      <c r="L56" s="2148"/>
      <c r="M56" s="217"/>
    </row>
    <row r="57" spans="1:13" ht="12.75" customHeight="1" x14ac:dyDescent="0.2">
      <c r="B57" s="2146"/>
      <c r="C57" s="2147"/>
      <c r="D57" s="2147"/>
      <c r="E57" s="2147"/>
      <c r="F57" s="2147"/>
      <c r="G57" s="2147"/>
      <c r="H57" s="2147"/>
      <c r="I57" s="2147"/>
      <c r="J57" s="2147"/>
      <c r="K57" s="2147"/>
      <c r="L57" s="2148"/>
      <c r="M57" s="217"/>
    </row>
    <row r="58" spans="1:13" x14ac:dyDescent="0.2">
      <c r="B58" s="2149"/>
      <c r="C58" s="2150"/>
      <c r="D58" s="2150"/>
      <c r="E58" s="2150"/>
      <c r="F58" s="2150"/>
      <c r="G58" s="2150"/>
      <c r="H58" s="2150"/>
      <c r="I58" s="2150"/>
      <c r="J58" s="2150"/>
      <c r="K58" s="2150"/>
      <c r="L58" s="215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4"/>
      <c r="D61" s="215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4" zoomScale="110" zoomScaleNormal="110" workbookViewId="0">
      <selection activeCell="H32" sqref="H3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7"/>
      <c r="B1" s="2158"/>
      <c r="C1" s="2158"/>
      <c r="D1" s="361"/>
      <c r="E1" s="361"/>
      <c r="F1" s="361"/>
      <c r="G1" s="361"/>
      <c r="H1" s="361"/>
      <c r="I1" s="361"/>
      <c r="J1" s="361"/>
      <c r="K1" s="361"/>
      <c r="L1" s="361"/>
      <c r="M1" s="361"/>
      <c r="N1" s="361"/>
      <c r="O1" s="2157"/>
      <c r="P1" s="2158"/>
      <c r="Q1" s="2158"/>
    </row>
    <row r="2" spans="1:18" ht="15" x14ac:dyDescent="0.2">
      <c r="A2" s="2161" t="s">
        <v>552</v>
      </c>
      <c r="B2" s="2161"/>
      <c r="C2" s="2161"/>
      <c r="D2" s="2161"/>
      <c r="E2" s="2161"/>
      <c r="F2" s="2161"/>
      <c r="G2" s="2161"/>
      <c r="H2" s="2161"/>
      <c r="I2" s="2161"/>
      <c r="J2" s="2161"/>
      <c r="K2" s="2161"/>
      <c r="L2" s="2161"/>
      <c r="M2" s="2161"/>
      <c r="N2" s="2161"/>
      <c r="O2" s="2161"/>
      <c r="P2" s="2161"/>
      <c r="Q2" s="2161"/>
      <c r="R2" s="2161"/>
    </row>
    <row r="3" spans="1:18" ht="12.75" x14ac:dyDescent="0.2">
      <c r="A3" s="2162" t="s">
        <v>1399</v>
      </c>
      <c r="B3" s="2162"/>
      <c r="C3" s="2162"/>
      <c r="D3" s="2162"/>
      <c r="E3" s="2162"/>
      <c r="F3" s="2162"/>
      <c r="G3" s="2162"/>
      <c r="H3" s="2162"/>
      <c r="I3" s="2162"/>
      <c r="J3" s="2162"/>
      <c r="K3" s="2162"/>
      <c r="L3" s="2162"/>
      <c r="M3" s="2162"/>
      <c r="N3" s="2162"/>
      <c r="O3" s="2162"/>
      <c r="P3" s="2162"/>
      <c r="Q3" s="2162"/>
      <c r="R3" s="2162"/>
    </row>
    <row r="4" spans="1:18" x14ac:dyDescent="0.2">
      <c r="A4" s="2163" t="s">
        <v>1540</v>
      </c>
      <c r="B4" s="2163"/>
      <c r="C4" s="2163"/>
      <c r="D4" s="2163"/>
      <c r="E4" s="2163"/>
      <c r="F4" s="2163"/>
      <c r="G4" s="2163"/>
      <c r="H4" s="2163"/>
      <c r="I4" s="2163"/>
      <c r="J4" s="2163"/>
      <c r="K4" s="2163"/>
      <c r="L4" s="2163"/>
      <c r="M4" s="2163"/>
      <c r="N4" s="2163"/>
      <c r="O4" s="2163"/>
      <c r="P4" s="2163"/>
      <c r="Q4" s="2163"/>
      <c r="R4" s="216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Rooks Creek CCSD 425</v>
      </c>
      <c r="E7" s="368"/>
      <c r="G7" s="247"/>
      <c r="H7" s="364"/>
      <c r="I7" s="364"/>
      <c r="J7" s="364"/>
      <c r="K7" s="364"/>
      <c r="L7" s="307"/>
      <c r="M7" s="307"/>
      <c r="N7" s="307"/>
      <c r="O7" s="307"/>
      <c r="P7" s="307"/>
    </row>
    <row r="8" spans="1:18" ht="12.75" x14ac:dyDescent="0.2">
      <c r="A8" s="307"/>
      <c r="B8" s="307"/>
      <c r="C8" s="366" t="s">
        <v>1117</v>
      </c>
      <c r="D8" s="369">
        <f>COVER!A13</f>
        <v>17053425004</v>
      </c>
      <c r="E8" s="370"/>
      <c r="G8" s="307"/>
      <c r="H8" s="307"/>
      <c r="I8" s="307"/>
      <c r="J8" s="307"/>
      <c r="K8" s="307"/>
      <c r="L8" s="307"/>
      <c r="M8" s="307"/>
      <c r="N8" s="307"/>
      <c r="O8" s="307"/>
      <c r="P8" s="307"/>
    </row>
    <row r="9" spans="1:18" ht="12.75" x14ac:dyDescent="0.2">
      <c r="A9" s="307"/>
      <c r="B9" s="307"/>
      <c r="C9" s="366" t="s">
        <v>708</v>
      </c>
      <c r="D9" s="371" t="str">
        <f>COVER!A15</f>
        <v>Livingston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938420</v>
      </c>
      <c r="I12" s="380"/>
      <c r="J12" s="380"/>
      <c r="K12" s="1609">
        <f>TRUNC((H12/H13*100000),5)/100000</f>
        <v>1.1361649679999999</v>
      </c>
      <c r="L12" s="381"/>
      <c r="M12" s="337" t="s">
        <v>1136</v>
      </c>
      <c r="N12" s="337"/>
      <c r="O12" s="1612">
        <v>0.35</v>
      </c>
      <c r="P12" s="213"/>
      <c r="Q12" s="213"/>
    </row>
    <row r="13" spans="1:18" s="382" customFormat="1" ht="12.75" x14ac:dyDescent="0.2">
      <c r="A13" s="213"/>
      <c r="B13" s="377"/>
      <c r="C13" s="2159" t="s">
        <v>1315</v>
      </c>
      <c r="D13" s="2160"/>
      <c r="E13" s="213"/>
      <c r="F13" s="383" t="s">
        <v>788</v>
      </c>
      <c r="G13" s="378"/>
      <c r="H13" s="1601">
        <f>SUM('Acct Summary 7-8'!C8+'Acct Summary 7-8'!D8+'Acct Summary 7-8'!F8+'Acct Summary 7-8'!I8)+H14</f>
        <v>825954</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3</v>
      </c>
      <c r="P16" s="211"/>
      <c r="R16" s="361"/>
    </row>
    <row r="17" spans="1:18" s="382" customFormat="1" ht="11.25" x14ac:dyDescent="0.2">
      <c r="A17" s="213"/>
      <c r="B17" s="377"/>
      <c r="C17" s="213" t="s">
        <v>792</v>
      </c>
      <c r="D17" s="213"/>
      <c r="E17" s="213"/>
      <c r="F17" s="213" t="s">
        <v>441</v>
      </c>
      <c r="G17" s="378"/>
      <c r="H17" s="1601">
        <f>SUM('Acct Summary 7-8'!C17+'Acct Summary 7-8'!D17+'Acct Summary 7-8'!F17)</f>
        <v>853416</v>
      </c>
      <c r="I17" s="380"/>
      <c r="J17" s="389"/>
      <c r="K17" s="1609">
        <f>TRUNC((H17/H18*100000),5)/100000</f>
        <v>1.0332488249</v>
      </c>
      <c r="L17" s="381"/>
      <c r="M17" s="390" t="s">
        <v>1163</v>
      </c>
      <c r="O17" s="1615" t="str">
        <f>IF(AND(O16="2", J20 &gt; 2),"1",IF(AND(O16 = "1", J20 &gt; 2),"2",IF(AND(O16="1", J20 &gt;1),"1","0")))</f>
        <v>0</v>
      </c>
      <c r="P17" s="213"/>
    </row>
    <row r="18" spans="1:18" s="382" customFormat="1" ht="11.25" x14ac:dyDescent="0.2">
      <c r="A18" s="213"/>
      <c r="B18" s="377"/>
      <c r="C18" s="2159" t="s">
        <v>1308</v>
      </c>
      <c r="D18" s="2160"/>
      <c r="E18" s="213"/>
      <c r="F18" s="391" t="s">
        <v>789</v>
      </c>
      <c r="G18" s="378"/>
      <c r="H18" s="1601">
        <f>SUM('Acct Summary 7-8'!C8+'Acct Summary 7-8'!D8+'Acct Summary 7-8'!F8+'Acct Summary 7-8'!I8)+H19</f>
        <v>825954</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31.163957500000002</v>
      </c>
      <c r="K20" s="1609" t="str">
        <f>IF(K17&lt;=1,"0",IF(AND(O16="2", J20 &gt; 2),TRUNC(((K12-0.1)/(K17-1)*100),5)/100,IF(AND(O16 = "1", J20 &gt; 2),TRUNC(((K12-0.1)/(K17-1)*100),5)/100,IF(AND(O16="1", J20 &gt;1),TRUNC(((K12-0.1)/(K17-1)*100),5)/100,""))))</f>
        <v/>
      </c>
      <c r="L20" s="213"/>
      <c r="M20" s="337" t="s">
        <v>1137</v>
      </c>
      <c r="N20" s="337"/>
      <c r="O20" s="1613">
        <f>(O16+O17)*O18</f>
        <v>1.0499999999999998</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56" t="s">
        <v>1398</v>
      </c>
      <c r="D24" s="2156"/>
      <c r="E24" s="213"/>
      <c r="F24" s="213" t="s">
        <v>442</v>
      </c>
      <c r="G24" s="378"/>
      <c r="H24" s="1601">
        <f>SUM('Assets-Liab 5-6'!C4+'Assets-Liab 5-6'!D4+'Assets-Liab 5-6'!F4+'Assets-Liab 5-6'!I4+'Assets-Liab 5-6'!C5+'Assets-Liab 5-6'!D5+'Assets-Liab 5-6'!F5+'Assets-Liab 5-6'!I5)</f>
        <v>938420</v>
      </c>
      <c r="I24" s="394"/>
      <c r="J24" s="394"/>
      <c r="K24" s="1605">
        <f>TRUNC(((H24/H25*100000)/100000),2)</f>
        <v>395.85</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2370.6</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597770.90703999996</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0</v>
      </c>
      <c r="I32" s="392"/>
      <c r="J32" s="392"/>
      <c r="K32" s="1605">
        <f>TRUNC(100-((((H32/H33*100))*100)/100),2)</f>
        <v>100</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1447641.1830000002</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8" activePane="bottomLeft" state="frozen"/>
      <selection pane="bottomLeft" activeCell="J39" sqref="J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6" t="s">
        <v>967</v>
      </c>
      <c r="B3" s="2167"/>
      <c r="C3" s="1351"/>
      <c r="D3" s="1352"/>
      <c r="E3" s="1352"/>
      <c r="F3" s="1352"/>
      <c r="G3" s="1352"/>
      <c r="H3" s="1352"/>
      <c r="I3" s="1352"/>
      <c r="J3" s="1352"/>
      <c r="K3" s="1352"/>
      <c r="L3" s="1352"/>
      <c r="M3" s="1353"/>
      <c r="N3" s="1354"/>
    </row>
    <row r="4" spans="1:14" ht="13.5" customHeight="1" x14ac:dyDescent="0.2">
      <c r="A4" s="427" t="s">
        <v>1635</v>
      </c>
      <c r="B4" s="428"/>
      <c r="C4" s="1622">
        <v>436211</v>
      </c>
      <c r="D4" s="1623">
        <v>259326</v>
      </c>
      <c r="E4" s="1623">
        <v>6989</v>
      </c>
      <c r="F4" s="1623">
        <v>242883</v>
      </c>
      <c r="G4" s="1623">
        <v>21932</v>
      </c>
      <c r="H4" s="1623">
        <v>13831</v>
      </c>
      <c r="I4" s="1623">
        <v>0</v>
      </c>
      <c r="J4" s="1624">
        <v>20619</v>
      </c>
      <c r="K4" s="1623">
        <v>58178</v>
      </c>
      <c r="L4" s="1623">
        <v>294</v>
      </c>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436211</v>
      </c>
      <c r="D13" s="1637">
        <f t="shared" ref="D13:L13" si="0">SUM(D4:D12)</f>
        <v>259326</v>
      </c>
      <c r="E13" s="1637">
        <f t="shared" si="0"/>
        <v>6989</v>
      </c>
      <c r="F13" s="1637">
        <f t="shared" si="0"/>
        <v>242883</v>
      </c>
      <c r="G13" s="1637">
        <f t="shared" si="0"/>
        <v>21932</v>
      </c>
      <c r="H13" s="1637">
        <f t="shared" si="0"/>
        <v>13831</v>
      </c>
      <c r="I13" s="1637">
        <f t="shared" si="0"/>
        <v>0</v>
      </c>
      <c r="J13" s="1637">
        <f t="shared" si="0"/>
        <v>20619</v>
      </c>
      <c r="K13" s="1637">
        <f t="shared" si="0"/>
        <v>58178</v>
      </c>
      <c r="L13" s="1637">
        <f t="shared" si="0"/>
        <v>294</v>
      </c>
      <c r="M13" s="1625"/>
      <c r="N13" s="1626"/>
    </row>
    <row r="14" spans="1:14" ht="18" customHeight="1" thickTop="1" x14ac:dyDescent="0.2">
      <c r="A14" s="2168" t="s">
        <v>146</v>
      </c>
      <c r="B14" s="2169"/>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2500</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264880</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9822</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160040</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437242</v>
      </c>
      <c r="N23" s="1644">
        <f>SUM(N21:N22)</f>
        <v>0</v>
      </c>
    </row>
    <row r="24" spans="1:14" ht="18" customHeight="1" thickTop="1" x14ac:dyDescent="0.2">
      <c r="A24" s="2170" t="s">
        <v>594</v>
      </c>
      <c r="B24" s="2171"/>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294</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294</v>
      </c>
      <c r="M34" s="1625"/>
      <c r="N34" s="1635"/>
    </row>
    <row r="35" spans="1:14" ht="18" customHeight="1" thickTop="1" x14ac:dyDescent="0.2">
      <c r="A35" s="2172" t="s">
        <v>526</v>
      </c>
      <c r="B35" s="2173"/>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436211</v>
      </c>
      <c r="D39" s="1623">
        <v>259326</v>
      </c>
      <c r="E39" s="1623">
        <v>6989</v>
      </c>
      <c r="F39" s="1623">
        <v>242883</v>
      </c>
      <c r="G39" s="1623">
        <v>21932</v>
      </c>
      <c r="H39" s="1623">
        <v>13831</v>
      </c>
      <c r="I39" s="1623">
        <v>0</v>
      </c>
      <c r="J39" s="1624">
        <v>20619</v>
      </c>
      <c r="K39" s="1623">
        <v>58178</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437242</v>
      </c>
      <c r="N40" s="1654"/>
    </row>
    <row r="41" spans="1:14" ht="13.5" customHeight="1" thickBot="1" x14ac:dyDescent="0.25">
      <c r="A41" s="1475" t="s">
        <v>650</v>
      </c>
      <c r="B41" s="1454"/>
      <c r="C41" s="1644">
        <f>(SUM(C34,C37,C38,C39))</f>
        <v>436211</v>
      </c>
      <c r="D41" s="1644">
        <f t="shared" ref="D41:L41" si="2">SUM(D34,D37,D38:D39)</f>
        <v>259326</v>
      </c>
      <c r="E41" s="1644">
        <f t="shared" si="2"/>
        <v>6989</v>
      </c>
      <c r="F41" s="1644">
        <f t="shared" si="2"/>
        <v>242883</v>
      </c>
      <c r="G41" s="1644">
        <f t="shared" si="2"/>
        <v>21932</v>
      </c>
      <c r="H41" s="1644">
        <f t="shared" si="2"/>
        <v>13831</v>
      </c>
      <c r="I41" s="1644">
        <f t="shared" si="2"/>
        <v>0</v>
      </c>
      <c r="J41" s="1644">
        <f t="shared" si="2"/>
        <v>20619</v>
      </c>
      <c r="K41" s="1644">
        <f t="shared" si="2"/>
        <v>58178</v>
      </c>
      <c r="L41" s="1644">
        <f t="shared" si="2"/>
        <v>294</v>
      </c>
      <c r="M41" s="1644">
        <f>SUM(M40)</f>
        <v>437242</v>
      </c>
      <c r="N41" s="164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7" activePane="bottomLeft" state="frozen"/>
      <selection pane="bottomLeft" activeCell="K79" sqref="K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4" t="s">
        <v>1167</v>
      </c>
      <c r="B3" s="2195"/>
      <c r="C3" s="1356"/>
      <c r="D3" s="1357"/>
      <c r="E3" s="1357"/>
      <c r="F3" s="1357"/>
      <c r="G3" s="1357"/>
      <c r="H3" s="1357"/>
      <c r="I3" s="1357"/>
      <c r="J3" s="1357"/>
      <c r="K3" s="1358"/>
      <c r="L3" s="446"/>
    </row>
    <row r="4" spans="1:13" ht="15.75" customHeight="1" x14ac:dyDescent="0.2">
      <c r="A4" s="1587" t="s">
        <v>1485</v>
      </c>
      <c r="B4" s="1588">
        <v>1000</v>
      </c>
      <c r="C4" s="1656">
        <f>'Revenues 9-14'!C109</f>
        <v>657898</v>
      </c>
      <c r="D4" s="1656">
        <f>'Revenues 9-14'!D109</f>
        <v>59607</v>
      </c>
      <c r="E4" s="1656">
        <f>'Revenues 9-14'!E109</f>
        <v>0</v>
      </c>
      <c r="F4" s="1656">
        <f>'Revenues 9-14'!F109</f>
        <v>22052</v>
      </c>
      <c r="G4" s="1656">
        <f>'Revenues 9-14'!G109</f>
        <v>19595</v>
      </c>
      <c r="H4" s="1656">
        <f>'Revenues 9-14'!H109</f>
        <v>0</v>
      </c>
      <c r="I4" s="1656">
        <f>'Revenues 9-14'!I109</f>
        <v>0</v>
      </c>
      <c r="J4" s="1656">
        <f>'Revenues 9-14'!J109</f>
        <v>19592</v>
      </c>
      <c r="K4" s="1656">
        <f>'Revenues 9-14'!K109</f>
        <v>0</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31661</v>
      </c>
      <c r="D6" s="1657">
        <f>'Revenues 9-14'!D170</f>
        <v>0</v>
      </c>
      <c r="E6" s="1657">
        <f>'Revenues 9-14'!E170</f>
        <v>0</v>
      </c>
      <c r="F6" s="1657">
        <f>'Revenues 9-14'!F170</f>
        <v>31426</v>
      </c>
      <c r="G6" s="1657">
        <f>'Revenues 9-14'!G170</f>
        <v>0</v>
      </c>
      <c r="H6" s="1657">
        <f>'Revenues 9-14'!H170</f>
        <v>25727</v>
      </c>
      <c r="I6" s="1657">
        <f>'Revenues 9-14'!I170</f>
        <v>0</v>
      </c>
      <c r="J6" s="1657">
        <f>'Revenues 9-14'!J170</f>
        <v>0</v>
      </c>
      <c r="K6" s="1657">
        <f>'Revenues 9-14'!K170</f>
        <v>0</v>
      </c>
      <c r="L6" s="325"/>
      <c r="M6" s="448"/>
    </row>
    <row r="7" spans="1:13" ht="15.75" customHeight="1" x14ac:dyDescent="0.2">
      <c r="A7" s="1359" t="s">
        <v>1488</v>
      </c>
      <c r="B7" s="1361">
        <v>4000</v>
      </c>
      <c r="C7" s="1657">
        <f>'Revenues 9-14'!C267</f>
        <v>23310</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712869</v>
      </c>
      <c r="D8" s="1644">
        <f t="shared" ref="D8:K8" si="0">SUM(D4:D7)</f>
        <v>59607</v>
      </c>
      <c r="E8" s="1644">
        <f t="shared" si="0"/>
        <v>0</v>
      </c>
      <c r="F8" s="1644">
        <f t="shared" si="0"/>
        <v>53478</v>
      </c>
      <c r="G8" s="1644">
        <f t="shared" si="0"/>
        <v>19595</v>
      </c>
      <c r="H8" s="1644">
        <f t="shared" si="0"/>
        <v>25727</v>
      </c>
      <c r="I8" s="1644">
        <f t="shared" si="0"/>
        <v>0</v>
      </c>
      <c r="J8" s="1644">
        <f t="shared" si="0"/>
        <v>19592</v>
      </c>
      <c r="K8" s="1644">
        <f t="shared" si="0"/>
        <v>0</v>
      </c>
      <c r="L8" s="325"/>
    </row>
    <row r="9" spans="1:13" ht="15.75" thickTop="1" x14ac:dyDescent="0.2">
      <c r="A9" s="449" t="s">
        <v>1637</v>
      </c>
      <c r="B9" s="450">
        <v>3998</v>
      </c>
      <c r="C9" s="1636">
        <v>57223</v>
      </c>
      <c r="D9" s="1663"/>
      <c r="E9" s="1636"/>
      <c r="F9" s="1636"/>
      <c r="G9" s="1664"/>
      <c r="H9" s="1636"/>
      <c r="I9" s="1659" t="s">
        <v>1161</v>
      </c>
      <c r="J9" s="1633"/>
      <c r="K9" s="1636"/>
      <c r="L9" s="325"/>
    </row>
    <row r="10" spans="1:13" s="452" customFormat="1" ht="13.5" thickBot="1" x14ac:dyDescent="0.25">
      <c r="A10" s="1475" t="s">
        <v>1165</v>
      </c>
      <c r="B10" s="1456"/>
      <c r="C10" s="1644">
        <f>SUM(C8:C9)</f>
        <v>770092</v>
      </c>
      <c r="D10" s="1644">
        <f t="shared" ref="D10:K10" si="1">SUM(D8:D9)</f>
        <v>59607</v>
      </c>
      <c r="E10" s="1644">
        <f t="shared" si="1"/>
        <v>0</v>
      </c>
      <c r="F10" s="1644">
        <f t="shared" si="1"/>
        <v>53478</v>
      </c>
      <c r="G10" s="1644">
        <f t="shared" si="1"/>
        <v>19595</v>
      </c>
      <c r="H10" s="1644">
        <f t="shared" si="1"/>
        <v>25727</v>
      </c>
      <c r="I10" s="1644">
        <f t="shared" si="1"/>
        <v>0</v>
      </c>
      <c r="J10" s="1644">
        <f t="shared" si="1"/>
        <v>19592</v>
      </c>
      <c r="K10" s="1644">
        <f t="shared" si="1"/>
        <v>0</v>
      </c>
      <c r="L10" s="451"/>
    </row>
    <row r="11" spans="1:13" s="452" customFormat="1" ht="16.7" customHeight="1" thickTop="1" x14ac:dyDescent="0.2">
      <c r="A11" s="2168" t="s">
        <v>1168</v>
      </c>
      <c r="B11" s="2169"/>
      <c r="C11" s="1652"/>
      <c r="D11" s="1653"/>
      <c r="E11" s="1653"/>
      <c r="F11" s="1653"/>
      <c r="G11" s="1653"/>
      <c r="H11" s="1653"/>
      <c r="I11" s="1653"/>
      <c r="J11" s="1653"/>
      <c r="K11" s="1665"/>
      <c r="L11" s="451"/>
    </row>
    <row r="12" spans="1:13" ht="15.75" customHeight="1" x14ac:dyDescent="0.2">
      <c r="A12" s="1359" t="s">
        <v>453</v>
      </c>
      <c r="B12" s="1361">
        <v>1000</v>
      </c>
      <c r="C12" s="1656">
        <f>'Expenditures 15-22'!K33</f>
        <v>439524</v>
      </c>
      <c r="D12" s="1666" t="s">
        <v>1161</v>
      </c>
      <c r="E12" s="1625" t="s">
        <v>1161</v>
      </c>
      <c r="F12" s="1625" t="s">
        <v>1161</v>
      </c>
      <c r="G12" s="1656">
        <f>'Expenditures 15-22'!K229</f>
        <v>10742</v>
      </c>
      <c r="H12" s="1667"/>
      <c r="I12" s="1625" t="s">
        <v>1161</v>
      </c>
      <c r="J12" s="1625" t="s">
        <v>1161</v>
      </c>
      <c r="K12" s="1667" t="s">
        <v>1161</v>
      </c>
      <c r="L12" s="325"/>
    </row>
    <row r="13" spans="1:13" ht="15.75" customHeight="1" x14ac:dyDescent="0.2">
      <c r="A13" s="1359" t="s">
        <v>454</v>
      </c>
      <c r="B13" s="1361">
        <v>2000</v>
      </c>
      <c r="C13" s="1657">
        <f>'Expenditures 15-22'!K74</f>
        <v>233915</v>
      </c>
      <c r="D13" s="1657">
        <f>'Expenditures 15-22'!K129</f>
        <v>69163</v>
      </c>
      <c r="E13" s="1626" t="s">
        <v>1161</v>
      </c>
      <c r="F13" s="1657">
        <f>'Expenditures 15-22'!K184</f>
        <v>64391</v>
      </c>
      <c r="G13" s="1657">
        <f>'Expenditures 15-22'!K279</f>
        <v>13181</v>
      </c>
      <c r="H13" s="1657">
        <f>'Expenditures 15-22'!K303</f>
        <v>30080</v>
      </c>
      <c r="I13" s="1625" t="s">
        <v>1161</v>
      </c>
      <c r="J13" s="1657">
        <f>'Expenditures 15-22'!K330</f>
        <v>14227</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46423</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719862</v>
      </c>
      <c r="D17" s="1644">
        <f t="shared" si="2"/>
        <v>69163</v>
      </c>
      <c r="E17" s="1644">
        <f t="shared" si="2"/>
        <v>0</v>
      </c>
      <c r="F17" s="1644">
        <f t="shared" si="2"/>
        <v>64391</v>
      </c>
      <c r="G17" s="1644">
        <f t="shared" si="2"/>
        <v>23923</v>
      </c>
      <c r="H17" s="1644">
        <f t="shared" si="2"/>
        <v>30080</v>
      </c>
      <c r="I17" s="1625"/>
      <c r="J17" s="1644">
        <f>SUM(J12:J16)</f>
        <v>14227</v>
      </c>
      <c r="K17" s="1644">
        <f>SUM(K12:K16)</f>
        <v>0</v>
      </c>
      <c r="L17" s="325"/>
    </row>
    <row r="18" spans="1:12" ht="15" customHeight="1" thickTop="1" x14ac:dyDescent="0.2">
      <c r="A18" s="1479" t="s">
        <v>1638</v>
      </c>
      <c r="B18" s="1480">
        <v>4180</v>
      </c>
      <c r="C18" s="1656">
        <f t="shared" ref="C18:H18" si="3">C9</f>
        <v>57223</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777085</v>
      </c>
      <c r="D19" s="1644">
        <f t="shared" si="4"/>
        <v>69163</v>
      </c>
      <c r="E19" s="1644">
        <f t="shared" si="4"/>
        <v>0</v>
      </c>
      <c r="F19" s="1644">
        <f t="shared" si="4"/>
        <v>64391</v>
      </c>
      <c r="G19" s="1644">
        <f t="shared" si="4"/>
        <v>23923</v>
      </c>
      <c r="H19" s="1644">
        <f t="shared" si="4"/>
        <v>30080</v>
      </c>
      <c r="I19" s="1625"/>
      <c r="J19" s="1644">
        <f>SUM(J17:J18)</f>
        <v>14227</v>
      </c>
      <c r="K19" s="1644">
        <f>SUM(K17:K18)</f>
        <v>0</v>
      </c>
      <c r="L19" s="325"/>
    </row>
    <row r="20" spans="1:12" ht="16.5" thickTop="1" thickBot="1" x14ac:dyDescent="0.25">
      <c r="A20" s="2184" t="s">
        <v>1639</v>
      </c>
      <c r="B20" s="2185"/>
      <c r="C20" s="1672">
        <f>C8-C17</f>
        <v>-6993</v>
      </c>
      <c r="D20" s="1672">
        <f t="shared" ref="D20:K20" si="5">D8-D17</f>
        <v>-9556</v>
      </c>
      <c r="E20" s="1672">
        <f t="shared" si="5"/>
        <v>0</v>
      </c>
      <c r="F20" s="1672">
        <f t="shared" si="5"/>
        <v>-10913</v>
      </c>
      <c r="G20" s="1672">
        <f t="shared" si="5"/>
        <v>-4328</v>
      </c>
      <c r="H20" s="1672">
        <f t="shared" si="5"/>
        <v>-4353</v>
      </c>
      <c r="I20" s="1672">
        <f t="shared" si="5"/>
        <v>0</v>
      </c>
      <c r="J20" s="1672">
        <f t="shared" si="5"/>
        <v>5365</v>
      </c>
      <c r="K20" s="1672">
        <f t="shared" si="5"/>
        <v>0</v>
      </c>
      <c r="L20" s="325"/>
    </row>
    <row r="21" spans="1:12" ht="16.7" customHeight="1" thickTop="1" x14ac:dyDescent="0.2">
      <c r="A21" s="2196" t="s">
        <v>591</v>
      </c>
      <c r="B21" s="2197"/>
      <c r="C21" s="1652"/>
      <c r="D21" s="1653"/>
      <c r="E21" s="1653"/>
      <c r="F21" s="1653"/>
      <c r="G21" s="1653"/>
      <c r="H21" s="1653"/>
      <c r="I21" s="1653"/>
      <c r="J21" s="1653"/>
      <c r="K21" s="1665"/>
      <c r="L21" s="453"/>
    </row>
    <row r="22" spans="1:12" ht="15.75" customHeight="1" collapsed="1" x14ac:dyDescent="0.2">
      <c r="A22" s="2192" t="s">
        <v>592</v>
      </c>
      <c r="B22" s="2193"/>
      <c r="C22" s="1632"/>
      <c r="D22" s="1632"/>
      <c r="E22" s="1632"/>
      <c r="F22" s="1632"/>
      <c r="G22" s="1632"/>
      <c r="H22" s="1632"/>
      <c r="I22" s="1632"/>
      <c r="J22" s="1632"/>
      <c r="K22" s="1632"/>
      <c r="L22" s="325"/>
    </row>
    <row r="23" spans="1:12" s="433" customFormat="1" ht="15.75" customHeight="1" x14ac:dyDescent="0.2">
      <c r="A23" s="2188" t="s">
        <v>290</v>
      </c>
      <c r="B23" s="2189"/>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0" t="s">
        <v>974</v>
      </c>
      <c r="B32" s="2191"/>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198" t="s">
        <v>371</v>
      </c>
      <c r="B44" s="2199"/>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92" t="s">
        <v>108</v>
      </c>
      <c r="B45" s="2193"/>
      <c r="C45" s="1675"/>
      <c r="D45" s="1675"/>
      <c r="E45" s="1675"/>
      <c r="F45" s="1675"/>
      <c r="G45" s="1675"/>
      <c r="H45" s="1675"/>
      <c r="I45" s="1675"/>
      <c r="J45" s="1675"/>
      <c r="K45" s="1675"/>
      <c r="L45" s="325"/>
    </row>
    <row r="46" spans="1:12" s="433" customFormat="1" ht="15.75" customHeight="1" x14ac:dyDescent="0.2">
      <c r="A46" s="2200" t="s">
        <v>109</v>
      </c>
      <c r="B46" s="2201"/>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74" t="s">
        <v>437</v>
      </c>
      <c r="B76" s="2175"/>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176" t="s">
        <v>1169</v>
      </c>
      <c r="B77" s="2177"/>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180" t="s">
        <v>593</v>
      </c>
      <c r="B78" s="2181"/>
      <c r="C78" s="1679">
        <f t="shared" ref="C78:K78" si="9">C20+C77</f>
        <v>-6993</v>
      </c>
      <c r="D78" s="1679">
        <f t="shared" si="9"/>
        <v>-9556</v>
      </c>
      <c r="E78" s="1679">
        <f t="shared" si="9"/>
        <v>0</v>
      </c>
      <c r="F78" s="1679">
        <f t="shared" si="9"/>
        <v>-10913</v>
      </c>
      <c r="G78" s="1679">
        <f t="shared" si="9"/>
        <v>-4328</v>
      </c>
      <c r="H78" s="1679">
        <f t="shared" si="9"/>
        <v>-4353</v>
      </c>
      <c r="I78" s="1679">
        <f t="shared" si="9"/>
        <v>0</v>
      </c>
      <c r="J78" s="1679">
        <f t="shared" si="9"/>
        <v>5365</v>
      </c>
      <c r="K78" s="1679">
        <f t="shared" si="9"/>
        <v>0</v>
      </c>
      <c r="L78" s="457"/>
    </row>
    <row r="79" spans="1:12" ht="13.5" thickTop="1" x14ac:dyDescent="0.2">
      <c r="A79" s="1902" t="str">
        <f>"Fund Balances - July 1, "&amp;'AFR20'!E2-1</f>
        <v>Fund Balances - July 1, 2019</v>
      </c>
      <c r="B79" s="458"/>
      <c r="C79" s="1633">
        <v>443204</v>
      </c>
      <c r="D79" s="1680">
        <v>268882</v>
      </c>
      <c r="E79" s="1680">
        <v>6989</v>
      </c>
      <c r="F79" s="1680">
        <v>253796</v>
      </c>
      <c r="G79" s="1680">
        <v>26260</v>
      </c>
      <c r="H79" s="1680">
        <v>18184</v>
      </c>
      <c r="I79" s="1680">
        <v>0</v>
      </c>
      <c r="J79" s="1680">
        <v>15254</v>
      </c>
      <c r="K79" s="1680">
        <v>58178</v>
      </c>
      <c r="L79" s="325"/>
    </row>
    <row r="80" spans="1:12" x14ac:dyDescent="0.2">
      <c r="A80" s="2186" t="s">
        <v>1775</v>
      </c>
      <c r="B80" s="2187"/>
      <c r="C80" s="1624"/>
      <c r="D80" s="1624"/>
      <c r="E80" s="1624"/>
      <c r="F80" s="1624"/>
      <c r="G80" s="1624"/>
      <c r="H80" s="1624"/>
      <c r="I80" s="1624"/>
      <c r="J80" s="1624"/>
      <c r="K80" s="1624"/>
      <c r="L80" s="325"/>
    </row>
    <row r="81" spans="1:12" ht="13.5" thickBot="1" x14ac:dyDescent="0.25">
      <c r="A81" s="2178" t="str">
        <f>"Fund Balances - June 30, "&amp;'AFR20'!E2</f>
        <v>Fund Balances - June 30, 2020</v>
      </c>
      <c r="B81" s="2179"/>
      <c r="C81" s="1644">
        <f>(SUM(C78:C80))</f>
        <v>436211</v>
      </c>
      <c r="D81" s="1644">
        <f>SUM(D78:D80)</f>
        <v>259326</v>
      </c>
      <c r="E81" s="1644">
        <f t="shared" ref="E81:K81" si="10">SUM(E78:E80)</f>
        <v>6989</v>
      </c>
      <c r="F81" s="1644">
        <f t="shared" si="10"/>
        <v>242883</v>
      </c>
      <c r="G81" s="1644">
        <f t="shared" si="10"/>
        <v>21932</v>
      </c>
      <c r="H81" s="1644">
        <f t="shared" si="10"/>
        <v>13831</v>
      </c>
      <c r="I81" s="1644">
        <f t="shared" si="10"/>
        <v>0</v>
      </c>
      <c r="J81" s="1644">
        <f t="shared" si="10"/>
        <v>20619</v>
      </c>
      <c r="K81" s="1644">
        <f t="shared" si="10"/>
        <v>58178</v>
      </c>
      <c r="L81" s="325"/>
    </row>
    <row r="82" spans="1:12" ht="0.75" customHeight="1" thickTop="1" thickBot="1" x14ac:dyDescent="0.25">
      <c r="A82" s="459" t="s">
        <v>340</v>
      </c>
      <c r="B82" s="460"/>
      <c r="C82" s="461">
        <f>(C81-C79)</f>
        <v>-6993</v>
      </c>
      <c r="D82" s="461">
        <f t="shared" ref="D82:K82" si="11">(D81-D79)</f>
        <v>-9556</v>
      </c>
      <c r="E82" s="461">
        <f t="shared" si="11"/>
        <v>0</v>
      </c>
      <c r="F82" s="461">
        <f t="shared" si="11"/>
        <v>-10913</v>
      </c>
      <c r="G82" s="461">
        <f t="shared" si="11"/>
        <v>-4328</v>
      </c>
      <c r="H82" s="461">
        <f t="shared" si="11"/>
        <v>-4353</v>
      </c>
      <c r="I82" s="461">
        <f t="shared" si="11"/>
        <v>0</v>
      </c>
      <c r="J82" s="461">
        <f t="shared" si="11"/>
        <v>5365</v>
      </c>
      <c r="K82" s="461">
        <f t="shared" si="11"/>
        <v>0</v>
      </c>
    </row>
    <row r="83" spans="1:12" ht="14.25" hidden="1" thickTop="1" thickBot="1" x14ac:dyDescent="0.25">
      <c r="A83" s="462" t="s">
        <v>341</v>
      </c>
      <c r="B83" s="428"/>
      <c r="C83" s="463">
        <f>C82/C81</f>
        <v>-1.6031232591566927E-2</v>
      </c>
      <c r="D83" s="463">
        <f t="shared" ref="D83:K83" si="12">D82/D81</f>
        <v>-3.6849371061906638E-2</v>
      </c>
      <c r="E83" s="463">
        <f t="shared" si="12"/>
        <v>0</v>
      </c>
      <c r="F83" s="463">
        <f t="shared" si="12"/>
        <v>-4.49310985124525E-2</v>
      </c>
      <c r="G83" s="463">
        <f t="shared" si="12"/>
        <v>-0.19733722414736457</v>
      </c>
      <c r="H83" s="463">
        <f t="shared" si="12"/>
        <v>-0.31472778540958718</v>
      </c>
      <c r="I83" s="463" t="e">
        <f t="shared" si="12"/>
        <v>#DIV/0!</v>
      </c>
      <c r="J83" s="463">
        <f t="shared" si="12"/>
        <v>0.26019690576652604</v>
      </c>
      <c r="K83" s="463">
        <f t="shared" si="12"/>
        <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46" activePane="bottomLeft" state="frozen"/>
      <selection pane="bottomLeft" activeCell="C258" sqref="C25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2" t="s">
        <v>1782</v>
      </c>
      <c r="B1" s="416"/>
      <c r="C1" s="417" t="s">
        <v>422</v>
      </c>
      <c r="D1" s="417" t="s">
        <v>423</v>
      </c>
      <c r="E1" s="417" t="s">
        <v>424</v>
      </c>
      <c r="F1" s="417" t="s">
        <v>425</v>
      </c>
      <c r="G1" s="417" t="s">
        <v>426</v>
      </c>
      <c r="H1" s="417" t="s">
        <v>427</v>
      </c>
      <c r="I1" s="417" t="s">
        <v>428</v>
      </c>
      <c r="J1" s="417" t="s">
        <v>429</v>
      </c>
      <c r="K1" s="417" t="s">
        <v>751</v>
      </c>
    </row>
    <row r="2" spans="1:12" ht="36" x14ac:dyDescent="0.2">
      <c r="A2" s="218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594068</v>
      </c>
      <c r="D5" s="1636">
        <v>53877</v>
      </c>
      <c r="E5" s="1623"/>
      <c r="F5" s="1681">
        <v>21551</v>
      </c>
      <c r="G5" s="1623">
        <v>9801</v>
      </c>
      <c r="H5" s="1623"/>
      <c r="I5" s="1623"/>
      <c r="J5" s="1624">
        <v>19592</v>
      </c>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c r="D7" s="1623"/>
      <c r="E7" s="1625"/>
      <c r="F7" s="1624"/>
      <c r="G7" s="1624"/>
      <c r="H7" s="1624"/>
      <c r="I7" s="1625"/>
      <c r="J7" s="1625"/>
      <c r="K7" s="1625"/>
    </row>
    <row r="8" spans="1:12" x14ac:dyDescent="0.2">
      <c r="A8" s="427" t="s">
        <v>410</v>
      </c>
      <c r="B8" s="429">
        <v>1150</v>
      </c>
      <c r="C8" s="1630"/>
      <c r="D8" s="1630"/>
      <c r="E8" s="1632"/>
      <c r="F8" s="1632"/>
      <c r="G8" s="1636">
        <v>9793</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594068</v>
      </c>
      <c r="D12" s="1683">
        <f t="shared" si="0"/>
        <v>53877</v>
      </c>
      <c r="E12" s="1683">
        <f t="shared" si="0"/>
        <v>0</v>
      </c>
      <c r="F12" s="1683">
        <f t="shared" si="0"/>
        <v>21551</v>
      </c>
      <c r="G12" s="1683">
        <f t="shared" si="0"/>
        <v>19594</v>
      </c>
      <c r="H12" s="1683">
        <f t="shared" si="0"/>
        <v>0</v>
      </c>
      <c r="I12" s="1683">
        <f t="shared" si="0"/>
        <v>0</v>
      </c>
      <c r="J12" s="1683">
        <f t="shared" si="0"/>
        <v>19592</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35</v>
      </c>
      <c r="D14" s="1623">
        <v>3</v>
      </c>
      <c r="E14" s="1623"/>
      <c r="F14" s="1623">
        <v>1</v>
      </c>
      <c r="G14" s="1623">
        <v>1</v>
      </c>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6092</v>
      </c>
      <c r="D16" s="1623">
        <v>5727</v>
      </c>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6127</v>
      </c>
      <c r="D18" s="1685">
        <f t="shared" ref="D18:K18" si="1">SUM(D14:D17)</f>
        <v>5730</v>
      </c>
      <c r="E18" s="1685">
        <f t="shared" si="1"/>
        <v>0</v>
      </c>
      <c r="F18" s="1685">
        <f t="shared" si="1"/>
        <v>1</v>
      </c>
      <c r="G18" s="1685">
        <f t="shared" si="1"/>
        <v>1</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12175</v>
      </c>
      <c r="D65" s="1623"/>
      <c r="E65" s="1623"/>
      <c r="F65" s="1624"/>
      <c r="G65" s="1623"/>
      <c r="H65" s="1623"/>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12175</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8066</v>
      </c>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v>826</v>
      </c>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8892</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v>35677</v>
      </c>
      <c r="D81" s="1623"/>
      <c r="E81" s="1625"/>
      <c r="F81" s="1625"/>
      <c r="G81" s="1625"/>
      <c r="H81" s="1625"/>
      <c r="I81" s="1625"/>
      <c r="J81" s="1625"/>
      <c r="K81" s="1625"/>
    </row>
    <row r="82" spans="1:11" ht="12.75" customHeight="1" thickBot="1" x14ac:dyDescent="0.25">
      <c r="A82" s="1455" t="s">
        <v>239</v>
      </c>
      <c r="B82" s="1456"/>
      <c r="C82" s="1683">
        <f>SUM(C77:C81)</f>
        <v>35677</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959</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959</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c r="D107" s="1623"/>
      <c r="E107" s="1623"/>
      <c r="F107" s="1623">
        <v>500</v>
      </c>
      <c r="G107" s="1623"/>
      <c r="H107" s="1623"/>
      <c r="I107" s="1623"/>
      <c r="J107" s="1624"/>
      <c r="K107" s="1623"/>
    </row>
    <row r="108" spans="1:12" ht="12.75" customHeight="1" thickBot="1" x14ac:dyDescent="0.25">
      <c r="A108" s="1455" t="s">
        <v>484</v>
      </c>
      <c r="B108" s="1457"/>
      <c r="C108" s="1683">
        <f>SUM(C95:C107)</f>
        <v>0</v>
      </c>
      <c r="D108" s="1683">
        <f t="shared" ref="D108:K108" si="3">SUM(D95:D107)</f>
        <v>0</v>
      </c>
      <c r="E108" s="1683">
        <f t="shared" si="3"/>
        <v>0</v>
      </c>
      <c r="F108" s="1683">
        <f t="shared" si="3"/>
        <v>500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657898</v>
      </c>
      <c r="D109" s="1691">
        <f t="shared" si="4"/>
        <v>59607</v>
      </c>
      <c r="E109" s="1691">
        <f t="shared" si="4"/>
        <v>0</v>
      </c>
      <c r="F109" s="1691">
        <f t="shared" si="4"/>
        <v>22052</v>
      </c>
      <c r="G109" s="1691">
        <f t="shared" si="4"/>
        <v>19595</v>
      </c>
      <c r="H109" s="1691">
        <f t="shared" si="4"/>
        <v>0</v>
      </c>
      <c r="I109" s="1691">
        <f t="shared" si="4"/>
        <v>0</v>
      </c>
      <c r="J109" s="1691">
        <f t="shared" si="4"/>
        <v>19592</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31626</v>
      </c>
      <c r="D117" s="1636"/>
      <c r="E117" s="1623"/>
      <c r="F117" s="1636"/>
      <c r="G117" s="1636"/>
      <c r="H117" s="1623">
        <v>25727</v>
      </c>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31626</v>
      </c>
      <c r="D122" s="1683">
        <f t="shared" si="5"/>
        <v>0</v>
      </c>
      <c r="E122" s="1683">
        <f t="shared" si="5"/>
        <v>0</v>
      </c>
      <c r="F122" s="1683">
        <f t="shared" si="5"/>
        <v>0</v>
      </c>
      <c r="G122" s="1683">
        <f t="shared" si="5"/>
        <v>0</v>
      </c>
      <c r="H122" s="1683">
        <f t="shared" si="5"/>
        <v>25727</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35</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31027</v>
      </c>
      <c r="G152" s="1624"/>
      <c r="H152" s="1625"/>
      <c r="I152" s="1625"/>
      <c r="J152" s="1625"/>
      <c r="K152" s="1625"/>
    </row>
    <row r="153" spans="1:11" ht="12.75" customHeight="1" x14ac:dyDescent="0.2">
      <c r="A153" s="427" t="s">
        <v>1050</v>
      </c>
      <c r="B153" s="478">
        <v>3510</v>
      </c>
      <c r="C153" s="1682"/>
      <c r="D153" s="1623"/>
      <c r="E153" s="1690"/>
      <c r="F153" s="1623">
        <v>399</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31426</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202" t="s">
        <v>395</v>
      </c>
      <c r="B169" s="2203"/>
      <c r="C169" s="1708">
        <f t="shared" ref="C169:K169" si="6">SUM(C132,C141,C145,C146:C150,C155,C156:C167,C168)</f>
        <v>35</v>
      </c>
      <c r="D169" s="1708">
        <f t="shared" si="6"/>
        <v>0</v>
      </c>
      <c r="E169" s="1708">
        <f t="shared" si="6"/>
        <v>0</v>
      </c>
      <c r="F169" s="1708">
        <f t="shared" si="6"/>
        <v>31426</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31661</v>
      </c>
      <c r="D170" s="1691">
        <f t="shared" si="7"/>
        <v>0</v>
      </c>
      <c r="E170" s="1691">
        <f t="shared" si="7"/>
        <v>0</v>
      </c>
      <c r="F170" s="1691">
        <f t="shared" si="7"/>
        <v>31426</v>
      </c>
      <c r="G170" s="1691">
        <f t="shared" si="7"/>
        <v>0</v>
      </c>
      <c r="H170" s="1691">
        <f t="shared" si="7"/>
        <v>25727</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4" t="s">
        <v>1478</v>
      </c>
      <c r="B172" s="2205"/>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8" t="s">
        <v>1649</v>
      </c>
      <c r="B175" s="2209"/>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2" t="s">
        <v>1648</v>
      </c>
      <c r="B176" s="2213"/>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0" t="s">
        <v>780</v>
      </c>
      <c r="B181" s="2211"/>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6" t="s">
        <v>1783</v>
      </c>
      <c r="B182" s="2207"/>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4933</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v>525</v>
      </c>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5458</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17508</v>
      </c>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17508</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0</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v>344</v>
      </c>
      <c r="D258" s="1701"/>
      <c r="E258" s="1625"/>
      <c r="F258" s="1701"/>
      <c r="G258" s="1701"/>
      <c r="H258" s="1625"/>
      <c r="I258" s="1625"/>
      <c r="J258" s="1625"/>
      <c r="K258" s="1625"/>
    </row>
    <row r="259" spans="1:11" ht="12.75" customHeight="1" thickTop="1" thickBot="1" x14ac:dyDescent="0.25">
      <c r="A259" s="427" t="s">
        <v>753</v>
      </c>
      <c r="B259" s="429">
        <v>4932</v>
      </c>
      <c r="C259" s="1701"/>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c r="D263" s="1701"/>
      <c r="E263" s="1625"/>
      <c r="F263" s="1701"/>
      <c r="G263" s="1701"/>
      <c r="H263" s="1625"/>
      <c r="I263" s="1625"/>
      <c r="J263" s="1625"/>
      <c r="K263" s="1625"/>
    </row>
    <row r="264" spans="1:11" ht="12.75" customHeight="1" thickTop="1" thickBot="1" x14ac:dyDescent="0.25">
      <c r="A264" s="427" t="s">
        <v>374</v>
      </c>
      <c r="B264" s="429">
        <v>4992</v>
      </c>
      <c r="C264" s="1700"/>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23310</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23310</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712869</v>
      </c>
      <c r="D268" s="1691">
        <f t="shared" si="12"/>
        <v>59607</v>
      </c>
      <c r="E268" s="1691">
        <f t="shared" si="12"/>
        <v>0</v>
      </c>
      <c r="F268" s="1691">
        <f t="shared" si="12"/>
        <v>53478</v>
      </c>
      <c r="G268" s="1691">
        <f t="shared" si="12"/>
        <v>19595</v>
      </c>
      <c r="H268" s="1691">
        <f t="shared" si="12"/>
        <v>25727</v>
      </c>
      <c r="I268" s="1691">
        <f t="shared" si="12"/>
        <v>0</v>
      </c>
      <c r="J268" s="1691">
        <f t="shared" si="12"/>
        <v>19592</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54" activePane="bottomLeft" state="frozen"/>
      <selection pane="bottomLeft" activeCell="D18" sqref="D1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2"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0" t="s">
        <v>294</v>
      </c>
      <c r="B3" s="2221"/>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333075</v>
      </c>
      <c r="D5" s="1623">
        <v>19699</v>
      </c>
      <c r="E5" s="1623">
        <v>3762</v>
      </c>
      <c r="F5" s="1623">
        <v>5093</v>
      </c>
      <c r="G5" s="1623"/>
      <c r="H5" s="1623"/>
      <c r="I5" s="1624"/>
      <c r="J5" s="1624"/>
      <c r="K5" s="1722">
        <f>SUM(C5:J5)</f>
        <v>361629</v>
      </c>
      <c r="L5" s="1623">
        <v>361404</v>
      </c>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c r="D7" s="1624"/>
      <c r="E7" s="1624"/>
      <c r="F7" s="1624"/>
      <c r="G7" s="1624"/>
      <c r="H7" s="1624"/>
      <c r="I7" s="1624"/>
      <c r="J7" s="1624"/>
      <c r="K7" s="1722">
        <f t="shared" ref="K7:K32" si="0">SUM(C7:J7)</f>
        <v>0</v>
      </c>
      <c r="L7" s="1623"/>
    </row>
    <row r="8" spans="1:14" x14ac:dyDescent="0.2">
      <c r="A8" s="1319" t="s">
        <v>163</v>
      </c>
      <c r="B8" s="503">
        <v>1200</v>
      </c>
      <c r="C8" s="1623">
        <v>70816</v>
      </c>
      <c r="D8" s="1623">
        <v>865</v>
      </c>
      <c r="E8" s="1623"/>
      <c r="F8" s="1623"/>
      <c r="G8" s="1623"/>
      <c r="H8" s="1623"/>
      <c r="I8" s="1624"/>
      <c r="J8" s="1624"/>
      <c r="K8" s="1722">
        <f t="shared" si="0"/>
        <v>71681</v>
      </c>
      <c r="L8" s="1623">
        <v>85103</v>
      </c>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c r="D10" s="1623"/>
      <c r="E10" s="1623"/>
      <c r="F10" s="1623"/>
      <c r="G10" s="1623"/>
      <c r="H10" s="1623"/>
      <c r="I10" s="1624"/>
      <c r="J10" s="1624"/>
      <c r="K10" s="1722">
        <f t="shared" si="0"/>
        <v>0</v>
      </c>
      <c r="L10" s="1623"/>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c r="D13" s="1623"/>
      <c r="E13" s="1623"/>
      <c r="F13" s="1623"/>
      <c r="G13" s="1623"/>
      <c r="H13" s="1623"/>
      <c r="I13" s="1624"/>
      <c r="J13" s="1624"/>
      <c r="K13" s="1722">
        <f t="shared" si="0"/>
        <v>0</v>
      </c>
      <c r="L13" s="1623"/>
    </row>
    <row r="14" spans="1:14" x14ac:dyDescent="0.2">
      <c r="A14" s="1319" t="s">
        <v>957</v>
      </c>
      <c r="B14" s="503">
        <v>1500</v>
      </c>
      <c r="C14" s="1623">
        <v>4150</v>
      </c>
      <c r="D14" s="1623">
        <v>116</v>
      </c>
      <c r="E14" s="1623">
        <v>1913</v>
      </c>
      <c r="F14" s="1623">
        <v>35</v>
      </c>
      <c r="G14" s="1623"/>
      <c r="H14" s="1623"/>
      <c r="I14" s="1624"/>
      <c r="J14" s="1624"/>
      <c r="K14" s="1722">
        <f t="shared" si="0"/>
        <v>6214</v>
      </c>
      <c r="L14" s="1623">
        <v>6000</v>
      </c>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408041</v>
      </c>
      <c r="D33" s="1724">
        <f t="shared" ref="D33:L33" si="1">SUM(D5:D32)</f>
        <v>20680</v>
      </c>
      <c r="E33" s="1724">
        <f t="shared" si="1"/>
        <v>5675</v>
      </c>
      <c r="F33" s="1724">
        <f t="shared" si="1"/>
        <v>5128</v>
      </c>
      <c r="G33" s="1724">
        <f t="shared" si="1"/>
        <v>0</v>
      </c>
      <c r="H33" s="1724">
        <f t="shared" si="1"/>
        <v>0</v>
      </c>
      <c r="I33" s="1724">
        <f t="shared" si="1"/>
        <v>0</v>
      </c>
      <c r="J33" s="1724">
        <f t="shared" si="1"/>
        <v>0</v>
      </c>
      <c r="K33" s="1724">
        <f t="shared" si="1"/>
        <v>439524</v>
      </c>
      <c r="L33" s="1724">
        <f t="shared" si="1"/>
        <v>452507</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row>
    <row r="37" spans="1:14" x14ac:dyDescent="0.2">
      <c r="A37" s="1319" t="s">
        <v>1083</v>
      </c>
      <c r="B37" s="503">
        <v>2120</v>
      </c>
      <c r="C37" s="1623"/>
      <c r="D37" s="1623"/>
      <c r="E37" s="1623"/>
      <c r="F37" s="1623"/>
      <c r="G37" s="1623"/>
      <c r="H37" s="1623"/>
      <c r="I37" s="1624"/>
      <c r="J37" s="1624"/>
      <c r="K37" s="1722">
        <f t="shared" si="2"/>
        <v>0</v>
      </c>
      <c r="L37" s="1623"/>
    </row>
    <row r="38" spans="1:14" x14ac:dyDescent="0.2">
      <c r="A38" s="1319" t="s">
        <v>196</v>
      </c>
      <c r="B38" s="503">
        <v>2130</v>
      </c>
      <c r="C38" s="1623"/>
      <c r="D38" s="1623"/>
      <c r="E38" s="1623"/>
      <c r="F38" s="1623"/>
      <c r="G38" s="1623"/>
      <c r="H38" s="1623"/>
      <c r="I38" s="1624"/>
      <c r="J38" s="1624"/>
      <c r="K38" s="1722">
        <f t="shared" si="2"/>
        <v>0</v>
      </c>
      <c r="L38" s="1623"/>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v>14645</v>
      </c>
      <c r="D40" s="1623"/>
      <c r="E40" s="1623"/>
      <c r="F40" s="1623"/>
      <c r="G40" s="1623"/>
      <c r="H40" s="1623"/>
      <c r="I40" s="1624"/>
      <c r="J40" s="1624"/>
      <c r="K40" s="1722">
        <f t="shared" si="2"/>
        <v>14645</v>
      </c>
      <c r="L40" s="1623">
        <v>14900</v>
      </c>
    </row>
    <row r="41" spans="1:14" x14ac:dyDescent="0.2">
      <c r="A41" s="1319" t="s">
        <v>1653</v>
      </c>
      <c r="B41" s="503">
        <v>2190</v>
      </c>
      <c r="C41" s="1623"/>
      <c r="D41" s="1623"/>
      <c r="E41" s="1623"/>
      <c r="F41" s="1623"/>
      <c r="G41" s="1623"/>
      <c r="H41" s="1623"/>
      <c r="I41" s="1624"/>
      <c r="J41" s="1624"/>
      <c r="K41" s="1722">
        <f t="shared" si="2"/>
        <v>0</v>
      </c>
      <c r="L41" s="1623">
        <v>100</v>
      </c>
    </row>
    <row r="42" spans="1:14" ht="12.75" customHeight="1" thickBot="1" x14ac:dyDescent="0.25">
      <c r="A42" s="1429" t="s">
        <v>556</v>
      </c>
      <c r="B42" s="1430" t="s">
        <v>711</v>
      </c>
      <c r="C42" s="1724">
        <f>SUM(C36:C41)</f>
        <v>14645</v>
      </c>
      <c r="D42" s="1724">
        <f t="shared" ref="D42:L42" si="3">SUM(D36:D41)</f>
        <v>0</v>
      </c>
      <c r="E42" s="1724">
        <f t="shared" si="3"/>
        <v>0</v>
      </c>
      <c r="F42" s="1724">
        <f t="shared" si="3"/>
        <v>0</v>
      </c>
      <c r="G42" s="1724">
        <f t="shared" si="3"/>
        <v>0</v>
      </c>
      <c r="H42" s="1724">
        <f t="shared" si="3"/>
        <v>0</v>
      </c>
      <c r="I42" s="1724">
        <f t="shared" si="3"/>
        <v>0</v>
      </c>
      <c r="J42" s="1724">
        <f t="shared" si="3"/>
        <v>0</v>
      </c>
      <c r="K42" s="1724">
        <f t="shared" si="3"/>
        <v>14645</v>
      </c>
      <c r="L42" s="1724">
        <f t="shared" si="3"/>
        <v>15000</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c r="D44" s="1636"/>
      <c r="E44" s="1636">
        <v>872</v>
      </c>
      <c r="F44" s="1636"/>
      <c r="G44" s="1636"/>
      <c r="H44" s="1636"/>
      <c r="I44" s="1624"/>
      <c r="J44" s="1624"/>
      <c r="K44" s="1728">
        <f>SUM(C44:J44)</f>
        <v>872</v>
      </c>
      <c r="L44" s="1636">
        <v>2500</v>
      </c>
    </row>
    <row r="45" spans="1:14" x14ac:dyDescent="0.2">
      <c r="A45" s="1319" t="s">
        <v>810</v>
      </c>
      <c r="B45" s="503">
        <v>2220</v>
      </c>
      <c r="C45" s="1623"/>
      <c r="D45" s="1623"/>
      <c r="E45" s="1623"/>
      <c r="F45" s="1623">
        <v>552</v>
      </c>
      <c r="G45" s="1623"/>
      <c r="H45" s="1623"/>
      <c r="I45" s="1624"/>
      <c r="J45" s="1624"/>
      <c r="K45" s="1728">
        <f>SUM(C45:J45)</f>
        <v>552</v>
      </c>
      <c r="L45" s="1623"/>
    </row>
    <row r="46" spans="1:14" x14ac:dyDescent="0.2">
      <c r="A46" s="1319" t="s">
        <v>811</v>
      </c>
      <c r="B46" s="503">
        <v>2230</v>
      </c>
      <c r="C46" s="1623"/>
      <c r="D46" s="1623"/>
      <c r="E46" s="1623"/>
      <c r="F46" s="1623"/>
      <c r="G46" s="1623"/>
      <c r="H46" s="1623"/>
      <c r="I46" s="1624"/>
      <c r="J46" s="1624"/>
      <c r="K46" s="1728">
        <f>SUM(C46:J46)</f>
        <v>0</v>
      </c>
      <c r="L46" s="1623"/>
    </row>
    <row r="47" spans="1:14" ht="12.75" customHeight="1" thickBot="1" x14ac:dyDescent="0.25">
      <c r="A47" s="1429" t="s">
        <v>557</v>
      </c>
      <c r="B47" s="1430" t="s">
        <v>32</v>
      </c>
      <c r="C47" s="1724">
        <f>SUM(C44:C46)</f>
        <v>0</v>
      </c>
      <c r="D47" s="1724">
        <f t="shared" ref="D47:K47" si="4">SUM(D44:D46)</f>
        <v>0</v>
      </c>
      <c r="E47" s="1724">
        <f t="shared" si="4"/>
        <v>872</v>
      </c>
      <c r="F47" s="1724">
        <f t="shared" si="4"/>
        <v>552</v>
      </c>
      <c r="G47" s="1724">
        <f t="shared" si="4"/>
        <v>0</v>
      </c>
      <c r="H47" s="1724">
        <f t="shared" si="4"/>
        <v>0</v>
      </c>
      <c r="I47" s="1724">
        <f t="shared" si="4"/>
        <v>0</v>
      </c>
      <c r="J47" s="1724">
        <f t="shared" si="4"/>
        <v>0</v>
      </c>
      <c r="K47" s="1724">
        <f t="shared" si="4"/>
        <v>1424</v>
      </c>
      <c r="L47" s="1724">
        <f>SUM(L44:L46)</f>
        <v>2500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c r="D49" s="1636"/>
      <c r="E49" s="1636">
        <v>35051</v>
      </c>
      <c r="F49" s="1636">
        <v>2749</v>
      </c>
      <c r="G49" s="1636"/>
      <c r="H49" s="1636">
        <v>4878</v>
      </c>
      <c r="I49" s="1624"/>
      <c r="J49" s="1624"/>
      <c r="K49" s="1728">
        <f>SUM(C49:J49)</f>
        <v>42678</v>
      </c>
      <c r="L49" s="1636">
        <v>87600</v>
      </c>
    </row>
    <row r="50" spans="1:14" x14ac:dyDescent="0.2">
      <c r="A50" s="1319" t="s">
        <v>813</v>
      </c>
      <c r="B50" s="503">
        <v>2320</v>
      </c>
      <c r="C50" s="1623">
        <v>131658</v>
      </c>
      <c r="D50" s="1623">
        <v>12642</v>
      </c>
      <c r="E50" s="1623">
        <v>938</v>
      </c>
      <c r="F50" s="1623"/>
      <c r="G50" s="1623"/>
      <c r="H50" s="1623"/>
      <c r="I50" s="1624"/>
      <c r="J50" s="1624"/>
      <c r="K50" s="1728">
        <f>SUM(C50:J50)</f>
        <v>145238</v>
      </c>
      <c r="L50" s="1623">
        <v>144807</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131658</v>
      </c>
      <c r="D53" s="1724">
        <f t="shared" ref="D53:L53" si="5">SUM(D49:D52)</f>
        <v>12642</v>
      </c>
      <c r="E53" s="1724">
        <f t="shared" si="5"/>
        <v>35989</v>
      </c>
      <c r="F53" s="1724">
        <f t="shared" si="5"/>
        <v>2749</v>
      </c>
      <c r="G53" s="1724">
        <f t="shared" si="5"/>
        <v>0</v>
      </c>
      <c r="H53" s="1724">
        <f t="shared" si="5"/>
        <v>4878</v>
      </c>
      <c r="I53" s="1724">
        <f t="shared" si="5"/>
        <v>0</v>
      </c>
      <c r="J53" s="1724">
        <f t="shared" si="5"/>
        <v>0</v>
      </c>
      <c r="K53" s="1724">
        <f t="shared" si="5"/>
        <v>187916</v>
      </c>
      <c r="L53" s="1724">
        <f t="shared" si="5"/>
        <v>232407</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c r="D55" s="1636"/>
      <c r="E55" s="1636"/>
      <c r="F55" s="1636"/>
      <c r="G55" s="1636"/>
      <c r="H55" s="1636"/>
      <c r="I55" s="1624"/>
      <c r="J55" s="1624"/>
      <c r="K55" s="1728">
        <f>SUM(C55:J55)</f>
        <v>0</v>
      </c>
      <c r="L55" s="1636"/>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0</v>
      </c>
      <c r="D57" s="1729">
        <f t="shared" ref="D57:K57" si="6">SUM(D55:D56)</f>
        <v>0</v>
      </c>
      <c r="E57" s="1729">
        <f t="shared" si="6"/>
        <v>0</v>
      </c>
      <c r="F57" s="1729">
        <f t="shared" si="6"/>
        <v>0</v>
      </c>
      <c r="G57" s="1729">
        <f t="shared" si="6"/>
        <v>0</v>
      </c>
      <c r="H57" s="1729">
        <f t="shared" si="6"/>
        <v>0</v>
      </c>
      <c r="I57" s="1729">
        <f t="shared" si="6"/>
        <v>0</v>
      </c>
      <c r="J57" s="1729">
        <f t="shared" si="6"/>
        <v>0</v>
      </c>
      <c r="K57" s="1729">
        <f t="shared" si="6"/>
        <v>0</v>
      </c>
      <c r="L57" s="1724">
        <f>SUM(L55:L56)</f>
        <v>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c r="D60" s="1623"/>
      <c r="E60" s="1623"/>
      <c r="F60" s="1623"/>
      <c r="G60" s="1623"/>
      <c r="H60" s="1623"/>
      <c r="I60" s="1624"/>
      <c r="J60" s="1624"/>
      <c r="K60" s="1728">
        <f t="shared" si="7"/>
        <v>0</v>
      </c>
      <c r="L60" s="1623"/>
      <c r="M60" s="501"/>
      <c r="N60" s="501"/>
    </row>
    <row r="61" spans="1:14" s="321" customFormat="1" x14ac:dyDescent="0.2">
      <c r="A61" s="1319" t="s">
        <v>195</v>
      </c>
      <c r="B61" s="503">
        <v>2540</v>
      </c>
      <c r="C61" s="1623"/>
      <c r="D61" s="1623"/>
      <c r="E61" s="1623"/>
      <c r="F61" s="1623"/>
      <c r="G61" s="1623"/>
      <c r="H61" s="1623"/>
      <c r="I61" s="1624"/>
      <c r="J61" s="1624"/>
      <c r="K61" s="1728">
        <f t="shared" si="7"/>
        <v>0</v>
      </c>
      <c r="L61" s="1623"/>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14569</v>
      </c>
      <c r="D63" s="1623"/>
      <c r="E63" s="1623"/>
      <c r="F63" s="1623">
        <v>15361</v>
      </c>
      <c r="G63" s="1623"/>
      <c r="H63" s="1623"/>
      <c r="I63" s="1624"/>
      <c r="J63" s="1624"/>
      <c r="K63" s="1728">
        <f t="shared" si="7"/>
        <v>29930</v>
      </c>
      <c r="L63" s="1623">
        <v>32093</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14569</v>
      </c>
      <c r="D65" s="1724">
        <f t="shared" ref="D65:L65" si="8">SUM(D59:D64)</f>
        <v>0</v>
      </c>
      <c r="E65" s="1724">
        <f t="shared" si="8"/>
        <v>0</v>
      </c>
      <c r="F65" s="1724">
        <f t="shared" si="8"/>
        <v>15361</v>
      </c>
      <c r="G65" s="1724">
        <f t="shared" si="8"/>
        <v>0</v>
      </c>
      <c r="H65" s="1724">
        <f t="shared" si="8"/>
        <v>0</v>
      </c>
      <c r="I65" s="1724">
        <f t="shared" si="8"/>
        <v>0</v>
      </c>
      <c r="J65" s="1724">
        <f t="shared" si="8"/>
        <v>0</v>
      </c>
      <c r="K65" s="1724">
        <f t="shared" si="8"/>
        <v>29930</v>
      </c>
      <c r="L65" s="1724">
        <f t="shared" si="8"/>
        <v>32093</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160872</v>
      </c>
      <c r="D74" s="1731">
        <f t="shared" ref="D74:K74" si="10">SUM(D42,D47,D53,D57,D65,D72,D73)</f>
        <v>12642</v>
      </c>
      <c r="E74" s="1731">
        <f t="shared" si="10"/>
        <v>36861</v>
      </c>
      <c r="F74" s="1731">
        <f t="shared" si="10"/>
        <v>18662</v>
      </c>
      <c r="G74" s="1731">
        <f t="shared" si="10"/>
        <v>0</v>
      </c>
      <c r="H74" s="1731">
        <f t="shared" si="10"/>
        <v>4878</v>
      </c>
      <c r="I74" s="1731">
        <f t="shared" si="10"/>
        <v>0</v>
      </c>
      <c r="J74" s="1731">
        <f t="shared" si="10"/>
        <v>0</v>
      </c>
      <c r="K74" s="1731">
        <f t="shared" si="10"/>
        <v>233915</v>
      </c>
      <c r="L74" s="1731">
        <f>SUM(L42,L47,L53,L57,L65,L72,L73)</f>
        <v>282000</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c r="F79" s="1723"/>
      <c r="G79" s="1723"/>
      <c r="H79" s="1623">
        <v>15498</v>
      </c>
      <c r="I79" s="1632"/>
      <c r="J79" s="1632"/>
      <c r="K79" s="1722">
        <f t="shared" si="11"/>
        <v>15498</v>
      </c>
      <c r="L79" s="1623"/>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0</v>
      </c>
      <c r="F84" s="1723"/>
      <c r="G84" s="1723"/>
      <c r="H84" s="1724">
        <f>SUM(H78:H83)</f>
        <v>15498</v>
      </c>
      <c r="I84" s="1632"/>
      <c r="J84" s="1632"/>
      <c r="K84" s="1724">
        <f>SUM(K78:K83)</f>
        <v>15498</v>
      </c>
      <c r="L84" s="1724">
        <f>SUM(L78:L83)</f>
        <v>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v>30925</v>
      </c>
      <c r="I86" s="1632"/>
      <c r="J86" s="1632"/>
      <c r="K86" s="1731">
        <f t="shared" ref="K86:K98" si="12">H86</f>
        <v>30925</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30925</v>
      </c>
      <c r="I92" s="1632"/>
      <c r="J92" s="1632"/>
      <c r="K92" s="1731">
        <f t="shared" si="12"/>
        <v>30925</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0</v>
      </c>
      <c r="F102" s="1723"/>
      <c r="G102" s="1723"/>
      <c r="H102" s="1731">
        <f>SUM(H84,H92,H100,H101)</f>
        <v>46423</v>
      </c>
      <c r="I102" s="1632"/>
      <c r="J102" s="1632"/>
      <c r="K102" s="1731">
        <f>SUM(K84,K92,K100,K101)</f>
        <v>46423</v>
      </c>
      <c r="L102" s="1731">
        <f>SUM(L84,L92,L100,L101)</f>
        <v>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568913</v>
      </c>
      <c r="D114" s="1724">
        <f t="shared" ref="D114:K114" si="13">SUM(D33,D74,D75,D102,D112,D113)</f>
        <v>33322</v>
      </c>
      <c r="E114" s="1724">
        <f t="shared" si="13"/>
        <v>42536</v>
      </c>
      <c r="F114" s="1724">
        <f t="shared" si="13"/>
        <v>23790</v>
      </c>
      <c r="G114" s="1724">
        <f t="shared" si="13"/>
        <v>0</v>
      </c>
      <c r="H114" s="1724">
        <f>SUM(H33,H74,H75,H102,H112,H113)</f>
        <v>51301</v>
      </c>
      <c r="I114" s="1724">
        <f t="shared" si="13"/>
        <v>0</v>
      </c>
      <c r="J114" s="1724">
        <f t="shared" si="13"/>
        <v>0</v>
      </c>
      <c r="K114" s="1724">
        <f t="shared" si="13"/>
        <v>719862</v>
      </c>
      <c r="L114" s="1724">
        <f>SUM(L33,L74,L75,L102,L112,L113)</f>
        <v>734507</v>
      </c>
    </row>
    <row r="115" spans="1:14" ht="13.5" thickTop="1" x14ac:dyDescent="0.2">
      <c r="A115" s="2239" t="s">
        <v>989</v>
      </c>
      <c r="B115" s="2240"/>
      <c r="C115" s="1725"/>
      <c r="D115" s="1725"/>
      <c r="E115" s="1725"/>
      <c r="F115" s="1725"/>
      <c r="G115" s="1725"/>
      <c r="H115" s="1725"/>
      <c r="I115" s="1725"/>
      <c r="J115" s="1725"/>
      <c r="K115" s="1739">
        <f>'Revenues 9-14'!C268-'Expenditures 15-22'!K114</f>
        <v>-6993</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7" t="s">
        <v>293</v>
      </c>
      <c r="B117" s="2218"/>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v>32847</v>
      </c>
      <c r="D124" s="1623"/>
      <c r="E124" s="1623">
        <v>19254</v>
      </c>
      <c r="F124" s="1623">
        <v>17062</v>
      </c>
      <c r="G124" s="1623"/>
      <c r="H124" s="1623"/>
      <c r="I124" s="1624"/>
      <c r="J124" s="1624"/>
      <c r="K124" s="1724">
        <f>SUM(C124:J124)</f>
        <v>69163</v>
      </c>
      <c r="L124" s="1623">
        <v>75850</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32847</v>
      </c>
      <c r="D127" s="1724">
        <f t="shared" ref="D127:L127" si="14">SUM(D122:D126)</f>
        <v>0</v>
      </c>
      <c r="E127" s="1724">
        <f t="shared" si="14"/>
        <v>19254</v>
      </c>
      <c r="F127" s="1724">
        <f t="shared" si="14"/>
        <v>17062</v>
      </c>
      <c r="G127" s="1724">
        <f t="shared" si="14"/>
        <v>0</v>
      </c>
      <c r="H127" s="1724">
        <f t="shared" si="14"/>
        <v>0</v>
      </c>
      <c r="I127" s="1724">
        <f t="shared" si="14"/>
        <v>0</v>
      </c>
      <c r="J127" s="1724">
        <f t="shared" si="14"/>
        <v>0</v>
      </c>
      <c r="K127" s="1724">
        <f t="shared" si="14"/>
        <v>69163</v>
      </c>
      <c r="L127" s="1724">
        <f t="shared" si="14"/>
        <v>75850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32847</v>
      </c>
      <c r="D129" s="1731">
        <f t="shared" ref="D129:L129" si="15">SUM(D120,D127,D128)</f>
        <v>0</v>
      </c>
      <c r="E129" s="1731">
        <f t="shared" si="15"/>
        <v>19254</v>
      </c>
      <c r="F129" s="1731">
        <f t="shared" si="15"/>
        <v>17062</v>
      </c>
      <c r="G129" s="1731">
        <f t="shared" si="15"/>
        <v>0</v>
      </c>
      <c r="H129" s="1731">
        <f t="shared" si="15"/>
        <v>0</v>
      </c>
      <c r="I129" s="1731">
        <f t="shared" si="15"/>
        <v>0</v>
      </c>
      <c r="J129" s="1731">
        <f t="shared" si="15"/>
        <v>0</v>
      </c>
      <c r="K129" s="1731">
        <f t="shared" si="15"/>
        <v>69163</v>
      </c>
      <c r="L129" s="1731">
        <f t="shared" si="15"/>
        <v>75850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29" t="s">
        <v>616</v>
      </c>
      <c r="B151" s="2211"/>
      <c r="C151" s="1724">
        <f>SUM(C129,C130,C139,C149,C150)</f>
        <v>32847</v>
      </c>
      <c r="D151" s="1724">
        <f t="shared" ref="D151:K151" si="16">SUM(D129,D130,D139,D149,D150)</f>
        <v>0</v>
      </c>
      <c r="E151" s="1724">
        <f t="shared" si="16"/>
        <v>19254</v>
      </c>
      <c r="F151" s="1724">
        <f t="shared" si="16"/>
        <v>17062</v>
      </c>
      <c r="G151" s="1724">
        <f t="shared" si="16"/>
        <v>0</v>
      </c>
      <c r="H151" s="1724">
        <f t="shared" si="16"/>
        <v>0</v>
      </c>
      <c r="I151" s="1724">
        <f t="shared" si="16"/>
        <v>0</v>
      </c>
      <c r="J151" s="1724">
        <f t="shared" si="16"/>
        <v>0</v>
      </c>
      <c r="K151" s="1724">
        <f t="shared" si="16"/>
        <v>69163</v>
      </c>
      <c r="L151" s="1724">
        <f>SUM(L129,L130,L139,L149,L150)</f>
        <v>75850</v>
      </c>
    </row>
    <row r="152" spans="1:14" ht="12.75" customHeight="1" thickTop="1" x14ac:dyDescent="0.2">
      <c r="A152" s="2232" t="s">
        <v>1170</v>
      </c>
      <c r="B152" s="2233"/>
      <c r="C152" s="1725"/>
      <c r="D152" s="1725"/>
      <c r="E152" s="1725"/>
      <c r="F152" s="1725"/>
      <c r="G152" s="1725"/>
      <c r="H152" s="1725"/>
      <c r="I152" s="1725"/>
      <c r="J152" s="1723"/>
      <c r="K152" s="1739">
        <f>'Revenues 9-14'!D268-'Expenditures 15-22'!K151</f>
        <v>-9556</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7" t="s">
        <v>617</v>
      </c>
      <c r="B154" s="2219"/>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c r="I169" s="1723"/>
      <c r="J169" s="1723"/>
      <c r="K169" s="1722">
        <f>SUM(C169:H169)</f>
        <v>0</v>
      </c>
      <c r="L169" s="1745"/>
    </row>
    <row r="170" spans="1:14" ht="33.75" customHeight="1" x14ac:dyDescent="0.2">
      <c r="A170" s="543" t="s">
        <v>1654</v>
      </c>
      <c r="B170" s="545" t="s">
        <v>31</v>
      </c>
      <c r="C170" s="1723"/>
      <c r="D170" s="1723"/>
      <c r="E170" s="1723"/>
      <c r="F170" s="1723"/>
      <c r="G170" s="1723"/>
      <c r="H170" s="1696"/>
      <c r="I170" s="1723"/>
      <c r="J170" s="1723"/>
      <c r="K170" s="1722">
        <f>SUM(C170:J170)</f>
        <v>0</v>
      </c>
      <c r="L170" s="1696"/>
    </row>
    <row r="171" spans="1:14" ht="15.75" customHeight="1" x14ac:dyDescent="0.2">
      <c r="A171" s="507" t="s">
        <v>761</v>
      </c>
      <c r="B171" s="546" t="s">
        <v>84</v>
      </c>
      <c r="C171" s="1723"/>
      <c r="D171" s="1723"/>
      <c r="E171" s="1623"/>
      <c r="F171" s="1723"/>
      <c r="G171" s="1723"/>
      <c r="H171" s="1696"/>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x14ac:dyDescent="0.2">
      <c r="A175" s="2239" t="s">
        <v>989</v>
      </c>
      <c r="B175" s="2240"/>
      <c r="C175" s="1723"/>
      <c r="D175" s="1723"/>
      <c r="E175" s="1723"/>
      <c r="F175" s="1723"/>
      <c r="G175" s="1723"/>
      <c r="H175" s="1725"/>
      <c r="I175" s="1723"/>
      <c r="J175" s="1723"/>
      <c r="K175" s="1739">
        <f>'Revenues 9-14'!E268-'Expenditures 15-22'!K174</f>
        <v>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35957</v>
      </c>
      <c r="D182" s="1623"/>
      <c r="E182" s="1623">
        <v>21999</v>
      </c>
      <c r="F182" s="1623">
        <v>6435</v>
      </c>
      <c r="G182" s="1623"/>
      <c r="H182" s="1623"/>
      <c r="I182" s="1624"/>
      <c r="J182" s="1624"/>
      <c r="K182" s="1722">
        <f>SUM(C182:J182)</f>
        <v>64391</v>
      </c>
      <c r="L182" s="1623">
        <v>63400</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35957</v>
      </c>
      <c r="D184" s="1731">
        <f t="shared" ref="D184:J184" si="17">SUM(D180,D182,D183)</f>
        <v>0</v>
      </c>
      <c r="E184" s="1731">
        <f t="shared" si="17"/>
        <v>21999</v>
      </c>
      <c r="F184" s="1731">
        <f t="shared" si="17"/>
        <v>6435</v>
      </c>
      <c r="G184" s="1731">
        <f t="shared" si="17"/>
        <v>0</v>
      </c>
      <c r="H184" s="1731">
        <f t="shared" si="17"/>
        <v>0</v>
      </c>
      <c r="I184" s="1731">
        <f t="shared" si="17"/>
        <v>0</v>
      </c>
      <c r="J184" s="1731">
        <f t="shared" si="17"/>
        <v>0</v>
      </c>
      <c r="K184" s="1731">
        <f>SUM(K180,K182,K183)</f>
        <v>64391</v>
      </c>
      <c r="L184" s="1731">
        <f>SUM(L180, L182:L183)</f>
        <v>63400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35957</v>
      </c>
      <c r="D210" s="1724">
        <f>SUM(D184,D185)</f>
        <v>0</v>
      </c>
      <c r="E210" s="1724">
        <f>SUM(E184,E185,E196)</f>
        <v>21999</v>
      </c>
      <c r="F210" s="1724">
        <f>SUM(F184,F185)</f>
        <v>6435</v>
      </c>
      <c r="G210" s="1724">
        <f>SUM(G184,G185)</f>
        <v>0</v>
      </c>
      <c r="H210" s="1724">
        <f>SUM(H184,H185,H196,H208,H209)</f>
        <v>0</v>
      </c>
      <c r="I210" s="1724">
        <f>SUM(I184,I185)</f>
        <v>0</v>
      </c>
      <c r="J210" s="1724">
        <f>SUM(J184,J185)</f>
        <v>0</v>
      </c>
      <c r="K210" s="1722">
        <f>SUM(K184,K185,K196,K208,K209)</f>
        <v>64391</v>
      </c>
      <c r="L210" s="1724">
        <f>SUM(L184,L185,L196,L208,L209)</f>
        <v>63400</v>
      </c>
    </row>
    <row r="211" spans="1:14" ht="13.5" thickTop="1" x14ac:dyDescent="0.2">
      <c r="A211" s="2239" t="s">
        <v>989</v>
      </c>
      <c r="B211" s="2240"/>
      <c r="C211" s="1725"/>
      <c r="D211" s="1725"/>
      <c r="E211" s="1725"/>
      <c r="F211" s="1725"/>
      <c r="G211" s="1725"/>
      <c r="H211" s="1725"/>
      <c r="I211" s="1723"/>
      <c r="J211" s="1723"/>
      <c r="K211" s="1739">
        <f>'Revenues 9-14'!F268-'Expenditures 15-22'!K210</f>
        <v>-10913</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4" t="s">
        <v>959</v>
      </c>
      <c r="B213" s="2235"/>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5507</v>
      </c>
      <c r="E215" s="1723"/>
      <c r="F215" s="1723"/>
      <c r="G215" s="1723"/>
      <c r="H215" s="1723"/>
      <c r="I215" s="1723"/>
      <c r="J215" s="1723"/>
      <c r="K215" s="1722">
        <f>D215</f>
        <v>5507</v>
      </c>
      <c r="L215" s="1623">
        <v>9450</v>
      </c>
    </row>
    <row r="216" spans="1:14" x14ac:dyDescent="0.2">
      <c r="A216" s="1319" t="s">
        <v>162</v>
      </c>
      <c r="B216" s="503" t="s">
        <v>961</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v>5175</v>
      </c>
      <c r="E217" s="1723"/>
      <c r="F217" s="1723"/>
      <c r="G217" s="1723"/>
      <c r="H217" s="1723"/>
      <c r="I217" s="1723"/>
      <c r="J217" s="1723"/>
      <c r="K217" s="1722">
        <f t="shared" si="19"/>
        <v>5175</v>
      </c>
      <c r="L217" s="1623"/>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c r="E219" s="1723"/>
      <c r="F219" s="1723"/>
      <c r="G219" s="1723"/>
      <c r="H219" s="1723"/>
      <c r="I219" s="1723"/>
      <c r="J219" s="1723"/>
      <c r="K219" s="1722">
        <f t="shared" si="19"/>
        <v>0</v>
      </c>
      <c r="L219" s="1623"/>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v>60</v>
      </c>
      <c r="E223" s="1723"/>
      <c r="F223" s="1723"/>
      <c r="G223" s="1723"/>
      <c r="H223" s="1723"/>
      <c r="I223" s="1723"/>
      <c r="J223" s="1723"/>
      <c r="K223" s="1722">
        <f t="shared" si="19"/>
        <v>60</v>
      </c>
      <c r="L223" s="1623">
        <v>750</v>
      </c>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10742</v>
      </c>
      <c r="E229" s="1723"/>
      <c r="F229" s="1723"/>
      <c r="G229" s="1723"/>
      <c r="H229" s="1723"/>
      <c r="I229" s="1723"/>
      <c r="J229" s="1723"/>
      <c r="K229" s="1724">
        <f>SUM(K215:K228)</f>
        <v>10742</v>
      </c>
      <c r="L229" s="1724">
        <f>SUM(L215:L228)</f>
        <v>10200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v>212</v>
      </c>
      <c r="E236" s="1723"/>
      <c r="F236" s="1723"/>
      <c r="G236" s="1723"/>
      <c r="H236" s="1723"/>
      <c r="I236" s="1723"/>
      <c r="J236" s="1723"/>
      <c r="K236" s="1722">
        <f t="shared" si="20"/>
        <v>212</v>
      </c>
      <c r="L236" s="1623">
        <v>225</v>
      </c>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212</v>
      </c>
      <c r="E238" s="1723"/>
      <c r="F238" s="1723"/>
      <c r="G238" s="1723"/>
      <c r="H238" s="1723"/>
      <c r="I238" s="1723"/>
      <c r="J238" s="1723"/>
      <c r="K238" s="1724">
        <f>SUM(K232:K237)</f>
        <v>212</v>
      </c>
      <c r="L238" s="1724">
        <f>SUM(L232:L237)</f>
        <v>225</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row>
    <row r="241" spans="1:12" x14ac:dyDescent="0.2">
      <c r="A241" s="1319" t="s">
        <v>810</v>
      </c>
      <c r="B241" s="503">
        <v>2220</v>
      </c>
      <c r="C241" s="1723"/>
      <c r="D241" s="1623"/>
      <c r="E241" s="1723"/>
      <c r="F241" s="1723"/>
      <c r="G241" s="1723"/>
      <c r="H241" s="1723"/>
      <c r="I241" s="1723"/>
      <c r="J241" s="1723"/>
      <c r="K241" s="1728">
        <f>D241</f>
        <v>0</v>
      </c>
      <c r="L241" s="1623"/>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row>
    <row r="246" spans="1:12" x14ac:dyDescent="0.2">
      <c r="A246" s="1319" t="s">
        <v>813</v>
      </c>
      <c r="B246" s="503">
        <v>2320</v>
      </c>
      <c r="C246" s="1723"/>
      <c r="D246" s="1623">
        <v>5189</v>
      </c>
      <c r="E246" s="1723"/>
      <c r="F246" s="1723"/>
      <c r="G246" s="1723"/>
      <c r="H246" s="1723"/>
      <c r="I246" s="1723"/>
      <c r="J246" s="1723"/>
      <c r="K246" s="1728">
        <f t="shared" ref="K246:K256" si="21">D246</f>
        <v>5189</v>
      </c>
      <c r="L246" s="1623">
        <v>6000</v>
      </c>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5189</v>
      </c>
      <c r="E257" s="1723"/>
      <c r="F257" s="1723"/>
      <c r="G257" s="1723"/>
      <c r="H257" s="1723"/>
      <c r="I257" s="1723"/>
      <c r="J257" s="1723"/>
      <c r="K257" s="1724">
        <f>SUM(K245:K256)</f>
        <v>5189</v>
      </c>
      <c r="L257" s="1724">
        <f>SUM(L245:L256)</f>
        <v>6000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c r="E259" s="1723"/>
      <c r="F259" s="1723"/>
      <c r="G259" s="1723"/>
      <c r="H259" s="1723"/>
      <c r="I259" s="1723"/>
      <c r="J259" s="1723"/>
      <c r="K259" s="1728">
        <f>D259</f>
        <v>0</v>
      </c>
      <c r="L259" s="1636"/>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c r="E264" s="1723"/>
      <c r="F264" s="1723"/>
      <c r="G264" s="1723"/>
      <c r="H264" s="1723"/>
      <c r="I264" s="1723"/>
      <c r="J264" s="1723"/>
      <c r="K264" s="1728">
        <f t="shared" ref="K264:K269" si="22">D264</f>
        <v>0</v>
      </c>
      <c r="L264" s="1623"/>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3469</v>
      </c>
      <c r="E266" s="1723"/>
      <c r="F266" s="1723"/>
      <c r="G266" s="1723"/>
      <c r="H266" s="1723"/>
      <c r="I266" s="1723"/>
      <c r="J266" s="1723"/>
      <c r="K266" s="1728">
        <f t="shared" si="22"/>
        <v>3469</v>
      </c>
      <c r="L266" s="1623">
        <v>4500</v>
      </c>
    </row>
    <row r="267" spans="1:14" x14ac:dyDescent="0.2">
      <c r="A267" s="1319" t="s">
        <v>947</v>
      </c>
      <c r="B267" s="503">
        <v>2550</v>
      </c>
      <c r="C267" s="1723"/>
      <c r="D267" s="1623">
        <v>2772</v>
      </c>
      <c r="E267" s="1723"/>
      <c r="F267" s="1723"/>
      <c r="G267" s="1723"/>
      <c r="H267" s="1723"/>
      <c r="I267" s="1723"/>
      <c r="J267" s="1723"/>
      <c r="K267" s="1728">
        <f t="shared" si="22"/>
        <v>2772</v>
      </c>
      <c r="L267" s="1623">
        <v>2375</v>
      </c>
    </row>
    <row r="268" spans="1:14" x14ac:dyDescent="0.2">
      <c r="A268" s="1319" t="s">
        <v>100</v>
      </c>
      <c r="B268" s="503">
        <v>2560</v>
      </c>
      <c r="C268" s="1723"/>
      <c r="D268" s="1623">
        <v>1539</v>
      </c>
      <c r="E268" s="1723"/>
      <c r="F268" s="1723"/>
      <c r="G268" s="1723"/>
      <c r="H268" s="1723"/>
      <c r="I268" s="1723"/>
      <c r="J268" s="1723"/>
      <c r="K268" s="1728">
        <f t="shared" si="22"/>
        <v>1539</v>
      </c>
      <c r="L268" s="1623">
        <v>2025</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7780</v>
      </c>
      <c r="E270" s="1723"/>
      <c r="F270" s="1723"/>
      <c r="G270" s="1723"/>
      <c r="H270" s="1723"/>
      <c r="I270" s="1723"/>
      <c r="J270" s="1723"/>
      <c r="K270" s="1724">
        <f>SUM(K263:K269)</f>
        <v>7780</v>
      </c>
      <c r="L270" s="1724">
        <f>SUM(L263:L269)</f>
        <v>8900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13181</v>
      </c>
      <c r="E279" s="1723"/>
      <c r="F279" s="1723"/>
      <c r="G279" s="1723"/>
      <c r="H279" s="1723"/>
      <c r="I279" s="1723"/>
      <c r="J279" s="1723"/>
      <c r="K279" s="1731">
        <f>SUM(K238,K243,K257,K261,K270,K277,K278)</f>
        <v>13181</v>
      </c>
      <c r="L279" s="1731">
        <f>SUM(L238,L243,L257,L261,L270,L277,L278)</f>
        <v>15125</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30" t="s">
        <v>502</v>
      </c>
      <c r="B295" s="2231"/>
      <c r="C295" s="1723"/>
      <c r="D295" s="1724">
        <f>SUM(D229,D279,D280,D285)</f>
        <v>23923</v>
      </c>
      <c r="E295" s="1723"/>
      <c r="F295" s="1723"/>
      <c r="G295" s="1723"/>
      <c r="H295" s="1724">
        <f>H293</f>
        <v>0</v>
      </c>
      <c r="I295" s="1723"/>
      <c r="J295" s="1723"/>
      <c r="K295" s="1724">
        <f>SUM(K229,K279,K280,K285,K293,K294)</f>
        <v>23923</v>
      </c>
      <c r="L295" s="1724">
        <f>SUM(L229,L279,L280,L285,L293,L294)</f>
        <v>25325</v>
      </c>
    </row>
    <row r="296" spans="1:14" ht="13.5" thickTop="1" x14ac:dyDescent="0.2">
      <c r="A296" s="2239" t="s">
        <v>989</v>
      </c>
      <c r="B296" s="2240"/>
      <c r="C296" s="1723"/>
      <c r="D296" s="1725"/>
      <c r="E296" s="1723"/>
      <c r="F296" s="1723"/>
      <c r="G296" s="1723"/>
      <c r="H296" s="1757"/>
      <c r="I296" s="1723"/>
      <c r="J296" s="1723"/>
      <c r="K296" s="1739">
        <f>'Revenues 9-14'!G268-'Expenditures 15-22'!K295</f>
        <v>-4328</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2" t="s">
        <v>142</v>
      </c>
      <c r="B298" s="2216"/>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v>30080</v>
      </c>
      <c r="F301" s="1623"/>
      <c r="G301" s="1623"/>
      <c r="H301" s="1623"/>
      <c r="I301" s="1624"/>
      <c r="J301" s="1624"/>
      <c r="K301" s="1722">
        <f>SUM(C301:J301)</f>
        <v>30080</v>
      </c>
      <c r="L301" s="1624">
        <v>31000</v>
      </c>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30080</v>
      </c>
      <c r="F303" s="1731">
        <f t="shared" si="23"/>
        <v>0</v>
      </c>
      <c r="G303" s="1731">
        <f t="shared" si="23"/>
        <v>0</v>
      </c>
      <c r="H303" s="1731">
        <f t="shared" si="23"/>
        <v>0</v>
      </c>
      <c r="I303" s="1731">
        <f t="shared" si="23"/>
        <v>0</v>
      </c>
      <c r="J303" s="1731">
        <f t="shared" si="23"/>
        <v>0</v>
      </c>
      <c r="K303" s="1731">
        <f t="shared" si="23"/>
        <v>30080</v>
      </c>
      <c r="L303" s="1731">
        <f t="shared" si="23"/>
        <v>31000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27" t="s">
        <v>275</v>
      </c>
      <c r="B312" s="2228"/>
      <c r="C312" s="1724">
        <f>SUM(C303)</f>
        <v>0</v>
      </c>
      <c r="D312" s="1724">
        <f>SUM(D303)</f>
        <v>0</v>
      </c>
      <c r="E312" s="1724">
        <f>SUM(E303,E310)</f>
        <v>30080</v>
      </c>
      <c r="F312" s="1724">
        <f>SUM(F303)</f>
        <v>0</v>
      </c>
      <c r="G312" s="1724">
        <f>SUM(G303)</f>
        <v>0</v>
      </c>
      <c r="H312" s="1724">
        <f>SUM(H303,H310)</f>
        <v>0</v>
      </c>
      <c r="I312" s="1724">
        <f>SUM(I303)</f>
        <v>0</v>
      </c>
      <c r="J312" s="1724">
        <f>SUM(J303)</f>
        <v>0</v>
      </c>
      <c r="K312" s="1724">
        <f>SUM(K303,K310,K311)</f>
        <v>30080</v>
      </c>
      <c r="L312" s="1724">
        <f>SUM(L303,L310,L311)</f>
        <v>31000</v>
      </c>
      <c r="M312" s="539"/>
      <c r="N312" s="539"/>
    </row>
    <row r="313" spans="1:14" ht="13.5" thickTop="1" x14ac:dyDescent="0.2">
      <c r="A313" s="2223" t="s">
        <v>989</v>
      </c>
      <c r="B313" s="2224"/>
      <c r="C313" s="1727"/>
      <c r="D313" s="1727"/>
      <c r="E313" s="1727"/>
      <c r="F313" s="1727"/>
      <c r="G313" s="1727"/>
      <c r="H313" s="1727"/>
      <c r="I313" s="1727"/>
      <c r="J313" s="1727"/>
      <c r="K313" s="1746">
        <f>'Revenues 9-14'!H268-'Expenditures 15-22'!K312</f>
        <v>-4353</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6" t="s">
        <v>148</v>
      </c>
      <c r="B315" s="2237"/>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38" t="s">
        <v>892</v>
      </c>
      <c r="B317" s="2237"/>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v>14227</v>
      </c>
      <c r="F322" s="1624"/>
      <c r="G322" s="1624"/>
      <c r="H322" s="1624"/>
      <c r="I322" s="1624"/>
      <c r="J322" s="1624"/>
      <c r="K322" s="1722">
        <f t="shared" si="24"/>
        <v>14227</v>
      </c>
      <c r="L322" s="1624">
        <v>17500</v>
      </c>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c r="D325" s="1624"/>
      <c r="E325" s="1624"/>
      <c r="F325" s="1624"/>
      <c r="G325" s="1624"/>
      <c r="H325" s="1624"/>
      <c r="I325" s="1624"/>
      <c r="J325" s="1624"/>
      <c r="K325" s="1722">
        <f t="shared" si="24"/>
        <v>0</v>
      </c>
      <c r="L325" s="1624"/>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14227</v>
      </c>
      <c r="F330" s="1724">
        <f t="shared" si="25"/>
        <v>0</v>
      </c>
      <c r="G330" s="1724">
        <f t="shared" si="25"/>
        <v>0</v>
      </c>
      <c r="H330" s="1724">
        <f t="shared" si="25"/>
        <v>0</v>
      </c>
      <c r="I330" s="1724">
        <f t="shared" si="25"/>
        <v>0</v>
      </c>
      <c r="J330" s="1724">
        <f t="shared" si="25"/>
        <v>0</v>
      </c>
      <c r="K330" s="1724">
        <f>SUM(K319:K329)</f>
        <v>14227</v>
      </c>
      <c r="L330" s="1724">
        <f>SUM(L319:L329)</f>
        <v>17500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14227</v>
      </c>
      <c r="F342" s="1724">
        <f>SUM(F330)</f>
        <v>0</v>
      </c>
      <c r="G342" s="1724">
        <f>SUM(G330)</f>
        <v>0</v>
      </c>
      <c r="H342" s="1724">
        <f>SUM(H330,H334,H340)</f>
        <v>0</v>
      </c>
      <c r="I342" s="1724">
        <f>SUM(I330)</f>
        <v>0</v>
      </c>
      <c r="J342" s="1724">
        <f>SUM(J330)</f>
        <v>0</v>
      </c>
      <c r="K342" s="1724">
        <f>SUM(K330,K334,K340)</f>
        <v>14227</v>
      </c>
      <c r="L342" s="1731">
        <f>SUM(L330,L334,L340,L341)</f>
        <v>17500</v>
      </c>
    </row>
    <row r="343" spans="1:14" ht="12.75" customHeight="1" thickTop="1" x14ac:dyDescent="0.2">
      <c r="A343" s="2225" t="s">
        <v>989</v>
      </c>
      <c r="B343" s="2226"/>
      <c r="C343" s="1723"/>
      <c r="D343" s="1723"/>
      <c r="E343" s="1723"/>
      <c r="F343" s="1723"/>
      <c r="G343" s="1723"/>
      <c r="H343" s="1723"/>
      <c r="I343" s="1723"/>
      <c r="J343" s="1723"/>
      <c r="K343" s="1739">
        <f>'Revenues 9-14'!J268-'Expenditures 15-22'!K342</f>
        <v>5365</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5" t="s">
        <v>960</v>
      </c>
      <c r="B345" s="2216"/>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v>100</v>
      </c>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100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100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100</v>
      </c>
    </row>
    <row r="368" spans="1:14" ht="13.5" thickTop="1" x14ac:dyDescent="0.2">
      <c r="A368" s="2239" t="s">
        <v>989</v>
      </c>
      <c r="B368" s="2240"/>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6ce3111e-7420-4802-b50a-75d4e9a0b980"/>
    <ds:schemaRef ds:uri="http://purl.org/dc/terms/"/>
    <ds:schemaRef ds:uri="http://schemas.microsoft.com/office/2006/documentManagement/types"/>
    <ds:schemaRef ds:uri="http://schemas.microsoft.com/sharepoint/v3"/>
    <ds:schemaRef ds:uri="http://purl.org/dc/elements/1.1/"/>
    <ds:schemaRef ds:uri="http://schemas.microsoft.com/office/2006/metadata/properties"/>
    <ds:schemaRef ds:uri="http://schemas.microsoft.com/office/infopath/2007/PartnerControls"/>
    <ds:schemaRef ds:uri="d21dc803-237d-4c68-8692-8d731fd29118"/>
    <ds:schemaRef ds:uri="http://schemas.openxmlformats.org/package/2006/metadata/core-properties"/>
    <ds:schemaRef ds:uri="4d435f69-8686-490b-bd6d-b153bf22ab50"/>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2020-08-06T15:12:17Z</cp:lastPrinted>
  <dcterms:created xsi:type="dcterms:W3CDTF">2003-10-29T19:06:34Z</dcterms:created>
  <dcterms:modified xsi:type="dcterms:W3CDTF">2020-12-11T22:12:35Z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