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F220A40-56BE-415C-9257-765324604934}"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Signature page" sheetId="184"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Cap Outlay Deprec 26" sheetId="11" r:id="rId13"/>
    <sheet name="Rest Tax Levies-Tort Im 25" sheetId="12" r:id="rId14"/>
    <sheet name="PCTC-OEPP 27-28" sheetId="34" r:id="rId15"/>
    <sheet name="Contracts Paid in CY 29" sheetId="183" r:id="rId16"/>
    <sheet name="AC32" sheetId="145" r:id="rId17"/>
    <sheet name="ICR Computation 30" sheetId="108" r:id="rId18"/>
    <sheet name="Shared Outsourced Services 31" sheetId="182"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8">'Shared Outsourced Services 31'!$5:$5</definedName>
    <definedName name="_xlnm.Print_Titles" localSheetId="26">'Single Audit Checklist'!$1:$4</definedName>
    <definedName name="SCHADDRS" localSheetId="28">#REF!</definedName>
    <definedName name="SCHADDRS" localSheetId="16">#REF!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6">#REF!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6">#REF!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6">#REF!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6">#REF!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B7883" i="106"/>
  <c r="D7883" i="106" s="1"/>
  <c r="B7882" i="106"/>
  <c r="D7882" i="106" s="1"/>
  <c r="D7884"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B2805" i="106" s="1"/>
  <c r="D2805"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2" i="127"/>
  <c r="B63" i="127"/>
  <c r="E27" i="108"/>
  <c r="G27" i="108"/>
  <c r="F31" i="108"/>
  <c r="F36" i="108"/>
  <c r="G28" i="108"/>
  <c r="G30"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L22" i="37"/>
  <c r="D22" i="37" l="1"/>
  <c r="F68" i="34"/>
  <c r="H342" i="29"/>
  <c r="C352" i="29"/>
  <c r="F77" i="4"/>
  <c r="B3255" i="106" s="1"/>
  <c r="D3255" i="106" s="1"/>
  <c r="F50" i="34"/>
  <c r="I129" i="29"/>
  <c r="B7037" i="106" s="1"/>
  <c r="D7037" i="106" s="1"/>
  <c r="J210" i="29"/>
  <c r="B7072" i="106" s="1"/>
  <c r="D7072" i="106" s="1"/>
  <c r="I210" i="29"/>
  <c r="B7071" i="106" s="1"/>
  <c r="D7071" i="106" s="1"/>
  <c r="B7047" i="106"/>
  <c r="D7047" i="106" s="1"/>
  <c r="G35" i="108"/>
  <c r="H28" i="118"/>
  <c r="B6995" i="106"/>
  <c r="D6995" i="106" s="1"/>
  <c r="H76" i="4"/>
  <c r="B3298" i="106" s="1"/>
  <c r="D3298" i="106" s="1"/>
  <c r="F42" i="34"/>
  <c r="E34" i="108"/>
  <c r="F67" i="34"/>
  <c r="D24" i="37"/>
  <c r="B4270" i="106" s="1"/>
  <c r="D4270" i="106" s="1"/>
  <c r="G26" i="108"/>
  <c r="C129" i="29"/>
  <c r="C151" i="29" s="1"/>
  <c r="B1226" i="106" s="1"/>
  <c r="D1226"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F41" i="108" l="1"/>
  <c r="G43" i="108" s="1"/>
  <c r="N23" i="3"/>
  <c r="B284" i="106" s="1"/>
  <c r="D284" i="106" s="1"/>
  <c r="B7235" i="106"/>
  <c r="D7235" i="106" s="1"/>
  <c r="J16" i="4"/>
  <c r="B6226" i="106" s="1"/>
  <c r="D6226" i="106" s="1"/>
  <c r="K365" i="29"/>
  <c r="E367" i="29"/>
  <c r="B3635" i="106"/>
  <c r="B5527" i="106"/>
  <c r="D5527" i="106" s="1"/>
  <c r="L16" i="11"/>
  <c r="B2061" i="106" s="1"/>
  <c r="D2061" i="106" s="1"/>
  <c r="I7" i="4"/>
  <c r="B4444" i="106" s="1"/>
  <c r="D4444" i="106" s="1"/>
  <c r="B7222" i="106"/>
  <c r="D7222" i="106" s="1"/>
  <c r="F76" i="34"/>
  <c r="B7887" i="106" s="1"/>
  <c r="D7887" i="106" s="1"/>
  <c r="B7220" i="106"/>
  <c r="D7220" i="106" s="1"/>
  <c r="F75" i="34"/>
  <c r="B7886" i="106" s="1"/>
  <c r="D7886" i="106" s="1"/>
  <c r="B1381" i="106"/>
  <c r="D1381"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7224" i="106" l="1"/>
  <c r="D7224" i="106" s="1"/>
  <c r="B1145" i="106"/>
  <c r="D1145" i="106" s="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B6227" i="106" l="1"/>
  <c r="D6227" i="106" s="1"/>
  <c r="J19" i="4"/>
  <c r="B6229" i="106" s="1"/>
  <c r="D6229" i="106" s="1"/>
  <c r="K17" i="4"/>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D82" i="4"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c r="C11" i="146"/>
  <c r="B1644" i="106" l="1"/>
  <c r="D164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<sst xmlns="http://schemas.openxmlformats.org/spreadsheetml/2006/main" count="5098" uniqueCount="2049">
  <si>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</si>
  <si>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</si>
  <si>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</si>
  <si>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</si>
  <si>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</si>
  <si>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</si>
  <si>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</si>
  <si>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</si>
  <si>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</si>
  <si>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</si>
  <si>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</si>
  <si>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</si>
  <si>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</si>
  <si>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</si>
  <si>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</si>
  <si>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</si>
  <si>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</si>
  <si>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</si>
  <si>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</si>
  <si>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</si>
  <si>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</si>
  <si>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</si>
  <si>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</si>
  <si>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</si>
  <si>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</si>
  <si>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</si>
  <si>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</si>
  <si>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</si>
  <si>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</si>
  <si>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</si>
  <si>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</si>
  <si>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</si>
  <si>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</si>
  <si>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</si>
  <si>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</si>
  <si>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</si>
  <si>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</si>
  <si>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</si>
  <si>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</si>
  <si>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</si>
  <si>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</si>
  <si>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</si>
  <si>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</si>
  <si>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</si>
  <si>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</si>
  <si>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</si>
  <si>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</si>
  <si>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</si>
  <si>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</si>
  <si>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</si>
  <si>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</si>
  <si>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</si>
  <si>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</si>
  <si>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</si>
  <si>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</si>
  <si>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</si>
  <si>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</si>
  <si>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</si>
  <si>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</si>
  <si>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</si>
  <si>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</si>
  <si>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</si>
  <si>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</si>
  <si>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</si>
  <si>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</si>
  <si>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</si>
  <si>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</si>
  <si>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</si>
  <si>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</si>
  <si>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</si>
  <si>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</si>
  <si>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</si>
  <si>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</si>
  <si>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</si>
  <si>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</si>
  <si>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</si>
  <si>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</si>
  <si>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</si>
  <si>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</si>
  <si>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</si>
  <si>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</si>
  <si>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</si>
  <si>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</si>
  <si>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</si>
  <si>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</si>
  <si>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</si>
  <si>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</si>
  <si>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</si>
  <si>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</si>
  <si>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</si>
  <si>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</si>
  <si>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</si>
  <si>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</si>
  <si>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</si>
  <si>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</si>
  <si>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</si>
  <si>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</si>
  <si>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</si>
  <si>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</si>
  <si>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</si>
  <si>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</si>
  <si>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</si>
  <si>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</si>
  <si>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</si>
  <si>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</si>
  <si>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</si>
  <si>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</si>
  <si>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</si>
  <si>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</si>
  <si>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</si>
  <si>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</si>
  <si>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</si>
  <si>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</si>
  <si>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</si>
  <si>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</si>
  <si>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</si>
  <si>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</si>
  <si>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</si>
  <si>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</si>
  <si>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</si>
  <si>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</si>
  <si>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</si>
  <si>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</si>
  <si>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</si>
  <si>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</si>
  <si>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</si>
  <si>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</si>
  <si>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</si>
  <si>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</si>
  <si>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</si>
  <si>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</si>
  <si>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</si>
  <si>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</si>
  <si>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</si>
  <si>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</si>
  <si>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</si>
  <si>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</si>
  <si>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</si>
  <si>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</si>
  <si>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</si>
  <si>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</si>
  <si>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</si>
  <si>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</si>
  <si>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</si>
  <si>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</si>
  <si>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</si>
  <si>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</si>
  <si>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</si>
  <si>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</si>
  <si>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</si>
  <si>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</si>
  <si>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</si>
  <si>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</si>
  <si>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</si>
  <si>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</si>
  <si>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</si>
  <si>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</si>
  <si>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</si>
  <si>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</si>
  <si>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</si>
  <si>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</si>
  <si>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</si>
  <si>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</si>
  <si>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</si>
  <si>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</si>
  <si>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</si>
  <si>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</si>
  <si>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</si>
  <si>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</si>
  <si>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</si>
  <si>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</si>
  <si>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</si>
  <si>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</si>
  <si>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</si>
  <si>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</si>
  <si>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</si>
  <si>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</si>
  <si>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</si>
  <si>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</si>
  <si>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</si>
  <si>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</si>
  <si>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</si>
  <si>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</si>
  <si>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</si>
  <si>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</si>
  <si>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</si>
  <si>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</si>
  <si>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</si>
  <si>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</si>
  <si>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</si>
  <si>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</si>
  <si>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</si>
  <si>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</si>
  <si>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</si>
  <si>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</si>
  <si>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</si>
  <si>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</si>
  <si>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</si>
  <si>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</si>
  <si>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</si>
  <si>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</si>
  <si>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</si>
  <si>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</si>
  <si>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</si>
  <si>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</si>
  <si>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</si>
  <si>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</si>
  <si>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</si>
  <si>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</si>
  <si>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</si>
  <si>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</si>
  <si>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</si>
  <si>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</si>
  <si>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</si>
  <si>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</si>
  <si>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</si>
  <si>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</si>
  <si>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</si>
  <si>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</si>
  <si>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</si>
  <si>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</si>
  <si>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</si>
  <si>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</si>
  <si>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</si>
  <si>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</si>
  <si>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</si>
  <si>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</si>
  <si>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</si>
  <si>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</si>
  <si>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</si>
  <si>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</si>
  <si>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</si>
  <si>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</si>
  <si>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</si>
  <si>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</si>
  <si>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</si>
  <si>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</si>
  <si>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</si>
  <si>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</si>
  <si>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</si>
  <si>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</si>
  <si>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</si>
  <si>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</si>
  <si>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</si>
  <si>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</si>
  <si>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</si>
  <si>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</si>
  <si>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</si>
  <si>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</si>
  <si>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</si>
  <si>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</si>
  <si>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</si>
  <si>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</si>
  <si>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</si>
  <si>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</si>
  <si>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</si>
  <si>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</si>
  <si>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</si>
  <si>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</si>
  <si>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</si>
  <si>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</si>
  <si>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</si>
  <si>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</si>
  <si>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</si>
  <si>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</si>
  <si>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</si>
  <si>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</si>
  <si>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</si>
  <si>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</si>
  <si>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</si>
  <si>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</si>
  <si>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</si>
  <si>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</si>
  <si>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</si>
  <si>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</si>
  <si>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</si>
  <si>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</si>
  <si>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</si>
  <si>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</si>
  <si>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</si>
  <si>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</si>
  <si>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</si>
  <si>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</si>
  <si>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</si>
  <si>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</si>
  <si>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</si>
  <si>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</si>
  <si>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</si>
  <si>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</si>
  <si>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</si>
  <si>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</si>
  <si>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</si>
  <si>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</si>
  <si>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</si>
  <si>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</si>
  <si>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</si>
  <si>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</si>
  <si>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</si>
  <si>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</si>
  <si>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</si>
  <si>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</si>
  <si>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</si>
  <si>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</si>
  <si>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</si>
  <si>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</si>
  <si>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</si>
  <si>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</si>
  <si>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</si>
  <si>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</si>
  <si>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</si>
  <si>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</si>
  <si>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</si>
  <si>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</si>
  <si>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</si>
  <si>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</si>
  <si>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</si>
  <si>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</si>
  <si>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</si>
  <si>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</si>
  <si>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</si>
  <si>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</si>
  <si>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</si>
  <si>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</si>
  <si>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</si>
  <si>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</si>
  <si>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</si>
  <si>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</si>
  <si>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</si>
  <si>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</si>
  <si>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</si>
  <si>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</si>
  <si>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</si>
  <si>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</si>
  <si>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</si>
  <si>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</si>
  <si>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</si>
  <si>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</si>
  <si>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</si>
  <si>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</si>
  <si>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</si>
  <si>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</si>
  <si>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</si>
  <si>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</si>
  <si>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</si>
  <si>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</si>
  <si>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</si>
  <si>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</si>
  <si>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</si>
  <si>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</si>
  <si>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</si>
  <si>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</si>
  <si>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</si>
  <si>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</si>
  <si>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</si>
  <si>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</si>
  <si>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</si>
  <si>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</si>
  <si>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</si>
  <si>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</si>
  <si>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</si>
  <si>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</si>
  <si>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</si>
  <si>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</si>
  <si>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</si>
  <si>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</si>
  <si>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</si>
  <si>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</si>
  <si>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</si>
  <si>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</si>
  <si>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</si>
  <si>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</si>
  <si>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</si>
  <si>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</si>
  <si>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</si>
  <si>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</si>
  <si>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</si>
  <si>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</si>
  <si>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</si>
  <si>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</si>
  <si>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</si>
  <si>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</si>
  <si>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</si>
  <si>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</si>
  <si>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</si>
  <si>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</si>
  <si>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</si>
  <si>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</si>
  <si>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</si>
  <si>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</si>
  <si>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</si>
  <si>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</si>
  <si>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</si>
  <si>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</si>
  <si>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</si>
  <si>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</si>
  <si>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</si>
  <si>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</si>
  <si>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</si>
  <si>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</si>
  <si>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</si>
  <si>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</si>
  <si>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</si>
  <si>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</si>
  <si>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</si>
  <si>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</si>
  <si>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</si>
  <si>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</si>
  <si>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</si>
  <si>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</si>
  <si>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</si>
  <si>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</si>
  <si>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</si>
  <si>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</si>
  <si>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</si>
  <si>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</si>
  <si>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</si>
  <si>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</si>
  <si>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</si>
  <si>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</si>
  <si>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</si>
  <si>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</si>
  <si>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</si>
  <si>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</si>
  <si>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</si>
  <si>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</si>
  <si>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</si>
  <si>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</si>
  <si>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</si>
  <si>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</si>
  <si>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</si>
  <si>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</si>
  <si>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</si>
  <si>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</si>
  <si>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</si>
  <si>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</si>
  <si>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</si>
  <si>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</si>
  <si>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</si>
  <si>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</si>
  <si>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</si>
  <si>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</si>
  <si>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</si>
  <si>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</si>
  <si>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</si>
  <si>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</si>
  <si>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</si>
  <si>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</si>
  <si>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</si>
  <si>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</si>
  <si>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</si>
  <si>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</si>
  <si>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</si>
  <si>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</si>
  <si>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</si>
  <si>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</si>
  <si>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</si>
  <si>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</si>
  <si>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</si>
  <si>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</si>
  <si>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</si>
  <si>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</si>
  <si>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</si>
  <si>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</si>
  <si>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</si>
  <si>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</si>
  <si>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</si>
  <si>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</si>
  <si>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</si>
  <si>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</si>
  <si>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</si>
  <si>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</si>
  <si>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</si>
  <si>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</si>
  <si>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</si>
  <si>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</si>
  <si>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</si>
  <si>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</si>
  <si>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</si>
  <si>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</si>
  <si>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</si>
  <si>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</si>
  <si>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</si>
  <si>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</si>
  <si>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</si>
  <si>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</si>
  <si>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</si>
  <si>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</si>
  <si>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</si>
  <si>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</si>
  <si>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</si>
  <si>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</si>
  <si>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</si>
  <si>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</si>
  <si>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</si>
  <si>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</si>
  <si>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</si>
  <si>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</si>
  <si>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</si>
  <si>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</si>
  <si>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</si>
  <si>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</si>
  <si>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</si>
  <si>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</si>
  <si>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</si>
  <si>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</si>
  <si>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</si>
  <si>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</si>
  <si>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</si>
  <si>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</si>
  <si>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</si>
  <si>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</si>
  <si>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</si>
  <si>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</si>
  <si>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</si>
  <si>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</si>
  <si>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</si>
  <si>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</si>
  <si>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</si>
  <si>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</si>
  <si>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</si>
  <si>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</si>
  <si>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</si>
  <si>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</si>
  <si>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</si>
  <si>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</si>
  <si>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</si>
  <si>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</si>
  <si>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</si>
  <si>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</si>
  <si>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</si>
  <si>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</si>
  <si>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</si>
  <si>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</si>
  <si>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</si>
  <si>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</si>
  <si>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</si>
  <si>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</si>
  <si>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</si>
  <si>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</si>
  <si>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</si>
  <si>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</si>
  <si>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</si>
  <si>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</si>
  <si>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</si>
  <si>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</si>
  <si>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</si>
  <si>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</si>
  <si>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</si>
  <si>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</si>
  <si>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</si>
  <si>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</si>
  <si>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</si>
  <si>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</si>
  <si>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</si>
  <si>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</si>
  <si>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</si>
  <si>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</si>
  <si>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</si>
  <si>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</si>
  <si>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</si>
  <si>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</si>
  <si>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</si>
  <si>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</si>
  <si>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</si>
  <si>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</si>
  <si>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</si>
  <si>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</si>
  <si>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</si>
  <si>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</si>
  <si>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</si>
  <si>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</si>
  <si>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</si>
  <si>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</si>
  <si>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</si>
  <si>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</si>
  <si>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</si>
  <si>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</si>
  <si>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</si>
  <si>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</si>
  <si>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</si>
  <si>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</si>
  <si>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</si>
  <si>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</si>
  <si>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</si>
  <si>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</si>
  <si>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</si>
  <si>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</si>
  <si>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</si>
  <si>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</si>
  <si>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</si>
  <si>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</si>
  <si>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</si>
  <si>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</si>
  <si>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</si>
  <si>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</si>
  <si>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</si>
  <si>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</si>
  <si>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</si>
  <si>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</si>
  <si>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</si>
  <si>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</si>
  <si>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</si>
  <si>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</si>
  <si>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</si>
  <si>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</si>
  <si>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</si>
  <si>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</si>
  <si>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</si>
  <si>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</si>
  <si>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</si>
  <si>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</si>
  <si>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</si>
  <si>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</si>
  <si>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</si>
  <si>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</si>
  <si>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</si>
  <si>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</si>
  <si>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</si>
  <si>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</si>
  <si>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</si>
  <si>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</si>
  <si>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</si>
  <si>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</si>
  <si>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</si>
  <si>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</si>
  <si>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</si>
  <si>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</si>
  <si>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</si>
  <si>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</si>
  <si>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</si>
  <si>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</si>
  <si>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</si>
  <si>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</si>
  <si>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</si>
  <si>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</si>
  <si>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</si>
  <si>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</si>
  <si>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</si>
  <si>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</si>
  <si>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</si>
  <si>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</si>
  <si>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</si>
  <si>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</si>
  <si>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</si>
  <si>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</si>
  <si>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</si>
  <si>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</si>
  <si>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</si>
  <si>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</si>
  <si>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</si>
  <si>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</si>
  <si>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</si>
  <si>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</si>
  <si>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</si>
  <si>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</si>
  <si>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</si>
  <si>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</si>
  <si>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</si>
  <si>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</si>
  <si>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</si>
  <si>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</si>
  <si>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</si>
  <si>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</si>
  <si>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</si>
  <si>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</si>
  <si>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</si>
  <si>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</si>
  <si>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</si>
  <si>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</si>
  <si>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</si>
  <si>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</si>
  <si>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</si>
  <si>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</si>
  <si>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</si>
  <si>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</si>
  <si>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</si>
  <si>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</si>
  <si>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</si>
  <si>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</si>
  <si>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</si>
  <si>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</si>
  <si>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</si>
  <si>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</si>
  <si>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</si>
  <si>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</si>
  <si>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</si>
  <si>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</si>
  <si>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</si>
  <si>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</si>
  <si>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</si>
  <si>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</si>
  <si>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</si>
  <si>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</si>
  <si>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</si>
  <si>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</si>
  <si>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</si>
  <si>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</si>
  <si>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</si>
  <si>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</si>
  <si>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</si>
  <si>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</si>
  <si>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</si>
  <si>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</si>
  <si>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</si>
  <si>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</si>
  <si>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</si>
  <si>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</si>
  <si>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</si>
  <si>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</si>
  <si>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</si>
  <si>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</si>
  <si>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</si>
  <si>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</si>
  <si>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</si>
  <si>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</si>
  <si>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</si>
  <si>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</si>
  <si>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</si>
  <si>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</si>
  <si>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</si>
  <si>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</si>
  <si>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</si>
  <si>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</si>
  <si>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</si>
  <si>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</si>
  <si>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</si>
  <si>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</si>
  <si>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</si>
  <si>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</si>
  <si>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</si>
  <si>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</si>
  <si>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</si>
  <si>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</si>
  <si>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</si>
  <si>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</si>
  <si>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</si>
  <si>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</si>
  <si>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</si>
  <si>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</si>
  <si>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</si>
  <si>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</si>
  <si>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</si>
  <si>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</si>
  <si>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</si>
  <si>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</si>
  <si>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</si>
  <si>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</si>
  <si>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</si>
  <si>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</si>
  <si>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</si>
  <si>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</si>
  <si>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</si>
  <si>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</si>
  <si>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</si>
  <si>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</si>
  <si>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</si>
  <si>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</si>
  <si>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</si>
  <si>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</si>
  <si>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</si>
  <si>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</si>
  <si>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</si>
  <si>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</si>
  <si>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</si>
  <si>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</si>
  <si>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</si>
  <si>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</si>
  <si>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</si>
  <si>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</si>
  <si>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</si>
  <si>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</si>
  <si>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</si>
  <si>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</si>
  <si>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</si>
  <si>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</si>
  <si>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</si>
  <si>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</si>
  <si>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</si>
  <si>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</si>
  <si>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</si>
  <si>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</si>
  <si>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</si>
  <si>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</si>
  <si>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</si>
  <si>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</si>
  <si>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</si>
  <si>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</si>
  <si>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</si>
  <si>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</si>
  <si>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</si>
  <si>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</si>
  <si>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</si>
  <si>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</si>
  <si>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</si>
  <si>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</si>
  <si>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</si>
  <si>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</si>
  <si>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</si>
  <si>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</si>
  <si>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</si>
  <si>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</si>
  <si>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</si>
  <si>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</si>
  <si>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</si>
  <si>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</si>
  <si>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</si>
  <si>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</si>
  <si>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</si>
  <si>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</si>
  <si>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</si>
  <si>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</si>
  <si>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</si>
  <si>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</si>
  <si>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</si>
  <si>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</si>
  <si>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</si>
  <si>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</si>
  <si>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</si>
  <si>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</si>
  <si>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</si>
  <si>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</si>
  <si>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</si>
  <si>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</si>
  <si>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</si>
  <si>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</si>
  <si>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</si>
  <si>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</si>
  <si>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</si>
  <si>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</si>
  <si>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</si>
  <si>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</si>
  <si>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</si>
  <si>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</si>
  <si>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</si>
  <si>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</si>
  <si>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</si>
  <si>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</si>
  <si>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</si>
  <si>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</si>
  <si>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</si>
  <si>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</si>
  <si>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</si>
  <si>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</si>
  <si>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</si>
  <si>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</si>
  <si>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</si>
  <si>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</si>
  <si>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</si>
  <si>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</si>
  <si>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</si>
  <si>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</si>
  <si>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</si>
  <si>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</si>
  <si>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</si>
  <si>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</si>
  <si>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</si>
  <si>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</si>
  <si>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</si>
  <si>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</si>
  <si>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</si>
  <si>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</si>
  <si>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</si>
  <si>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</si>
  <si>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</si>
  <si>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</si>
  <si>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</si>
  <si>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</si>
  <si>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</si>
  <si>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</si>
  <si>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</si>
  <si>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</si>
  <si>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</si>
  <si>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</si>
  <si>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</si>
  <si>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</si>
  <si>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</si>
  <si>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</si>
  <si>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</si>
  <si>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</si>
  <si>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</si>
  <si>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</si>
  <si>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</si>
  <si>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</si>
  <si>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</si>
  <si>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</si>
  <si>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</si>
  <si>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</si>
  <si>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</si>
  <si>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</si>
  <si>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</si>
  <si>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</si>
  <si>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</si>
  <si>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</si>
  <si>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</si>
  <si>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</si>
  <si>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</si>
  <si>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</si>
  <si>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</si>
  <si>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</si>
  <si>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</si>
  <si>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</si>
  <si>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</si>
  <si>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</si>
  <si>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</si>
  <si>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</si>
  <si>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</si>
  <si>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</si>
  <si>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</si>
  <si>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</si>
  <si>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</si>
  <si>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</si>
  <si>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</si>
  <si>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</si>
  <si>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</si>
  <si>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</si>
  <si>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</si>
  <si>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</si>
  <si>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</si>
  <si>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</si>
  <si>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</si>
  <si>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</si>
  <si>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</si>
  <si>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</si>
  <si>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</si>
  <si>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</si>
  <si>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</si>
  <si>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</si>
  <si>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</si>
  <si>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</si>
  <si>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</si>
  <si>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</si>
  <si>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</si>
  <si>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</si>
  <si>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</si>
  <si>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</si>
  <si>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</si>
  <si>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</si>
  <si>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</si>
  <si>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</si>
  <si>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</si>
  <si>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</si>
  <si>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</si>
  <si>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</si>
  <si>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</si>
  <si>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</si>
  <si>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</si>
  <si>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</si>
  <si>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</si>
  <si>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</si>
  <si>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</si>
  <si>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</si>
  <si>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</si>
  <si>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</si>
  <si>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</si>
  <si>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</si>
  <si>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</si>
  <si>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</si>
  <si>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</si>
  <si>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</si>
  <si>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</si>
  <si>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</si>
  <si>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</si>
  <si>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</si>
  <si>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</si>
  <si>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</si>
  <si>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</si>
  <si>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</si>
  <si>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</si>
  <si>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</si>
  <si>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</si>
  <si>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</si>
  <si>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</si>
  <si>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</si>
  <si>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</si>
  <si>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</si>
  <si>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</si>
  <si>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</si>
  <si>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</si>
  <si>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</si>
  <si>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</si>
  <si>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</si>
  <si>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</si>
  <si>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</si>
  <si>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</si>
  <si>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</si>
  <si>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</si>
  <si>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</si>
  <si>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</si>
  <si>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</si>
  <si>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</si>
  <si>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</si>
  <si>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</si>
  <si>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</si>
  <si>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</si>
  <si>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</si>
  <si>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</si>
  <si>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</si>
  <si>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</si>
  <si>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</si>
  <si>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</si>
  <si>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</si>
  <si>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</si>
  <si>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</si>
  <si>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</si>
  <si>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</si>
  <si>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</si>
  <si>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</si>
  <si>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</si>
  <si>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</si>
  <si>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</si>
  <si>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</si>
  <si>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</si>
  <si>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</si>
  <si>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</si>
  <si>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</si>
  <si>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</si>
  <si>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</si>
  <si>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</si>
  <si>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</si>
  <si>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</si>
  <si>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</si>
  <si>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</si>
  <si>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</si>
  <si>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</si>
  <si>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</si>
  <si>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</si>
  <si>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</si>
  <si>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</si>
  <si>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</si>
  <si>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</si>
  <si>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</si>
  <si>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</si>
  <si>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</si>
  <si>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</si>
  <si>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</si>
  <si>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</si>
  <si>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</si>
  <si>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</si>
  <si>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</si>
  <si>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</si>
  <si>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</si>
  <si>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</si>
  <si>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</si>
  <si>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</si>
  <si>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</si>
  <si>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</si>
  <si>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</si>
  <si>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</si>
  <si>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</si>
  <si>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</si>
  <si>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</si>
  <si>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</si>
  <si>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</si>
  <si>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</si>
  <si>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</si>
  <si>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</si>
  <si>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</si>
  <si>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</si>
  <si>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</si>
  <si>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</si>
  <si>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</si>
  <si>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</si>
  <si>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</si>
  <si>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</si>
  <si>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</si>
  <si>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</si>
  <si>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</si>
  <si>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</si>
  <si>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</si>
  <si>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</si>
  <si>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</si>
  <si>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</si>
  <si>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</si>
  <si>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</si>
  <si>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</si>
  <si>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</si>
  <si>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</si>
  <si>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</si>
  <si>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</si>
  <si>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</si>
  <si>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</si>
  <si>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</si>
  <si>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</si>
  <si>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</si>
  <si>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</si>
  <si>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</si>
  <si>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</si>
  <si>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</si>
  <si>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</si>
  <si>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</si>
  <si>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</si>
  <si>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</si>
  <si>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</si>
  <si>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</si>
  <si>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</si>
  <si>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</si>
  <si>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</si>
  <si>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</si>
  <si>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</si>
  <si>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</si>
  <si>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</si>
  <si>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</si>
  <si>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</si>
  <si>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</si>
  <si>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</si>
  <si>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</si>
  <si>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</si>
  <si>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</si>
  <si>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</si>
  <si>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</si>
  <si>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</si>
  <si>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</si>
  <si>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</si>
  <si>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</si>
  <si>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</si>
  <si>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</si>
  <si>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</si>
  <si>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</si>
  <si>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</si>
  <si>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</si>
  <si>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</si>
  <si>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</si>
  <si>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</si>
  <si>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</si>
  <si>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</si>
  <si>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</si>
  <si>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</si>
  <si>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</si>
  <si>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</si>
  <si>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</si>
  <si>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</si>
  <si>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</si>
  <si>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</si>
  <si>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</si>
  <si>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</si>
  <si>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</si>
  <si>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</si>
  <si>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</si>
  <si>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</si>
  <si>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</si>
  <si>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</si>
  <si>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</si>
  <si>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</si>
  <si>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</si>
  <si>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</si>
  <si>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</si>
  <si>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</si>
  <si>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</si>
  <si>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</si>
  <si>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</si>
  <si>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</si>
  <si>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</si>
  <si>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</si>
  <si>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</si>
  <si>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</si>
  <si>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</si>
  <si>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</si>
  <si>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</si>
  <si>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</si>
  <si>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</si>
  <si>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</si>
  <si>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</si>
  <si>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</si>
  <si>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</si>
  <si>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</si>
  <si>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</si>
  <si>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</si>
  <si>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</si>
  <si>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</si>
  <si>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</si>
  <si>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</si>
  <si>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</si>
  <si>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</si>
  <si>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</si>
  <si>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</si>
  <si>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</si>
  <si>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</si>
  <si>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</si>
  <si>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</si>
  <si>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</si>
  <si>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</si>
  <si>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</si>
  <si>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</si>
  <si>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</si>
  <si>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</si>
  <si>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</si>
  <si>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</si>
  <si>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</si>
  <si>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</si>
  <si>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</si>
  <si>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</si>
  <si>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</si>
  <si>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</si>
  <si>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</si>
  <si>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</si>
  <si>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</si>
  <si>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</si>
  <si>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</si>
  <si>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</si>
  <si>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</si>
  <si>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</si>
  <si>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</si>
  <si>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</si>
  <si>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</si>
  <si>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</si>
  <si>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</si>
  <si>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</si>
  <si>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</si>
  <si>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</si>
  <si>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</si>
  <si>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</si>
  <si>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</si>
  <si>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</si>
  <si>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</si>
  <si>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</si>
  <si>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</si>
  <si>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</si>
  <si>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</si>
  <si>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</si>
  <si>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</si>
  <si>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</si>
  <si>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</si>
  <si>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</si>
  <si>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</si>
  <si>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</si>
  <si>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</si>
  <si>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</si>
  <si>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</si>
  <si>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</si>
  <si>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</si>
  <si>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</si>
  <si>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</si>
  <si>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</si>
  <si>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</si>
  <si>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</si>
  <si>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</si>
  <si>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</si>
  <si>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</si>
  <si>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</si>
  <si>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</si>
  <si>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</si>
  <si>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</si>
  <si>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</si>
  <si>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</si>
  <si>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</si>
  <si>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</si>
  <si>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</si>
  <si>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</si>
  <si>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</si>
  <si>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</si>
  <si>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</si>
  <si>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</si>
  <si>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</si>
  <si>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</si>
  <si>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</si>
  <si>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</si>
  <si>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</si>
  <si>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</si>
  <si>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</si>
  <si>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</si>
  <si>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</si>
  <si>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</si>
  <si>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</si>
  <si>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</si>
  <si>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</si>
  <si>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</si>
  <si>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</si>
  <si>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</si>
  <si>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</si>
  <si>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</si>
  <si>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</si>
  <si>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</si>
  <si>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</si>
  <si>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</si>
  <si>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</si>
  <si>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</si>
  <si>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</si>
  <si>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</si>
  <si>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</si>
  <si>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</si>
  <si>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</si>
  <si>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</si>
  <si>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</si>
  <si>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</si>
  <si>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</si>
  <si>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</si>
  <si>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</si>
  <si>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</si>
  <si>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</si>
  <si>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</si>
  <si>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</si>
  <si>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</si>
  <si>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</si>
  <si>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</si>
  <si>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</si>
  <si>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</si>
  <si>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</si>
  <si>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</si>
  <si>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</si>
  <si>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</si>
  <si>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</si>
  <si>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</si>
  <si>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</si>
  <si>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</si>
  <si>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</si>
  <si>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</si>
  <si>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</si>
  <si>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</si>
  <si>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</si>
  <si>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</si>
  <si>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</si>
  <si>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</si>
  <si>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</si>
  <si>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</si>
  <si>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</si>
  <si>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</si>
  <si>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</si>
  <si>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</si>
  <si>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</si>
  <si>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</si>
  <si>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</si>
  <si>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</si>
  <si>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</si>
  <si>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</si>
  <si>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</si>
  <si>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</si>
  <si>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</si>
  <si>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</si>
  <si>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</si>
  <si>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</si>
  <si>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</si>
  <si>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</si>
  <si>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</si>
  <si>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</si>
  <si>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</si>
  <si>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</si>
  <si>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</si>
  <si>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</si>
  <si>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</si>
  <si>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</si>
  <si>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</si>
  <si>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</si>
  <si>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</si>
  <si>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</si>
  <si>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</si>
  <si>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</si>
  <si>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</si>
  <si>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</si>
  <si>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</si>
  <si>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</si>
  <si>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</si>
  <si>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</si>
  <si>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</si>
  <si>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</si>
  <si>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</si>
  <si>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</si>
  <si>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</si>
  <si>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</si>
  <si>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</si>
  <si>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</si>
  <si>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</si>
  <si>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</si>
  <si>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</si>
  <si>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</si>
  <si>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</si>
  <si>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</si>
  <si>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</si>
  <si>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</si>
  <si>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</si>
  <si>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</si>
  <si>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</si>
  <si>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</si>
  <si>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</si>
  <si>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</si>
  <si>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</si>
  <si>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</si>
  <si>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</si>
  <si>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</si>
  <si>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</si>
  <si>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</si>
  <si>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</si>
  <si>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</si>
  <si>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</si>
  <si>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</si>
  <si>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</si>
  <si>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</si>
  <si>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</si>
  <si>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</si>
  <si>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</si>
  <si>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</si>
  <si>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</si>
  <si>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</si>
  <si>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</si>
  <si>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</si>
  <si>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</si>
  <si>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</si>
  <si>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</si>
  <si>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</si>
  <si>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</si>
  <si>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</si>
  <si>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</si>
  <si>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</si>
  <si>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</si>
  <si>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</si>
  <si>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</si>
  <si>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</si>
  <si>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</si>
  <si>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</si>
  <si>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</si>
  <si>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</si>
  <si>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</si>
  <si>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</si>
  <si>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</si>
  <si>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</si>
  <si>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</si>
  <si>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</si>
  <si>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</si>
  <si>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</si>
  <si>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</si>
  <si>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</si>
  <si>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</si>
  <si>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</si>
  <si>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</si>
  <si>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</si>
  <si>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</si>
  <si>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</si>
  <si>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</si>
  <si>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</si>
  <si>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</si>
  <si>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</si>
  <si>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</si>
  <si>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</si>
  <si>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</si>
  <si>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</si>
  <si>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</si>
  <si>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</si>
  <si>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</si>
  <si>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</si>
  <si>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</si>
  <si>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</si>
  <si>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</si>
  <si>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</si>
  <si>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</si>
  <si>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</si>
  <si>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</si>
  <si>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</si>
  <si>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</si>
  <si>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</si>
  <si>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</si>
  <si>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</si>
  <si>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</si>
  <si>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</si>
  <si>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</si>
  <si>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</si>
  <si>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</si>
  <si>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</si>
  <si>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</si>
  <si>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</si>
  <si>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</si>
  <si>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</si>
  <si>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</si>
  <si>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</si>
  <si>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</si>
  <si>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</si>
  <si>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</si>
  <si>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</si>
  <si>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</si>
  <si>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</si>
  <si>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</si>
  <si>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</si>
  <si>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</si>
  <si>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</si>
  <si>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</si>
  <si>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</si>
  <si>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</si>
  <si>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</si>
  <si>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</si>
  <si>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</si>
  <si>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</si>
  <si>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</si>
  <si>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</si>
  <si>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</si>
  <si>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</si>
  <si>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</si>
  <si>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</si>
  <si>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</si>
  <si>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</si>
  <si>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</si>
  <si>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</si>
  <si>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</si>
  <si>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</si>
  <si>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</si>
  <si>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</si>
  <si>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</si>
  <si>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</si>
  <si>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</si>
  <si>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</si>
  <si>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</si>
  <si>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</si>
  <si>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</si>
  <si>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</si>
  <si>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</si>
  <si>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</si>
  <si>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</si>
  <si>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</si>
  <si>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</si>
  <si>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</si>
  <si>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</si>
  <si>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</si>
  <si>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</si>
  <si>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</si>
  <si>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</si>
  <si>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</si>
  <si>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</si>
  <si>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</si>
  <si>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</si>
  <si>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</si>
  <si>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</si>
  <si>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</si>
  <si>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</si>
  <si>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</si>
  <si>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</si>
  <si>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</si>
  <si>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</si>
  <si>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</si>
  <si>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</si>
  <si>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</si>
  <si>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</si>
  <si>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</si>
  <si>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</si>
  <si>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</si>
  <si>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</si>
  <si>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</si>
  <si>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</si>
  <si>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</si>
  <si>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</si>
  <si>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</si>
  <si>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</si>
  <si>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</si>
  <si>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</si>
  <si>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</si>
  <si>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</si>
  <si>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</si>
  <si>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</si>
  <si>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</si>
  <si>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</si>
  <si>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</si>
  <si>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</si>
  <si>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</si>
  <si>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</si>
  <si>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</si>
  <si>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</si>
  <si>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</si>
  <si>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</si>
  <si>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</si>
  <si>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</si>
  <si>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</si>
  <si>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</si>
  <si>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</si>
  <si>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</si>
  <si>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</si>
  <si>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</si>
  <si>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</si>
  <si>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</si>
  <si>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</si>
  <si>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</si>
  <si>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</si>
  <si>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</si>
  <si>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</si>
  <si>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</si>
  <si>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</si>
  <si>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</si>
  <si>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</si>
  <si>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</si>
  <si>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</si>
  <si>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</si>
  <si>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</si>
  <si>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</si>
  <si>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</si>
  <si>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</si>
  <si>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</si>
  <si>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</si>
  <si>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</si>
  <si>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</si>
  <si>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</si>
  <si>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</si>
  <si>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</si>
  <si>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</si>
  <si>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</si>
  <si>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</si>
  <si>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</si>
  <si>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</si>
  <si>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</si>
  <si>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</si>
  <si>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</si>
  <si>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</si>
  <si>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</si>
  <si>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</si>
  <si>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</si>
  <si>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</si>
  <si>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</si>
  <si>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</si>
  <si>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</si>
  <si>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</si>
  <si>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</si>
  <si>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</si>
  <si>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</si>
  <si>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</si>
  <si>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</si>
  <si>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</si>
  <si>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</si>
  <si>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</si>
  <si>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</si>
  <si>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</si>
  <si>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</si>
  <si>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</si>
  <si>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</si>
  <si>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</si>
  <si>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</si>
  <si>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</si>
  <si>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</si>
  <si>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</si>
  <si>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</si>
  <si>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</si>
  <si>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</si>
  <si>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</si>
  <si>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</si>
  <si>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</si>
  <si>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</si>
  <si>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</si>
  <si>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</si>
  <si>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</si>
  <si>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</si>
  <si>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</si>
  <si>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</si>
  <si>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</si>
  <si>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</si>
  <si>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</si>
  <si>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</si>
  <si>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</si>
  <si>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</si>
  <si>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</si>
  <si>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</si>
  <si>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</si>
  <si>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</si>
  <si>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</si>
  <si>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</si>
  <si>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</si>
  <si>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</si>
  <si>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</si>
  <si>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</si>
  <si>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</si>
  <si>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</si>
  <si>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</si>
  <si>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</si>
  <si>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</si>
  <si>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</si>
  <si>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</si>
  <si>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</si>
  <si>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</si>
  <si>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</si>
  <si>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</si>
  <si>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</si>
  <si>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</si>
  <si>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</si>
  <si>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</si>
  <si>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</si>
  <si>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</si>
  <si>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</si>
  <si>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</si>
  <si>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</si>
  <si>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</si>
  <si>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</si>
  <si>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</si>
  <si>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</si>
  <si>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</si>
  <si>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</si>
  <si>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</si>
  <si>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</si>
  <si>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</si>
  <si>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</si>
  <si>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</si>
  <si>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</si>
  <si>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</si>
  <si>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</si>
  <si>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</si>
  <si>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</si>
  <si>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</si>
  <si>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</si>
  <si>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</si>
  <si>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</si>
  <si>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</si>
  <si>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</si>
  <si>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</si>
  <si>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</si>
  <si>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</si>
  <si>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</si>
  <si>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</si>
  <si>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</si>
  <si>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</si>
  <si>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</si>
  <si>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</si>
  <si>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</si>
  <si>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</si>
  <si>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</si>
  <si>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</si>
  <si>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</si>
  <si>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</si>
  <si>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</si>
  <si>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</si>
  <si>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</si>
  <si>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</si>
  <si>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</si>
  <si>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</si>
  <si>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</si>
  <si>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</si>
  <si>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</si>
  <si>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</si>
  <si>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</si>
  <si>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</si>
  <si>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</si>
  <si>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</si>
  <si>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</si>
  <si>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</si>
  <si>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</si>
  <si>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</si>
  <si>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</si>
  <si>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</si>
  <si>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</si>
  <si>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</si>
  <si>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</si>
  <si>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</si>
  <si>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</si>
  <si>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</si>
  <si>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</si>
  <si>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</si>
  <si>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</si>
  <si>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</si>
  <si>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</si>
  <si>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</si>
  <si>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</si>
  <si>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</si>
  <si>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</si>
  <si>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</si>
  <si>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</si>
  <si>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</si>
  <si>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</si>
  <si>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</si>
  <si>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</si>
  <si>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</si>
  <si>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</si>
  <si>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</si>
  <si>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</si>
  <si>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</si>
  <si>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</si>
  <si>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</si>
  <si>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</si>
  <si>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</si>
  <si>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</si>
  <si>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</si>
  <si>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</si>
  <si>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</si>
  <si>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</si>
  <si>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</si>
  <si>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</si>
  <si>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</si>
  <si>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</si>
  <si>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</si>
  <si>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</si>
  <si>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</si>
  <si>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</si>
  <si>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</si>
  <si>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</si>
  <si>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</si>
  <si>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</si>
  <si>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</si>
  <si>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</si>
  <si>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</si>
  <si>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</si>
  <si>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</si>
  <si>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</si>
  <si>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</si>
  <si>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</si>
  <si>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</si>
  <si>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</si>
  <si>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</si>
  <si>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</si>
  <si>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</si>
  <si>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</si>
  <si>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</si>
  <si>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</si>
  <si>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</si>
  <si>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</si>
  <si>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</si>
  <si>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</si>
  <si>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</si>
  <si>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</si>
  <si>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</si>
  <si>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</si>
  <si>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</si>
  <si>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</si>
  <si>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</si>
  <si>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</si>
  <si>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</si>
  <si>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</si>
  <si>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</si>
  <si>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</si>
  <si>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</si>
  <si>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</si>
  <si>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</si>
  <si>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</si>
  <si>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</si>
  <si>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</si>
  <si>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</si>
  <si>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</si>
  <si>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</si>
  <si>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</si>
  <si>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</si>
  <si>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</si>
  <si>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</si>
  <si>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</si>
  <si>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</si>
  <si>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</si>
  <si>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</si>
  <si>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</si>
  <si>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</si>
  <si>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</si>
  <si>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</si>
  <si>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</si>
  <si>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</si>
  <si>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</si>
  <si>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</si>
  <si>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</si>
  <si>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</si>
  <si>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</si>
  <si>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</si>
  <si>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</si>
  <si>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</si>
  <si>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</si>
  <si>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</si>
  <si>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</si>
  <si>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</si>
  <si>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</si>
  <si>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</si>
  <si>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</si>
  <si>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</si>
  <si>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</si>
  <si>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</si>
  <si>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</si>
  <si>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</si>
  <si>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</si>
  <si>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</si>
  <si>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</si>
  <si>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</si>
  <si>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</si>
  <si>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</si>
  <si>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</si>
  <si>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</si>
  <si>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</si>
  <si>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</si>
  <si>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</si>
  <si>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</si>
  <si>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</si>
  <si>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</si>
  <si>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</si>
  <si>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</si>
  <si>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</si>
  <si>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</si>
  <si>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</si>
  <si>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</si>
  <si>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</si>
  <si>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</si>
  <si>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</si>
  <si>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</si>
  <si>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</si>
  <si>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</si>
  <si>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</si>
  <si>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</si>
  <si>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</si>
  <si>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</si>
  <si>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</si>
  <si>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</si>
  <si>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</si>
  <si>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</si>
  <si>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</si>
  <si>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</si>
  <si>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</si>
  <si>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</si>
  <si>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</si>
  <si>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</si>
  <si>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</si>
  <si>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</si>
  <si>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</si>
  <si>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</si>
  <si>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</si>
  <si>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</si>
  <si>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</si>
  <si>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</si>
  <si>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</si>
  <si>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</si>
  <si>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</si>
  <si>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</si>
  <si>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</si>
  <si>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</si>
  <si>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</si>
  <si>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</si>
  <si>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</si>
  <si>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</si>
  <si>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</si>
  <si>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</si>
  <si>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</si>
  <si>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</si>
  <si>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</si>
  <si>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</si>
  <si>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</si>
  <si>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</si>
  <si>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</si>
  <si>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</si>
  <si>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</si>
  <si>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</si>
  <si>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</si>
  <si>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</si>
  <si>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</si>
  <si>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</si>
  <si>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</si>
  <si>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</si>
  <si>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</si>
  <si>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</si>
  <si>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</si>
  <si>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</si>
  <si>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</si>
  <si>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</si>
  <si>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</si>
  <si>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</si>
  <si>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</si>
  <si>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</si>
  <si>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</si>
  <si>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</si>
  <si>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</si>
  <si>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</si>
  <si>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</si>
  <si>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</si>
  <si>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</si>
  <si>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</si>
  <si>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</si>
  <si>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</si>
  <si>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</si>
  <si>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</si>
  <si>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</si>
  <si>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</si>
  <si>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</si>
  <si>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</si>
  <si>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</si>
  <si>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</si>
  <si>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</si>
  <si>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</si>
  <si>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</si>
  <si>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</si>
  <si>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</si>
  <si>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</si>
  <si>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</si>
  <si>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</si>
  <si>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</si>
  <si>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</si>
  <si>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</si>
  <si>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</si>
  <si>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</si>
  <si>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</si>
  <si>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</si>
  <si>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</si>
  <si>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</si>
  <si>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</si>
  <si>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</si>
  <si>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</si>
  <si>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</si>
  <si>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</si>
  <si>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</si>
  <si>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</si>
  <si>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</si>
  <si>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</si>
  <si>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</si>
  <si>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</si>
  <si>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</si>
  <si>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</si>
  <si>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</si>
  <si>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</si>
  <si>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</si>
  <si>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</si>
  <si>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</si>
  <si>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</si>
  <si>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</si>
  <si>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</si>
  <si>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</si>
  <si>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</si>
  <si>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</si>
  <si>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</si>
  <si>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</si>
  <si>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</si>
  <si>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</si>
  <si>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</si>
  <si>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</si>
  <si>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</si>
  <si>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</si>
  <si>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</si>
  <si>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</si>
  <si>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</si>
  <si>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</si>
  <si>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</si>
  <si>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</si>
  <si>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</si>
  <si>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</si>
  <si>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</si>
  <si>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</si>
  <si>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</si>
  <si>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</si>
  <si>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</si>
  <si>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</si>
  <si>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</si>
  <si>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</si>
  <si>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</si>
  <si>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</si>
  <si>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Wipfli LLP</t>
  </si>
  <si>
    <t>Matthew Schueler</t>
  </si>
  <si>
    <t>403 East 3rd Street</t>
  </si>
  <si>
    <t>Sterling</t>
  </si>
  <si>
    <t>IL</t>
  </si>
  <si>
    <t>815-626-9118</t>
  </si>
  <si>
    <t>066-004023</t>
  </si>
  <si>
    <t>mschueler@wipfli.com</t>
  </si>
  <si>
    <t>815-626-1277</t>
  </si>
  <si>
    <t>Working Cash Bonds, Series 2016</t>
  </si>
  <si>
    <t>X</t>
  </si>
  <si>
    <t>Livingston</t>
  </si>
  <si>
    <t>801 S Franklin St</t>
  </si>
  <si>
    <t>Dwight</t>
  </si>
  <si>
    <t>jancekr@dwight.k12.il.us</t>
  </si>
  <si>
    <t>Dr. Richard Jancek</t>
  </si>
  <si>
    <t>815-584-6216</t>
  </si>
  <si>
    <t>23. Qualified for the District not maintaining historical cost on capital assets. Adverse for not implementing GASB34.</t>
  </si>
  <si>
    <t>Livingston County Special Services Unit</t>
  </si>
  <si>
    <t>Education Fund - 1829: Sale of PE Uniforms - $1,570 and Padlock Sales - $1,195</t>
  </si>
  <si>
    <t>Education Fund - 1999: Other Revenue Local Source - $3,700 and Flow-thru Roof/Water Damage - $30,257</t>
  </si>
  <si>
    <t>Education Fund - 3999: State Library Grant - $750</t>
  </si>
  <si>
    <t>Operations &amp; Maintenance Fund - 1999: Other Revenue Local Source - $275</t>
  </si>
  <si>
    <t>Tort Fund - 1999: Other Revenue Local Source - $3,160</t>
  </si>
  <si>
    <t>Operations &amp; Maintenance Fund - 5150: Bond Agent Paying Fees $350</t>
  </si>
  <si>
    <t>ED-Support Services (business)-Purchased Services</t>
  </si>
  <si>
    <t>Arbor Management</t>
  </si>
  <si>
    <t xml:space="preserve">  Dwight Common SD 232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</si>
</sst>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cellStyleXfs>
  <cellXfs count="255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528260</xdr:colOff>
      <xdr:row>48</xdr:row>
      <xdr:rowOff>9525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14660" cy="7781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1466850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1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1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1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1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1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2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2.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3">
        <f>+'AFR20'!E4</f>
        <v>44119</v>
      </c>
      <c r="C1" s="2073"/>
      <c r="D1" s="2074"/>
      <c r="I1" s="2032" t="s">
        <v>402</v>
      </c>
      <c r="J1" s="2033"/>
      <c r="K1" s="2033"/>
      <c r="L1" s="2033"/>
      <c r="M1" s="2033"/>
      <c r="N1" s="2033"/>
      <c r="O1" s="2033"/>
      <c r="P1" s="2033"/>
      <c r="Q1" s="2033"/>
      <c r="R1" s="2033"/>
      <c r="S1" s="2033"/>
    </row>
    <row r="2" spans="1:32" ht="12" customHeight="1" x14ac:dyDescent="0.2">
      <c r="A2" s="1889" t="str">
        <f>"Due to ISBE on "</f>
        <v xml:space="preserve">Due to ISBE on </v>
      </c>
      <c r="B2" s="2075">
        <f>+'AFR20'!F4</f>
        <v>44151</v>
      </c>
      <c r="C2" s="2075"/>
      <c r="D2" s="2076"/>
      <c r="I2" s="2034" t="s">
        <v>2006</v>
      </c>
      <c r="J2" s="2033"/>
      <c r="K2" s="2033"/>
      <c r="L2" s="2033"/>
      <c r="M2" s="2033"/>
      <c r="N2" s="2033"/>
      <c r="O2" s="2033"/>
      <c r="P2" s="2033"/>
      <c r="Q2" s="2033"/>
      <c r="R2" s="2033"/>
      <c r="S2" s="2033"/>
    </row>
    <row r="3" spans="1:32" ht="12" customHeight="1" x14ac:dyDescent="0.2">
      <c r="A3" s="1892" t="str">
        <f>"SD/JA"&amp;MID('AFR20'!E2,3,2)</f>
        <v>SD/JA20</v>
      </c>
      <c r="B3" s="151"/>
      <c r="C3" s="151"/>
      <c r="D3" s="152"/>
      <c r="I3" s="2034" t="s">
        <v>52</v>
      </c>
      <c r="J3" s="2033"/>
      <c r="K3" s="2033"/>
      <c r="L3" s="2033"/>
      <c r="M3" s="2033"/>
      <c r="N3" s="2033"/>
      <c r="O3" s="2033"/>
      <c r="P3" s="2033"/>
      <c r="Q3" s="2033"/>
      <c r="R3" s="2033"/>
      <c r="S3" s="2033"/>
    </row>
    <row r="4" spans="1:32" ht="12" customHeight="1" x14ac:dyDescent="0.2">
      <c r="A4" s="37"/>
      <c r="I4" s="2034" t="s">
        <v>521</v>
      </c>
      <c r="J4" s="2033"/>
      <c r="K4" s="2033"/>
      <c r="L4" s="2033"/>
      <c r="M4" s="2033"/>
      <c r="N4" s="2033"/>
      <c r="O4" s="2033"/>
      <c r="P4" s="2033"/>
      <c r="Q4" s="2033"/>
      <c r="R4" s="2033"/>
      <c r="S4" s="2033"/>
    </row>
    <row r="5" spans="1:32" ht="14.1" customHeight="1" x14ac:dyDescent="0.2">
      <c r="B5" s="101" t="s">
        <v>2031</v>
      </c>
      <c r="C5" s="26" t="s">
        <v>904</v>
      </c>
      <c r="D5" s="81"/>
      <c r="E5" s="81"/>
      <c r="H5" s="38"/>
      <c r="I5" s="2042" t="s">
        <v>675</v>
      </c>
      <c r="J5" s="2041"/>
      <c r="K5" s="2041"/>
      <c r="L5" s="2041"/>
      <c r="M5" s="2041"/>
      <c r="N5" s="2041"/>
      <c r="O5" s="2041"/>
      <c r="P5" s="2041"/>
      <c r="Q5" s="2041"/>
      <c r="R5" s="2041"/>
      <c r="S5" s="2041"/>
      <c r="AF5" s="1885"/>
    </row>
    <row r="6" spans="1:32" ht="14.1" customHeight="1" x14ac:dyDescent="0.2">
      <c r="B6" s="101"/>
      <c r="C6" s="26" t="s">
        <v>905</v>
      </c>
      <c r="D6" s="81"/>
      <c r="E6" s="81"/>
      <c r="I6" s="2040" t="s">
        <v>877</v>
      </c>
      <c r="J6" s="2041"/>
      <c r="K6" s="2041"/>
      <c r="L6" s="2041"/>
      <c r="M6" s="2041"/>
      <c r="N6" s="2041"/>
      <c r="O6" s="2041"/>
      <c r="P6" s="2041"/>
      <c r="Q6" s="2041"/>
      <c r="R6" s="2041"/>
      <c r="S6" s="2041"/>
    </row>
    <row r="7" spans="1:32" ht="12.2" customHeight="1" x14ac:dyDescent="0.2">
      <c r="I7" s="2035" t="str">
        <f>"June 30, "&amp;'AFR20'!E2</f>
        <v>June 30, 2020</v>
      </c>
      <c r="J7" s="2036"/>
      <c r="K7" s="2036"/>
      <c r="L7" s="2036"/>
      <c r="M7" s="2036"/>
      <c r="N7" s="2036"/>
      <c r="O7" s="2036"/>
      <c r="P7" s="2036"/>
      <c r="Q7" s="2036"/>
      <c r="R7" s="2036"/>
      <c r="S7" s="203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37" t="s">
        <v>669</v>
      </c>
      <c r="J9" s="2038"/>
      <c r="K9" s="2038"/>
      <c r="L9" s="2038"/>
      <c r="M9" s="2038"/>
      <c r="N9" s="2038"/>
      <c r="O9" s="2038"/>
      <c r="P9" s="2038"/>
      <c r="Q9" s="2038"/>
      <c r="R9" s="2038"/>
      <c r="S9" s="2039"/>
      <c r="T9" s="2090" t="s">
        <v>530</v>
      </c>
      <c r="U9" s="2091"/>
      <c r="V9" s="2091"/>
      <c r="W9" s="2091"/>
      <c r="X9" s="2091"/>
      <c r="Y9" s="2091"/>
      <c r="Z9" s="2091"/>
      <c r="AA9" s="2092"/>
    </row>
    <row r="10" spans="1:32" ht="13.5" customHeight="1" x14ac:dyDescent="0.2">
      <c r="A10" s="2097" t="s">
        <v>670</v>
      </c>
      <c r="B10" s="2098"/>
      <c r="C10" s="2098"/>
      <c r="D10" s="2098"/>
      <c r="E10" s="2098"/>
      <c r="F10" s="2098"/>
      <c r="G10" s="2098"/>
      <c r="H10" s="2099"/>
      <c r="I10" s="29"/>
      <c r="J10" s="30"/>
      <c r="K10" s="28"/>
      <c r="R10" s="30"/>
      <c r="S10" s="30"/>
      <c r="T10" s="2093"/>
      <c r="U10" s="2041"/>
      <c r="V10" s="2041"/>
      <c r="W10" s="2041"/>
      <c r="X10" s="2041"/>
      <c r="Y10" s="2041"/>
      <c r="Z10" s="2041"/>
      <c r="AA10" s="2047"/>
    </row>
    <row r="11" spans="1:32" ht="14.25" customHeight="1" x14ac:dyDescent="0.2">
      <c r="A11" s="2100" t="s">
        <v>949</v>
      </c>
      <c r="B11" s="2101"/>
      <c r="C11" s="2101"/>
      <c r="D11" s="2101"/>
      <c r="E11" s="2101"/>
      <c r="F11" s="2101"/>
      <c r="G11" s="2101"/>
      <c r="H11" s="2102"/>
      <c r="I11" s="27"/>
      <c r="J11" s="71"/>
      <c r="K11" s="27"/>
      <c r="O11" s="144" t="s">
        <v>2031</v>
      </c>
      <c r="P11" s="97" t="s">
        <v>199</v>
      </c>
      <c r="Q11" s="30"/>
      <c r="R11" s="28"/>
      <c r="S11" s="27"/>
      <c r="T11" s="2094"/>
      <c r="U11" s="2095"/>
      <c r="V11" s="2095"/>
      <c r="W11" s="2095"/>
      <c r="X11" s="2095"/>
      <c r="Y11" s="2095"/>
      <c r="Z11" s="2095"/>
      <c r="AA11" s="209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53">
        <v>17053232002</v>
      </c>
      <c r="B13" s="2054"/>
      <c r="C13" s="2054"/>
      <c r="D13" s="2054"/>
      <c r="E13" s="2054"/>
      <c r="F13" s="2054"/>
      <c r="G13" s="2054"/>
      <c r="H13" s="2055"/>
      <c r="I13" s="31"/>
      <c r="J13" s="30"/>
      <c r="K13" s="28"/>
      <c r="L13" s="30"/>
      <c r="M13" s="30"/>
      <c r="N13" s="30"/>
      <c r="O13" s="30"/>
      <c r="P13" s="30"/>
      <c r="Q13" s="30"/>
      <c r="R13" s="30"/>
      <c r="S13" s="30"/>
      <c r="T13" s="2059" t="s">
        <v>2021</v>
      </c>
      <c r="U13" s="2060"/>
      <c r="V13" s="2060"/>
      <c r="W13" s="2060"/>
      <c r="X13" s="2060"/>
      <c r="Y13" s="2061"/>
      <c r="Z13" s="2061"/>
      <c r="AA13" s="2062"/>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56" t="s">
        <v>2032</v>
      </c>
      <c r="B15" s="2057"/>
      <c r="C15" s="2057"/>
      <c r="D15" s="2057"/>
      <c r="E15" s="2057"/>
      <c r="F15" s="2057"/>
      <c r="G15" s="2057"/>
      <c r="H15" s="2058"/>
      <c r="T15" s="2063" t="s">
        <v>2022</v>
      </c>
      <c r="U15" s="2020"/>
      <c r="V15" s="2020"/>
      <c r="W15" s="2020"/>
      <c r="X15" s="2020"/>
      <c r="Y15" s="2064"/>
      <c r="Z15" s="2064"/>
      <c r="AA15" s="206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26" t="s">
        <v>2048</v>
      </c>
      <c r="B17" s="2027"/>
      <c r="C17" s="2027"/>
      <c r="D17" s="2027"/>
      <c r="E17" s="2027"/>
      <c r="F17" s="2027"/>
      <c r="G17" s="2027"/>
      <c r="H17" s="2052"/>
      <c r="T17" s="2070" t="s">
        <v>2023</v>
      </c>
      <c r="U17" s="2071"/>
      <c r="V17" s="2071"/>
      <c r="W17" s="2071"/>
      <c r="X17" s="2071"/>
      <c r="Y17" s="2071"/>
      <c r="Z17" s="2071"/>
      <c r="AA17" s="2072"/>
    </row>
    <row r="18" spans="1:27" ht="13.5" customHeight="1" x14ac:dyDescent="0.2">
      <c r="A18" s="82" t="s">
        <v>527</v>
      </c>
      <c r="B18" s="73"/>
      <c r="C18" s="69"/>
      <c r="D18" s="73"/>
      <c r="E18" s="73"/>
      <c r="F18" s="73"/>
      <c r="G18" s="73"/>
      <c r="H18" s="53"/>
      <c r="I18" s="2051" t="s">
        <v>671</v>
      </c>
      <c r="J18" s="2002"/>
      <c r="K18" s="2002"/>
      <c r="L18" s="2002"/>
      <c r="M18" s="2002"/>
      <c r="N18" s="2002"/>
      <c r="O18" s="2002"/>
      <c r="P18" s="2002"/>
      <c r="Q18" s="2002"/>
      <c r="R18" s="2002"/>
      <c r="S18" s="2003"/>
      <c r="T18" s="82" t="s">
        <v>706</v>
      </c>
      <c r="U18" s="48"/>
      <c r="V18" s="69"/>
      <c r="W18" s="47"/>
      <c r="X18" s="82" t="s">
        <v>264</v>
      </c>
      <c r="Y18" s="78"/>
      <c r="Z18" s="154" t="s">
        <v>672</v>
      </c>
      <c r="AA18" s="44"/>
    </row>
    <row r="19" spans="1:27" ht="13.5" customHeight="1" x14ac:dyDescent="0.2">
      <c r="A19" s="2056" t="s">
        <v>2033</v>
      </c>
      <c r="B19" s="2012"/>
      <c r="C19" s="2012"/>
      <c r="D19" s="2012"/>
      <c r="E19" s="2012"/>
      <c r="F19" s="2012"/>
      <c r="G19" s="2012"/>
      <c r="H19" s="1992"/>
      <c r="I19" s="30"/>
      <c r="J19" s="96"/>
      <c r="K19" s="40"/>
      <c r="L19" s="38"/>
      <c r="M19" s="109" t="s">
        <v>312</v>
      </c>
      <c r="P19" s="27"/>
      <c r="Q19" s="27"/>
      <c r="R19" s="27"/>
      <c r="S19" s="31"/>
      <c r="T19" s="2056" t="s">
        <v>2024</v>
      </c>
      <c r="U19" s="1991"/>
      <c r="V19" s="1991"/>
      <c r="W19" s="1992"/>
      <c r="X19" s="2068" t="s">
        <v>2025</v>
      </c>
      <c r="Y19" s="2069"/>
      <c r="Z19" s="2066">
        <v>61081</v>
      </c>
      <c r="AA19" s="206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1990" t="s">
        <v>2034</v>
      </c>
      <c r="B21" s="1991"/>
      <c r="C21" s="1991"/>
      <c r="D21" s="1991"/>
      <c r="E21" s="1991"/>
      <c r="F21" s="1991"/>
      <c r="G21" s="1991"/>
      <c r="H21" s="1992"/>
      <c r="I21" s="2046" t="s">
        <v>673</v>
      </c>
      <c r="J21" s="2041"/>
      <c r="K21" s="2041"/>
      <c r="L21" s="2041"/>
      <c r="M21" s="2041"/>
      <c r="N21" s="2041"/>
      <c r="O21" s="2041"/>
      <c r="P21" s="2041"/>
      <c r="Q21" s="2041"/>
      <c r="R21" s="2041"/>
      <c r="S21" s="2047"/>
      <c r="T21" s="2081" t="s">
        <v>2029</v>
      </c>
      <c r="U21" s="2082"/>
      <c r="V21" s="2082"/>
      <c r="W21" s="2082"/>
      <c r="X21" s="2087" t="s">
        <v>2026</v>
      </c>
      <c r="Y21" s="2088"/>
      <c r="Z21" s="2088"/>
      <c r="AA21" s="2089"/>
    </row>
    <row r="22" spans="1:27" ht="13.5" customHeight="1" x14ac:dyDescent="0.2">
      <c r="A22" s="84" t="s">
        <v>528</v>
      </c>
      <c r="B22" s="56"/>
      <c r="C22" s="56"/>
      <c r="D22" s="56"/>
      <c r="E22" s="56"/>
      <c r="F22" s="56"/>
      <c r="G22" s="56"/>
      <c r="H22" s="57"/>
      <c r="I22" s="2048" t="s">
        <v>1415</v>
      </c>
      <c r="J22" s="2049"/>
      <c r="K22" s="2049"/>
      <c r="L22" s="2049"/>
      <c r="M22" s="2049"/>
      <c r="N22" s="2049"/>
      <c r="O22" s="2049"/>
      <c r="P22" s="2049"/>
      <c r="Q22" s="2049"/>
      <c r="R22" s="2049"/>
      <c r="S22" s="2050"/>
      <c r="T22" s="82" t="s">
        <v>1502</v>
      </c>
      <c r="U22" s="48"/>
      <c r="V22" s="69"/>
      <c r="W22" s="48"/>
      <c r="X22" s="155" t="s">
        <v>1309</v>
      </c>
      <c r="Z22" s="43"/>
      <c r="AA22" s="44"/>
    </row>
    <row r="23" spans="1:27" ht="13.5" customHeight="1" x14ac:dyDescent="0.2">
      <c r="A23" s="2043" t="s">
        <v>2035</v>
      </c>
      <c r="B23" s="2044"/>
      <c r="C23" s="2044"/>
      <c r="D23" s="2044"/>
      <c r="E23" s="2044"/>
      <c r="F23" s="2044"/>
      <c r="G23" s="2044"/>
      <c r="H23" s="2045"/>
      <c r="T23" s="2026" t="s">
        <v>2027</v>
      </c>
      <c r="U23" s="2080"/>
      <c r="V23" s="2080"/>
      <c r="W23" s="2080"/>
      <c r="X23" s="2084">
        <v>44530</v>
      </c>
      <c r="Y23" s="2085"/>
      <c r="Z23" s="2085"/>
      <c r="AA23" s="2086"/>
    </row>
    <row r="24" spans="1:27" ht="14.1" customHeight="1" x14ac:dyDescent="0.2">
      <c r="A24" s="85" t="s">
        <v>672</v>
      </c>
      <c r="B24" s="46"/>
      <c r="C24" s="46"/>
      <c r="D24" s="46"/>
      <c r="E24" s="46"/>
      <c r="F24" s="46"/>
      <c r="G24" s="46"/>
      <c r="H24" s="58"/>
      <c r="J24" s="2013">
        <f>IF(B5="x",IF(AUDITCHECK!D29="AFR form Incomplete.","",IF(AUDITCHECK!D29="Deficit reduction plan is required.","School District must complete a deficit reduction plan in the 2019-2020 Budget",)),"")</f>
        <v>0</v>
      </c>
      <c r="K24" s="2013"/>
      <c r="L24" s="2013"/>
      <c r="M24" s="2013"/>
      <c r="N24" s="2013"/>
      <c r="O24" s="2013"/>
      <c r="P24" s="2013"/>
      <c r="Q24" s="2013"/>
      <c r="R24" s="2013"/>
      <c r="S24" s="2014"/>
      <c r="T24" s="102" t="s">
        <v>528</v>
      </c>
      <c r="U24" s="103"/>
      <c r="V24" s="103"/>
      <c r="W24" s="103"/>
      <c r="X24" s="104"/>
      <c r="Y24" s="104"/>
      <c r="Z24" s="104"/>
      <c r="AA24" s="105"/>
    </row>
    <row r="25" spans="1:27" ht="14.1" customHeight="1" x14ac:dyDescent="0.2">
      <c r="A25" s="1990">
        <v>60420</v>
      </c>
      <c r="B25" s="1991"/>
      <c r="C25" s="1991"/>
      <c r="D25" s="1991"/>
      <c r="E25" s="1991"/>
      <c r="F25" s="1991"/>
      <c r="G25" s="1991"/>
      <c r="H25" s="1992"/>
      <c r="I25" s="110"/>
      <c r="J25" s="2015"/>
      <c r="K25" s="2015"/>
      <c r="L25" s="2015"/>
      <c r="M25" s="2015"/>
      <c r="N25" s="2015"/>
      <c r="O25" s="2015"/>
      <c r="P25" s="2015"/>
      <c r="Q25" s="2015"/>
      <c r="R25" s="2015"/>
      <c r="S25" s="2016"/>
      <c r="T25" s="2077" t="s">
        <v>2028</v>
      </c>
      <c r="U25" s="2078"/>
      <c r="V25" s="2078"/>
      <c r="W25" s="2078"/>
      <c r="X25" s="2078"/>
      <c r="Y25" s="2078"/>
      <c r="Z25" s="2078"/>
      <c r="AA25" s="207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01" t="s">
        <v>1497</v>
      </c>
      <c r="J27" s="2002"/>
      <c r="K27" s="2002"/>
      <c r="L27" s="2002"/>
      <c r="M27" s="2002"/>
      <c r="N27" s="2002"/>
      <c r="O27" s="2002"/>
      <c r="P27" s="2002"/>
      <c r="Q27" s="2002"/>
      <c r="R27" s="2002"/>
      <c r="S27" s="200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t="s">
        <v>2031</v>
      </c>
      <c r="C29" s="121" t="s">
        <v>815</v>
      </c>
      <c r="D29" s="111"/>
      <c r="E29" s="133"/>
      <c r="F29" s="137" t="s">
        <v>1307</v>
      </c>
      <c r="G29" s="111"/>
      <c r="I29" s="51"/>
      <c r="J29" s="99"/>
      <c r="K29" s="28" t="s">
        <v>572</v>
      </c>
      <c r="L29" s="144" t="s">
        <v>2031</v>
      </c>
      <c r="M29" s="40" t="s">
        <v>99</v>
      </c>
      <c r="N29" s="32" t="s">
        <v>1509</v>
      </c>
      <c r="O29" s="32"/>
      <c r="P29" s="32"/>
      <c r="Q29" s="32"/>
      <c r="R29" s="32"/>
      <c r="S29" s="120"/>
      <c r="T29" s="6"/>
      <c r="U29" s="6"/>
      <c r="V29" s="6"/>
      <c r="W29" s="6"/>
      <c r="X29" s="6"/>
      <c r="Y29" s="6"/>
      <c r="Z29" s="6"/>
      <c r="AA29" s="129"/>
    </row>
    <row r="30" spans="1:27" ht="13.5" customHeight="1" x14ac:dyDescent="0.2">
      <c r="A30" s="149"/>
      <c r="B30" s="133" t="s">
        <v>2031</v>
      </c>
      <c r="C30" s="121" t="s">
        <v>1156</v>
      </c>
      <c r="D30" s="28"/>
      <c r="E30" s="28"/>
      <c r="F30" s="136"/>
      <c r="G30" s="111"/>
      <c r="H30" s="111"/>
      <c r="I30" s="51"/>
      <c r="J30" s="99"/>
      <c r="K30" s="28" t="s">
        <v>572</v>
      </c>
      <c r="L30" s="144" t="s">
        <v>2031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2031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12"/>
      <c r="Q35" s="1991"/>
      <c r="R35" s="199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26" t="s">
        <v>2036</v>
      </c>
      <c r="B38" s="2027"/>
      <c r="C38" s="2027"/>
      <c r="D38" s="2027"/>
      <c r="E38" s="2027"/>
      <c r="F38" s="1991"/>
      <c r="G38" s="1991"/>
      <c r="H38" s="1992"/>
      <c r="I38" s="2019"/>
      <c r="J38" s="2020"/>
      <c r="K38" s="2020"/>
      <c r="L38" s="2020"/>
      <c r="M38" s="2020"/>
      <c r="N38" s="2020"/>
      <c r="O38" s="2020"/>
      <c r="P38" s="2021"/>
      <c r="Q38" s="2021"/>
      <c r="R38" s="2021"/>
      <c r="S38" s="2022"/>
      <c r="T38" s="2063"/>
      <c r="U38" s="2020"/>
      <c r="V38" s="2020"/>
      <c r="W38" s="2020"/>
      <c r="X38" s="2021"/>
      <c r="Y38" s="2021"/>
      <c r="Z38" s="2021"/>
      <c r="AA38" s="2022"/>
    </row>
    <row r="39" spans="1:27" ht="12" customHeight="1" x14ac:dyDescent="0.2">
      <c r="A39" s="1996" t="s">
        <v>528</v>
      </c>
      <c r="B39" s="1997"/>
      <c r="C39" s="69"/>
      <c r="D39" s="66"/>
      <c r="E39" s="66"/>
      <c r="F39" s="76"/>
      <c r="G39" s="66"/>
      <c r="H39" s="53"/>
      <c r="I39" s="1996" t="s">
        <v>528</v>
      </c>
      <c r="J39" s="1997"/>
      <c r="K39" s="1997"/>
      <c r="L39" s="1997"/>
      <c r="M39" s="1997"/>
      <c r="N39" s="64"/>
      <c r="O39" s="69"/>
      <c r="P39" s="69"/>
      <c r="Q39" s="75"/>
      <c r="R39" s="69"/>
      <c r="S39" s="53"/>
      <c r="T39" s="69" t="s">
        <v>528</v>
      </c>
      <c r="U39" s="48"/>
      <c r="V39" s="69"/>
      <c r="W39" s="47"/>
      <c r="X39" s="75"/>
      <c r="Y39" s="43"/>
      <c r="Z39" s="43"/>
      <c r="AA39" s="44"/>
    </row>
    <row r="40" spans="1:27" ht="13.5" customHeight="1" x14ac:dyDescent="0.2">
      <c r="A40" s="2004" t="s">
        <v>2035</v>
      </c>
      <c r="B40" s="2005"/>
      <c r="C40" s="2006"/>
      <c r="D40" s="2006"/>
      <c r="E40" s="2006"/>
      <c r="F40" s="2007"/>
      <c r="G40" s="2007"/>
      <c r="H40" s="2008"/>
      <c r="I40" s="2029"/>
      <c r="J40" s="2030"/>
      <c r="K40" s="2030"/>
      <c r="L40" s="2030"/>
      <c r="M40" s="2030"/>
      <c r="N40" s="2030"/>
      <c r="O40" s="2030"/>
      <c r="P40" s="2030"/>
      <c r="Q40" s="2030"/>
      <c r="R40" s="2030"/>
      <c r="S40" s="2031"/>
      <c r="T40" s="2029"/>
      <c r="U40" s="2083"/>
      <c r="V40" s="2030"/>
      <c r="W40" s="2030"/>
      <c r="X40" s="2030"/>
      <c r="Y40" s="2030"/>
      <c r="Z40" s="2030"/>
      <c r="AA40" s="203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18" t="s">
        <v>2037</v>
      </c>
      <c r="B42" s="2010"/>
      <c r="C42" s="2011"/>
      <c r="D42" s="2009"/>
      <c r="E42" s="2010"/>
      <c r="F42" s="2010"/>
      <c r="G42" s="2010"/>
      <c r="H42" s="2011"/>
      <c r="I42" s="1993"/>
      <c r="J42" s="1994"/>
      <c r="K42" s="1994"/>
      <c r="L42" s="1994"/>
      <c r="M42" s="1994"/>
      <c r="N42" s="1994"/>
      <c r="O42" s="1995"/>
      <c r="P42" s="2028"/>
      <c r="Q42" s="1994"/>
      <c r="R42" s="1994"/>
      <c r="S42" s="1995"/>
      <c r="T42" s="1993"/>
      <c r="U42" s="1994"/>
      <c r="V42" s="1994"/>
      <c r="W42" s="1995"/>
      <c r="X42" s="2028"/>
      <c r="Y42" s="1994"/>
      <c r="Z42" s="1994"/>
      <c r="AA42" s="199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23"/>
      <c r="B44" s="2024"/>
      <c r="C44" s="2024"/>
      <c r="D44" s="2024"/>
      <c r="E44" s="2024"/>
      <c r="F44" s="2024"/>
      <c r="G44" s="2024"/>
      <c r="H44" s="2025"/>
      <c r="I44" s="1998"/>
      <c r="J44" s="1999"/>
      <c r="K44" s="1999"/>
      <c r="L44" s="1999"/>
      <c r="M44" s="1999"/>
      <c r="N44" s="1999"/>
      <c r="O44" s="1999"/>
      <c r="P44" s="1999"/>
      <c r="Q44" s="1999"/>
      <c r="R44" s="1999"/>
      <c r="S44" s="2000"/>
      <c r="T44" s="1998"/>
      <c r="U44" s="2017"/>
      <c r="V44" s="2017"/>
      <c r="W44" s="2017"/>
      <c r="X44" s="2017"/>
      <c r="Y44" s="2017"/>
      <c r="Z44" s="1999"/>
      <c r="AA44" s="2000"/>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114" activePane="bottomLeft" state="frozen"/>
      <selection activeCell="B7" sqref="B7"/>
      <selection pane="bottomLeft" activeCell="G124" sqref="G12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2"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16"/>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2" t="s">
        <v>294</v>
      </c>
      <c r="B3" s="2223"/>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1322743</v>
      </c>
      <c r="D5" s="1623">
        <v>194720</v>
      </c>
      <c r="E5" s="1623"/>
      <c r="F5" s="1623">
        <v>21991</v>
      </c>
      <c r="G5" s="1623"/>
      <c r="H5" s="1623"/>
      <c r="I5" s="1624"/>
      <c r="J5" s="1624"/>
      <c r="K5" s="1722">
        <f>SUM(C5:J5)</f>
        <v>1539454</v>
      </c>
      <c r="L5" s="1623">
        <v>1553809</v>
      </c>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v>130550</v>
      </c>
      <c r="D7" s="1624">
        <v>32868</v>
      </c>
      <c r="E7" s="1624">
        <v>2828</v>
      </c>
      <c r="F7" s="1624">
        <v>22808</v>
      </c>
      <c r="G7" s="1624">
        <v>6373</v>
      </c>
      <c r="H7" s="1624">
        <v>372</v>
      </c>
      <c r="I7" s="1624"/>
      <c r="J7" s="1624"/>
      <c r="K7" s="1722">
        <f t="shared" ref="K7:K32" si="0">SUM(C7:J7)</f>
        <v>195799</v>
      </c>
      <c r="L7" s="1623">
        <v>186292</v>
      </c>
    </row>
    <row r="8" spans="1:14" x14ac:dyDescent="0.2">
      <c r="A8" s="1319" t="s">
        <v>163</v>
      </c>
      <c r="B8" s="503">
        <v>1200</v>
      </c>
      <c r="C8" s="1623">
        <v>615668</v>
      </c>
      <c r="D8" s="1623">
        <v>138623</v>
      </c>
      <c r="E8" s="1623"/>
      <c r="F8" s="1623">
        <v>2635</v>
      </c>
      <c r="G8" s="1623"/>
      <c r="H8" s="1623"/>
      <c r="I8" s="1624"/>
      <c r="J8" s="1624"/>
      <c r="K8" s="1722">
        <f t="shared" si="0"/>
        <v>756926</v>
      </c>
      <c r="L8" s="1623">
        <v>741772</v>
      </c>
    </row>
    <row r="9" spans="1:14" x14ac:dyDescent="0.2">
      <c r="A9" s="1319" t="s">
        <v>716</v>
      </c>
      <c r="B9" s="503" t="s">
        <v>962</v>
      </c>
      <c r="C9" s="1624">
        <v>62131</v>
      </c>
      <c r="D9" s="1624">
        <v>8593</v>
      </c>
      <c r="E9" s="1624"/>
      <c r="F9" s="1624">
        <v>342</v>
      </c>
      <c r="G9" s="1624"/>
      <c r="H9" s="1624"/>
      <c r="I9" s="1624"/>
      <c r="J9" s="1624"/>
      <c r="K9" s="1722">
        <f t="shared" si="0"/>
        <v>71066</v>
      </c>
      <c r="L9" s="1623">
        <v>70483</v>
      </c>
    </row>
    <row r="10" spans="1:14" x14ac:dyDescent="0.2">
      <c r="A10" s="1319" t="s">
        <v>717</v>
      </c>
      <c r="B10" s="503">
        <v>1250</v>
      </c>
      <c r="C10" s="1623">
        <v>62915</v>
      </c>
      <c r="D10" s="1623">
        <v>18318</v>
      </c>
      <c r="E10" s="1623"/>
      <c r="F10" s="1623">
        <v>42192</v>
      </c>
      <c r="G10" s="1623"/>
      <c r="H10" s="1623"/>
      <c r="I10" s="1624"/>
      <c r="J10" s="1624"/>
      <c r="K10" s="1722">
        <f t="shared" si="0"/>
        <v>123425</v>
      </c>
      <c r="L10" s="1623">
        <v>113631</v>
      </c>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c r="D13" s="1623"/>
      <c r="E13" s="1623"/>
      <c r="F13" s="1623"/>
      <c r="G13" s="1623"/>
      <c r="H13" s="1623"/>
      <c r="I13" s="1624"/>
      <c r="J13" s="1624"/>
      <c r="K13" s="1722">
        <f t="shared" si="0"/>
        <v>0</v>
      </c>
      <c r="L13" s="1623"/>
    </row>
    <row r="14" spans="1:14" x14ac:dyDescent="0.2">
      <c r="A14" s="1319" t="s">
        <v>957</v>
      </c>
      <c r="B14" s="503">
        <v>1500</v>
      </c>
      <c r="C14" s="1623">
        <v>175657</v>
      </c>
      <c r="D14" s="1623">
        <v>18027</v>
      </c>
      <c r="E14" s="1623">
        <v>9542</v>
      </c>
      <c r="F14" s="1623">
        <v>4081</v>
      </c>
      <c r="G14" s="1623">
        <v>7263</v>
      </c>
      <c r="H14" s="1623">
        <v>3810</v>
      </c>
      <c r="I14" s="1624"/>
      <c r="J14" s="1624"/>
      <c r="K14" s="1722">
        <f t="shared" si="0"/>
        <v>218380</v>
      </c>
      <c r="L14" s="1623">
        <v>216387</v>
      </c>
    </row>
    <row r="15" spans="1:14" x14ac:dyDescent="0.2">
      <c r="A15" s="1319" t="s">
        <v>958</v>
      </c>
      <c r="B15" s="503">
        <v>1600</v>
      </c>
      <c r="C15" s="1623">
        <v>1163</v>
      </c>
      <c r="D15" s="1623">
        <v>15</v>
      </c>
      <c r="E15" s="1623"/>
      <c r="F15" s="1623"/>
      <c r="G15" s="1623"/>
      <c r="H15" s="1623"/>
      <c r="I15" s="1624"/>
      <c r="J15" s="1624"/>
      <c r="K15" s="1722">
        <f t="shared" si="0"/>
        <v>1178</v>
      </c>
      <c r="L15" s="1623">
        <v>1706</v>
      </c>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c r="D17" s="1624"/>
      <c r="E17" s="1624"/>
      <c r="F17" s="1624"/>
      <c r="G17" s="1624"/>
      <c r="H17" s="1624"/>
      <c r="I17" s="1624"/>
      <c r="J17" s="1624"/>
      <c r="K17" s="1722">
        <f t="shared" si="0"/>
        <v>0</v>
      </c>
      <c r="L17" s="1623"/>
    </row>
    <row r="18" spans="1:12" x14ac:dyDescent="0.2">
      <c r="A18" s="1319" t="s">
        <v>1080</v>
      </c>
      <c r="B18" s="503">
        <v>1800</v>
      </c>
      <c r="C18" s="1623"/>
      <c r="D18" s="1623"/>
      <c r="E18" s="1623">
        <v>1134</v>
      </c>
      <c r="F18" s="1623"/>
      <c r="G18" s="1623"/>
      <c r="H18" s="1623"/>
      <c r="I18" s="1624"/>
      <c r="J18" s="1624"/>
      <c r="K18" s="1722">
        <f t="shared" si="0"/>
        <v>1134</v>
      </c>
      <c r="L18" s="1623">
        <v>0</v>
      </c>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95" customHeight="1" x14ac:dyDescent="0.2">
      <c r="A24" s="1320" t="s">
        <v>737</v>
      </c>
      <c r="B24" s="494" t="s">
        <v>724</v>
      </c>
      <c r="C24" s="1632"/>
      <c r="D24" s="1632"/>
      <c r="E24" s="1632"/>
      <c r="F24" s="1632"/>
      <c r="G24" s="1632"/>
      <c r="H24" s="1629"/>
      <c r="I24" s="1723"/>
      <c r="J24" s="1632"/>
      <c r="K24" s="1722">
        <f t="shared" si="0"/>
        <v>0</v>
      </c>
      <c r="L24" s="1627"/>
    </row>
    <row r="25" spans="1:12" ht="12.9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95" customHeight="1" thickBot="1" x14ac:dyDescent="0.25">
      <c r="A33" s="1429" t="s">
        <v>1652</v>
      </c>
      <c r="B33" s="1430" t="s">
        <v>566</v>
      </c>
      <c r="C33" s="1724">
        <f>SUM(C5:C32)</f>
        <v>2370827</v>
      </c>
      <c r="D33" s="1724">
        <f t="shared" ref="D33:L33" si="1">SUM(D5:D32)</f>
        <v>411164</v>
      </c>
      <c r="E33" s="1724">
        <f t="shared" si="1"/>
        <v>13504</v>
      </c>
      <c r="F33" s="1724">
        <f t="shared" si="1"/>
        <v>94049</v>
      </c>
      <c r="G33" s="1724">
        <f t="shared" si="1"/>
        <v>13636</v>
      </c>
      <c r="H33" s="1724">
        <f t="shared" si="1"/>
        <v>4182</v>
      </c>
      <c r="I33" s="1724">
        <f t="shared" si="1"/>
        <v>0</v>
      </c>
      <c r="J33" s="1724">
        <f t="shared" si="1"/>
        <v>0</v>
      </c>
      <c r="K33" s="1724">
        <f t="shared" si="1"/>
        <v>2907362</v>
      </c>
      <c r="L33" s="1724">
        <f t="shared" si="1"/>
        <v>2884080</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29119</v>
      </c>
      <c r="D36" s="1636">
        <v>5339</v>
      </c>
      <c r="E36" s="1636"/>
      <c r="F36" s="1636">
        <v>242</v>
      </c>
      <c r="G36" s="1636"/>
      <c r="H36" s="1636"/>
      <c r="I36" s="1624"/>
      <c r="J36" s="1624"/>
      <c r="K36" s="1722">
        <f t="shared" ref="K36:K41" si="2">SUM(C36:J36)</f>
        <v>34700</v>
      </c>
      <c r="L36" s="1623">
        <v>28069</v>
      </c>
    </row>
    <row r="37" spans="1:14" x14ac:dyDescent="0.2">
      <c r="A37" s="1319" t="s">
        <v>1083</v>
      </c>
      <c r="B37" s="503">
        <v>2120</v>
      </c>
      <c r="C37" s="1623"/>
      <c r="D37" s="1623"/>
      <c r="E37" s="1623"/>
      <c r="F37" s="1623"/>
      <c r="G37" s="1623"/>
      <c r="H37" s="1623"/>
      <c r="I37" s="1624"/>
      <c r="J37" s="1624"/>
      <c r="K37" s="1722">
        <f t="shared" si="2"/>
        <v>0</v>
      </c>
      <c r="L37" s="1623"/>
    </row>
    <row r="38" spans="1:14" x14ac:dyDescent="0.2">
      <c r="A38" s="1319" t="s">
        <v>196</v>
      </c>
      <c r="B38" s="503">
        <v>2130</v>
      </c>
      <c r="C38" s="1623">
        <v>18925</v>
      </c>
      <c r="D38" s="1623">
        <v>4849</v>
      </c>
      <c r="E38" s="1623"/>
      <c r="F38" s="1623">
        <v>800</v>
      </c>
      <c r="G38" s="1623"/>
      <c r="H38" s="1623"/>
      <c r="I38" s="1624"/>
      <c r="J38" s="1624"/>
      <c r="K38" s="1722">
        <f t="shared" si="2"/>
        <v>24574</v>
      </c>
      <c r="L38" s="1623">
        <v>20500</v>
      </c>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c r="D40" s="1623"/>
      <c r="E40" s="1623">
        <v>94734</v>
      </c>
      <c r="F40" s="1623"/>
      <c r="G40" s="1623"/>
      <c r="H40" s="1623"/>
      <c r="I40" s="1624"/>
      <c r="J40" s="1624"/>
      <c r="K40" s="1722">
        <f t="shared" si="2"/>
        <v>94734</v>
      </c>
      <c r="L40" s="1623">
        <v>180500</v>
      </c>
    </row>
    <row r="41" spans="1:14" x14ac:dyDescent="0.2">
      <c r="A41" s="1319" t="s">
        <v>1653</v>
      </c>
      <c r="B41" s="503">
        <v>2190</v>
      </c>
      <c r="C41" s="1623"/>
      <c r="D41" s="1623"/>
      <c r="E41" s="1623"/>
      <c r="F41" s="1623"/>
      <c r="G41" s="1623"/>
      <c r="H41" s="1623"/>
      <c r="I41" s="1624"/>
      <c r="J41" s="1624"/>
      <c r="K41" s="1722">
        <f t="shared" si="2"/>
        <v>0</v>
      </c>
      <c r="L41" s="1623"/>
    </row>
    <row r="42" spans="1:14" ht="12.95" customHeight="1" thickBot="1" x14ac:dyDescent="0.25">
      <c r="A42" s="1429" t="s">
        <v>556</v>
      </c>
      <c r="B42" s="1430" t="s">
        <v>711</v>
      </c>
      <c r="C42" s="1724">
        <f>SUM(C36:C41)</f>
        <v>48044</v>
      </c>
      <c r="D42" s="1724">
        <f t="shared" ref="D42:L42" si="3">SUM(D36:D41)</f>
        <v>10188</v>
      </c>
      <c r="E42" s="1724">
        <f t="shared" si="3"/>
        <v>94734</v>
      </c>
      <c r="F42" s="1724">
        <f t="shared" si="3"/>
        <v>1042</v>
      </c>
      <c r="G42" s="1724">
        <f t="shared" si="3"/>
        <v>0</v>
      </c>
      <c r="H42" s="1724">
        <f t="shared" si="3"/>
        <v>0</v>
      </c>
      <c r="I42" s="1724">
        <f t="shared" si="3"/>
        <v>0</v>
      </c>
      <c r="J42" s="1724">
        <f t="shared" si="3"/>
        <v>0</v>
      </c>
      <c r="K42" s="1724">
        <f t="shared" si="3"/>
        <v>154008</v>
      </c>
      <c r="L42" s="1724">
        <f t="shared" si="3"/>
        <v>229069</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c r="D44" s="1636">
        <v>11</v>
      </c>
      <c r="E44" s="1636">
        <v>19888</v>
      </c>
      <c r="F44" s="1636"/>
      <c r="G44" s="1636"/>
      <c r="H44" s="1636"/>
      <c r="I44" s="1624"/>
      <c r="J44" s="1624"/>
      <c r="K44" s="1728">
        <f>SUM(C44:J44)</f>
        <v>19899</v>
      </c>
      <c r="L44" s="1636">
        <v>21281</v>
      </c>
    </row>
    <row r="45" spans="1:14" x14ac:dyDescent="0.2">
      <c r="A45" s="1319" t="s">
        <v>810</v>
      </c>
      <c r="B45" s="503">
        <v>2220</v>
      </c>
      <c r="C45" s="1623">
        <v>11326</v>
      </c>
      <c r="D45" s="1623">
        <v>6240</v>
      </c>
      <c r="E45" s="1623">
        <v>92195</v>
      </c>
      <c r="F45" s="1623">
        <v>87870</v>
      </c>
      <c r="G45" s="1623">
        <v>22191</v>
      </c>
      <c r="H45" s="1623"/>
      <c r="I45" s="1624"/>
      <c r="J45" s="1624"/>
      <c r="K45" s="1728">
        <f>SUM(C45:J45)</f>
        <v>219822</v>
      </c>
      <c r="L45" s="1623">
        <v>242228</v>
      </c>
    </row>
    <row r="46" spans="1:14" x14ac:dyDescent="0.2">
      <c r="A46" s="1319" t="s">
        <v>811</v>
      </c>
      <c r="B46" s="503">
        <v>2230</v>
      </c>
      <c r="C46" s="1623"/>
      <c r="D46" s="1623"/>
      <c r="E46" s="1623">
        <v>12941</v>
      </c>
      <c r="F46" s="1623"/>
      <c r="G46" s="1623"/>
      <c r="H46" s="1623"/>
      <c r="I46" s="1624"/>
      <c r="J46" s="1624"/>
      <c r="K46" s="1728">
        <f>SUM(C46:J46)</f>
        <v>12941</v>
      </c>
      <c r="L46" s="1623">
        <v>14400</v>
      </c>
    </row>
    <row r="47" spans="1:14" ht="12.95" customHeight="1" thickBot="1" x14ac:dyDescent="0.25">
      <c r="A47" s="1429" t="s">
        <v>557</v>
      </c>
      <c r="B47" s="1430" t="s">
        <v>32</v>
      </c>
      <c r="C47" s="1724">
        <f>SUM(C44:C46)</f>
        <v>11326</v>
      </c>
      <c r="D47" s="1724">
        <f t="shared" ref="D47:K47" si="4">SUM(D44:D46)</f>
        <v>6251</v>
      </c>
      <c r="E47" s="1724">
        <f t="shared" si="4"/>
        <v>125024</v>
      </c>
      <c r="F47" s="1724">
        <f t="shared" si="4"/>
        <v>87870</v>
      </c>
      <c r="G47" s="1724">
        <f t="shared" si="4"/>
        <v>22191</v>
      </c>
      <c r="H47" s="1724">
        <f t="shared" si="4"/>
        <v>0</v>
      </c>
      <c r="I47" s="1724">
        <f t="shared" si="4"/>
        <v>0</v>
      </c>
      <c r="J47" s="1724">
        <f t="shared" si="4"/>
        <v>0</v>
      </c>
      <c r="K47" s="1724">
        <f t="shared" si="4"/>
        <v>252662</v>
      </c>
      <c r="L47" s="1724">
        <f>SUM(L44:L46)</f>
        <v>277909</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2918</v>
      </c>
      <c r="D49" s="1636">
        <v>27</v>
      </c>
      <c r="E49" s="1636">
        <v>2483</v>
      </c>
      <c r="F49" s="1636">
        <v>6125</v>
      </c>
      <c r="G49" s="1636"/>
      <c r="H49" s="1636">
        <v>3497</v>
      </c>
      <c r="I49" s="1624"/>
      <c r="J49" s="1624"/>
      <c r="K49" s="1728">
        <f>SUM(C49:J49)</f>
        <v>15050</v>
      </c>
      <c r="L49" s="1636">
        <v>19845</v>
      </c>
    </row>
    <row r="50" spans="1:14" x14ac:dyDescent="0.2">
      <c r="A50" s="1319" t="s">
        <v>813</v>
      </c>
      <c r="B50" s="503">
        <v>2320</v>
      </c>
      <c r="C50" s="1623">
        <v>60115</v>
      </c>
      <c r="D50" s="1623">
        <v>13569</v>
      </c>
      <c r="E50" s="1623">
        <v>480</v>
      </c>
      <c r="F50" s="1623"/>
      <c r="G50" s="1623"/>
      <c r="H50" s="1623">
        <v>372</v>
      </c>
      <c r="I50" s="1624"/>
      <c r="J50" s="1624"/>
      <c r="K50" s="1728">
        <f>SUM(C50:J50)</f>
        <v>74536</v>
      </c>
      <c r="L50" s="1623">
        <v>75131</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c r="F52" s="1629"/>
      <c r="G52" s="1629"/>
      <c r="H52" s="1629"/>
      <c r="I52" s="1629"/>
      <c r="J52" s="1629"/>
      <c r="K52" s="1728">
        <f>SUM(C52:J52)</f>
        <v>0</v>
      </c>
      <c r="L52" s="1629"/>
    </row>
    <row r="53" spans="1:14" ht="12.95" customHeight="1" thickBot="1" x14ac:dyDescent="0.25">
      <c r="A53" s="1429" t="s">
        <v>712</v>
      </c>
      <c r="B53" s="1430" t="s">
        <v>33</v>
      </c>
      <c r="C53" s="1724">
        <f>SUM(C49:C52)</f>
        <v>63033</v>
      </c>
      <c r="D53" s="1724">
        <f t="shared" ref="D53:L53" si="5">SUM(D49:D52)</f>
        <v>13596</v>
      </c>
      <c r="E53" s="1724">
        <f t="shared" si="5"/>
        <v>2963</v>
      </c>
      <c r="F53" s="1724">
        <f t="shared" si="5"/>
        <v>6125</v>
      </c>
      <c r="G53" s="1724">
        <f t="shared" si="5"/>
        <v>0</v>
      </c>
      <c r="H53" s="1724">
        <f t="shared" si="5"/>
        <v>3869</v>
      </c>
      <c r="I53" s="1724">
        <f t="shared" si="5"/>
        <v>0</v>
      </c>
      <c r="J53" s="1724">
        <f t="shared" si="5"/>
        <v>0</v>
      </c>
      <c r="K53" s="1724">
        <f t="shared" si="5"/>
        <v>89586</v>
      </c>
      <c r="L53" s="1724">
        <f t="shared" si="5"/>
        <v>94976</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210322</v>
      </c>
      <c r="D55" s="1636">
        <v>48705</v>
      </c>
      <c r="E55" s="1636">
        <v>246</v>
      </c>
      <c r="F55" s="1636">
        <v>16517</v>
      </c>
      <c r="G55" s="1636"/>
      <c r="H55" s="1636">
        <v>697</v>
      </c>
      <c r="I55" s="1624"/>
      <c r="J55" s="1624"/>
      <c r="K55" s="1728">
        <f>SUM(C55:J55)</f>
        <v>276487</v>
      </c>
      <c r="L55" s="1636">
        <v>277089</v>
      </c>
    </row>
    <row r="56" spans="1:14" ht="12.95" customHeight="1" x14ac:dyDescent="0.2">
      <c r="A56" s="1323" t="s">
        <v>373</v>
      </c>
      <c r="B56" s="512">
        <v>2490</v>
      </c>
      <c r="C56" s="1623"/>
      <c r="D56" s="1623"/>
      <c r="E56" s="1623"/>
      <c r="F56" s="1623"/>
      <c r="G56" s="1623"/>
      <c r="H56" s="1623"/>
      <c r="I56" s="1624"/>
      <c r="J56" s="1624"/>
      <c r="K56" s="1728">
        <f>SUM(C56:J56)</f>
        <v>0</v>
      </c>
      <c r="L56" s="1623"/>
    </row>
    <row r="57" spans="1:14" s="321" customFormat="1" ht="12.95" customHeight="1" thickBot="1" x14ac:dyDescent="0.25">
      <c r="A57" s="1429" t="s">
        <v>261</v>
      </c>
      <c r="B57" s="1431" t="s">
        <v>34</v>
      </c>
      <c r="C57" s="1729">
        <f>SUM(C55:C56)</f>
        <v>210322</v>
      </c>
      <c r="D57" s="1729">
        <f t="shared" ref="D57:K57" si="6">SUM(D55:D56)</f>
        <v>48705</v>
      </c>
      <c r="E57" s="1729">
        <f t="shared" si="6"/>
        <v>246</v>
      </c>
      <c r="F57" s="1729">
        <f t="shared" si="6"/>
        <v>16517</v>
      </c>
      <c r="G57" s="1729">
        <f t="shared" si="6"/>
        <v>0</v>
      </c>
      <c r="H57" s="1729">
        <f t="shared" si="6"/>
        <v>697</v>
      </c>
      <c r="I57" s="1729">
        <f t="shared" si="6"/>
        <v>0</v>
      </c>
      <c r="J57" s="1729">
        <f t="shared" si="6"/>
        <v>0</v>
      </c>
      <c r="K57" s="1729">
        <f t="shared" si="6"/>
        <v>276487</v>
      </c>
      <c r="L57" s="1724">
        <f>SUM(L55:L56)</f>
        <v>277089</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v>47553</v>
      </c>
      <c r="D60" s="1623">
        <v>7722</v>
      </c>
      <c r="E60" s="1623"/>
      <c r="F60" s="1623">
        <v>54</v>
      </c>
      <c r="G60" s="1623"/>
      <c r="H60" s="1623"/>
      <c r="I60" s="1624"/>
      <c r="J60" s="1624"/>
      <c r="K60" s="1728">
        <f t="shared" si="7"/>
        <v>55329</v>
      </c>
      <c r="L60" s="1623">
        <v>55331</v>
      </c>
      <c r="M60" s="501"/>
      <c r="N60" s="501"/>
    </row>
    <row r="61" spans="1:14" s="321" customFormat="1" x14ac:dyDescent="0.2">
      <c r="A61" s="1319" t="s">
        <v>195</v>
      </c>
      <c r="B61" s="503">
        <v>2540</v>
      </c>
      <c r="C61" s="1623"/>
      <c r="D61" s="1623"/>
      <c r="E61" s="1623"/>
      <c r="F61" s="1623"/>
      <c r="G61" s="1623"/>
      <c r="H61" s="1623"/>
      <c r="I61" s="1624"/>
      <c r="J61" s="1624"/>
      <c r="K61" s="1728">
        <f t="shared" si="7"/>
        <v>0</v>
      </c>
      <c r="L61" s="1623"/>
      <c r="M61" s="501"/>
      <c r="N61" s="501"/>
    </row>
    <row r="62" spans="1:14" s="321" customFormat="1" x14ac:dyDescent="0.2">
      <c r="A62" s="1319" t="s">
        <v>947</v>
      </c>
      <c r="B62" s="503">
        <v>2550</v>
      </c>
      <c r="C62" s="1623"/>
      <c r="D62" s="1623"/>
      <c r="E62" s="1623">
        <v>6801</v>
      </c>
      <c r="F62" s="1623"/>
      <c r="G62" s="1623"/>
      <c r="H62" s="1623"/>
      <c r="I62" s="1624"/>
      <c r="J62" s="1624"/>
      <c r="K62" s="1728">
        <f t="shared" si="7"/>
        <v>6801</v>
      </c>
      <c r="L62" s="1623">
        <v>6802</v>
      </c>
      <c r="M62" s="501"/>
      <c r="N62" s="501"/>
    </row>
    <row r="63" spans="1:14" s="501" customFormat="1" x14ac:dyDescent="0.2">
      <c r="A63" s="1319" t="s">
        <v>100</v>
      </c>
      <c r="B63" s="503">
        <v>2560</v>
      </c>
      <c r="C63" s="1623"/>
      <c r="D63" s="1623"/>
      <c r="E63" s="1623">
        <v>131408</v>
      </c>
      <c r="F63" s="1623">
        <v>5882</v>
      </c>
      <c r="G63" s="1623"/>
      <c r="H63" s="1623"/>
      <c r="I63" s="1624"/>
      <c r="J63" s="1624"/>
      <c r="K63" s="1728">
        <f t="shared" si="7"/>
        <v>137290</v>
      </c>
      <c r="L63" s="1623">
        <v>161450</v>
      </c>
    </row>
    <row r="64" spans="1:14" s="501" customFormat="1" x14ac:dyDescent="0.2">
      <c r="A64" s="1324" t="s">
        <v>101</v>
      </c>
      <c r="B64" s="513">
        <v>2570</v>
      </c>
      <c r="C64" s="1636"/>
      <c r="D64" s="1636"/>
      <c r="E64" s="1636">
        <v>32152</v>
      </c>
      <c r="F64" s="1636"/>
      <c r="G64" s="1636"/>
      <c r="H64" s="1636">
        <v>1893</v>
      </c>
      <c r="I64" s="1624"/>
      <c r="J64" s="1624"/>
      <c r="K64" s="1728">
        <f t="shared" si="7"/>
        <v>34045</v>
      </c>
      <c r="L64" s="1636">
        <v>31750</v>
      </c>
    </row>
    <row r="65" spans="1:14" s="321" customFormat="1" ht="12.95" customHeight="1" thickBot="1" x14ac:dyDescent="0.25">
      <c r="A65" s="1429" t="s">
        <v>714</v>
      </c>
      <c r="B65" s="1430" t="s">
        <v>35</v>
      </c>
      <c r="C65" s="1724">
        <f>SUM(C59:C64)</f>
        <v>47553</v>
      </c>
      <c r="D65" s="1724">
        <f t="shared" ref="D65:L65" si="8">SUM(D59:D64)</f>
        <v>7722</v>
      </c>
      <c r="E65" s="1724">
        <f t="shared" si="8"/>
        <v>170361</v>
      </c>
      <c r="F65" s="1724">
        <f t="shared" si="8"/>
        <v>5936</v>
      </c>
      <c r="G65" s="1724">
        <f t="shared" si="8"/>
        <v>0</v>
      </c>
      <c r="H65" s="1724">
        <f t="shared" si="8"/>
        <v>1893</v>
      </c>
      <c r="I65" s="1724">
        <f t="shared" si="8"/>
        <v>0</v>
      </c>
      <c r="J65" s="1724">
        <f t="shared" si="8"/>
        <v>0</v>
      </c>
      <c r="K65" s="1724">
        <f t="shared" si="8"/>
        <v>233465</v>
      </c>
      <c r="L65" s="1724">
        <f t="shared" si="8"/>
        <v>255333</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c r="D71" s="1623"/>
      <c r="E71" s="1623"/>
      <c r="F71" s="1623"/>
      <c r="G71" s="1623"/>
      <c r="H71" s="1623"/>
      <c r="I71" s="1624"/>
      <c r="J71" s="1624"/>
      <c r="K71" s="1728">
        <f>SUM(C71:J71)</f>
        <v>0</v>
      </c>
      <c r="L71" s="1623"/>
      <c r="M71" s="501"/>
      <c r="N71" s="501"/>
    </row>
    <row r="72" spans="1:14" s="321" customFormat="1" ht="12.9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95" customHeight="1" thickTop="1" thickBot="1" x14ac:dyDescent="0.25">
      <c r="A74" s="1429" t="s">
        <v>806</v>
      </c>
      <c r="B74" s="1433">
        <v>2000</v>
      </c>
      <c r="C74" s="1731">
        <f>SUM(C42,C47,C53,C57,C65,C72,C73)</f>
        <v>380278</v>
      </c>
      <c r="D74" s="1731">
        <f t="shared" ref="D74:K74" si="10">SUM(D42,D47,D53,D57,D65,D72,D73)</f>
        <v>86462</v>
      </c>
      <c r="E74" s="1731">
        <f t="shared" si="10"/>
        <v>393328</v>
      </c>
      <c r="F74" s="1731">
        <f t="shared" si="10"/>
        <v>117490</v>
      </c>
      <c r="G74" s="1731">
        <f t="shared" si="10"/>
        <v>22191</v>
      </c>
      <c r="H74" s="1731">
        <f t="shared" si="10"/>
        <v>6459</v>
      </c>
      <c r="I74" s="1731">
        <f t="shared" si="10"/>
        <v>0</v>
      </c>
      <c r="J74" s="1731">
        <f t="shared" si="10"/>
        <v>0</v>
      </c>
      <c r="K74" s="1731">
        <f t="shared" si="10"/>
        <v>1006208</v>
      </c>
      <c r="L74" s="1731">
        <f>SUM(L42,L47,L53,L57,L65,L72,L73)</f>
        <v>1134376</v>
      </c>
    </row>
    <row r="75" spans="1:14" s="254" customFormat="1" ht="15.75" customHeight="1" thickTop="1" thickBot="1" x14ac:dyDescent="0.25">
      <c r="A75" s="1393" t="s">
        <v>47</v>
      </c>
      <c r="B75" s="1394" t="s">
        <v>571</v>
      </c>
      <c r="C75" s="1699">
        <v>4643</v>
      </c>
      <c r="D75" s="1699">
        <v>64</v>
      </c>
      <c r="E75" s="1699"/>
      <c r="F75" s="1699">
        <v>1998</v>
      </c>
      <c r="G75" s="1699"/>
      <c r="H75" s="1699"/>
      <c r="I75" s="1677"/>
      <c r="J75" s="1677"/>
      <c r="K75" s="1724">
        <f>SUM(C75:J75)</f>
        <v>6705</v>
      </c>
      <c r="L75" s="1701">
        <v>6705</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v>99289</v>
      </c>
      <c r="F79" s="1723"/>
      <c r="G79" s="1723"/>
      <c r="H79" s="1623"/>
      <c r="I79" s="1632"/>
      <c r="J79" s="1632"/>
      <c r="K79" s="1722">
        <f t="shared" si="11"/>
        <v>99289</v>
      </c>
      <c r="L79" s="1623">
        <v>140000</v>
      </c>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99289</v>
      </c>
      <c r="F84" s="1723"/>
      <c r="G84" s="1723"/>
      <c r="H84" s="1724">
        <f>SUM(H78:H83)</f>
        <v>0</v>
      </c>
      <c r="I84" s="1632"/>
      <c r="J84" s="1632"/>
      <c r="K84" s="1724">
        <f>SUM(K78:K83)</f>
        <v>99289</v>
      </c>
      <c r="L84" s="1724">
        <f>SUM(L78:L83)</f>
        <v>140000</v>
      </c>
    </row>
    <row r="85" spans="1:12" ht="12.95" customHeight="1" thickTop="1" thickBot="1" x14ac:dyDescent="0.25">
      <c r="A85" s="1326" t="s">
        <v>253</v>
      </c>
      <c r="B85" s="517">
        <v>4210</v>
      </c>
      <c r="C85" s="1723"/>
      <c r="D85" s="1723"/>
      <c r="E85" s="1733"/>
      <c r="F85" s="1723"/>
      <c r="G85" s="1723"/>
      <c r="H85" s="1680"/>
      <c r="I85" s="1632"/>
      <c r="J85" s="1632"/>
      <c r="K85" s="1731">
        <f>H85</f>
        <v>0</v>
      </c>
      <c r="L85" s="1676"/>
    </row>
    <row r="86" spans="1:12" ht="12.95" customHeight="1" thickTop="1" thickBot="1" x14ac:dyDescent="0.25">
      <c r="A86" s="1327" t="s">
        <v>694</v>
      </c>
      <c r="B86" s="518">
        <v>4220</v>
      </c>
      <c r="C86" s="1723"/>
      <c r="D86" s="1723"/>
      <c r="E86" s="1734"/>
      <c r="F86" s="1723"/>
      <c r="G86" s="1723"/>
      <c r="H86" s="1624">
        <v>139837</v>
      </c>
      <c r="I86" s="1632"/>
      <c r="J86" s="1632"/>
      <c r="K86" s="1731">
        <f t="shared" ref="K86:K98" si="12">H86</f>
        <v>139837</v>
      </c>
      <c r="L86" s="1676">
        <v>252937</v>
      </c>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95" customHeight="1" thickTop="1" thickBot="1" x14ac:dyDescent="0.25">
      <c r="A88" s="1328" t="s">
        <v>760</v>
      </c>
      <c r="B88" s="519">
        <v>4240</v>
      </c>
      <c r="C88" s="1723"/>
      <c r="D88" s="1723"/>
      <c r="E88" s="1734"/>
      <c r="F88" s="1723"/>
      <c r="G88" s="1723"/>
      <c r="H88" s="1624"/>
      <c r="I88" s="1632"/>
      <c r="J88" s="1632"/>
      <c r="K88" s="1731">
        <f t="shared" si="12"/>
        <v>0</v>
      </c>
      <c r="L88" s="1676"/>
    </row>
    <row r="89" spans="1:12" ht="12.95" customHeight="1" thickTop="1" thickBot="1" x14ac:dyDescent="0.25">
      <c r="A89" s="1328" t="s">
        <v>696</v>
      </c>
      <c r="B89" s="519">
        <v>4270</v>
      </c>
      <c r="C89" s="1723"/>
      <c r="D89" s="1723"/>
      <c r="E89" s="1734"/>
      <c r="F89" s="1723"/>
      <c r="G89" s="1723"/>
      <c r="H89" s="1624"/>
      <c r="I89" s="1632"/>
      <c r="J89" s="1632"/>
      <c r="K89" s="1731">
        <f t="shared" si="12"/>
        <v>0</v>
      </c>
      <c r="L89" s="1676"/>
    </row>
    <row r="90" spans="1:12" ht="12.95" customHeight="1" thickTop="1" thickBot="1" x14ac:dyDescent="0.25">
      <c r="A90" s="1328" t="s">
        <v>681</v>
      </c>
      <c r="B90" s="519">
        <v>4280</v>
      </c>
      <c r="C90" s="1723"/>
      <c r="D90" s="1723"/>
      <c r="E90" s="1734"/>
      <c r="F90" s="1723"/>
      <c r="G90" s="1723"/>
      <c r="H90" s="1624"/>
      <c r="I90" s="1632"/>
      <c r="J90" s="1632"/>
      <c r="K90" s="1731">
        <f t="shared" si="12"/>
        <v>0</v>
      </c>
      <c r="L90" s="1676"/>
    </row>
    <row r="91" spans="1:12" ht="12.9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139837</v>
      </c>
      <c r="I92" s="1632"/>
      <c r="J92" s="1632"/>
      <c r="K92" s="1731">
        <f t="shared" si="12"/>
        <v>139837</v>
      </c>
      <c r="L92" s="1724">
        <f>SUM(L85:L91)</f>
        <v>252937</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9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9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9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95" customHeight="1" thickTop="1" thickBot="1" x14ac:dyDescent="0.25">
      <c r="A102" s="1429" t="s">
        <v>1473</v>
      </c>
      <c r="B102" s="1434">
        <v>4000</v>
      </c>
      <c r="C102" s="1723"/>
      <c r="D102" s="1723"/>
      <c r="E102" s="1731">
        <f>SUM(E84,E92,E100,E101)</f>
        <v>99289</v>
      </c>
      <c r="F102" s="1723"/>
      <c r="G102" s="1723"/>
      <c r="H102" s="1731">
        <f>SUM(H84,H92,H100,H101)</f>
        <v>139837</v>
      </c>
      <c r="I102" s="1632"/>
      <c r="J102" s="1632"/>
      <c r="K102" s="1731">
        <f>SUM(K84,K92,K100,K101)</f>
        <v>239126</v>
      </c>
      <c r="L102" s="1731">
        <f>SUM(L84,L92,L100,L101)</f>
        <v>392937</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9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9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9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9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95" customHeight="1" thickTop="1" thickBot="1" x14ac:dyDescent="0.25">
      <c r="A114" s="1429" t="s">
        <v>48</v>
      </c>
      <c r="B114" s="1437"/>
      <c r="C114" s="1724">
        <f>SUM(C33,C74,C75,C102,C112,C113)</f>
        <v>2755748</v>
      </c>
      <c r="D114" s="1724">
        <f t="shared" ref="D114:K114" si="13">SUM(D33,D74,D75,D102,D112,D113)</f>
        <v>497690</v>
      </c>
      <c r="E114" s="1724">
        <f t="shared" si="13"/>
        <v>506121</v>
      </c>
      <c r="F114" s="1724">
        <f t="shared" si="13"/>
        <v>213537</v>
      </c>
      <c r="G114" s="1724">
        <f t="shared" si="13"/>
        <v>35827</v>
      </c>
      <c r="H114" s="1724">
        <f>SUM(H33,H74,H75,H102,H112,H113)</f>
        <v>150478</v>
      </c>
      <c r="I114" s="1724">
        <f t="shared" si="13"/>
        <v>0</v>
      </c>
      <c r="J114" s="1724">
        <f t="shared" si="13"/>
        <v>0</v>
      </c>
      <c r="K114" s="1724">
        <f t="shared" si="13"/>
        <v>4159401</v>
      </c>
      <c r="L114" s="1724">
        <f>SUM(L33,L74,L75,L102,L112,L113)</f>
        <v>4418098</v>
      </c>
    </row>
    <row r="115" spans="1:14" ht="13.5" thickTop="1" x14ac:dyDescent="0.2">
      <c r="A115" s="2214" t="s">
        <v>989</v>
      </c>
      <c r="B115" s="2215"/>
      <c r="C115" s="1725"/>
      <c r="D115" s="1725"/>
      <c r="E115" s="1725"/>
      <c r="F115" s="1725"/>
      <c r="G115" s="1725"/>
      <c r="H115" s="1725"/>
      <c r="I115" s="1725"/>
      <c r="J115" s="1725"/>
      <c r="K115" s="1739">
        <f>'Revenues 9-14'!C268-'Expenditures 15-22'!K114</f>
        <v>360093</v>
      </c>
      <c r="L115" s="1725"/>
    </row>
    <row r="116" spans="1:14" s="175" customFormat="1" ht="9.1999999999999993"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19" t="s">
        <v>293</v>
      </c>
      <c r="B117" s="2220"/>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9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v>250000</v>
      </c>
      <c r="H123" s="1623"/>
      <c r="I123" s="1624"/>
      <c r="J123" s="1624"/>
      <c r="K123" s="1724">
        <f>SUM(C123:J123)</f>
        <v>250000</v>
      </c>
      <c r="L123" s="1623">
        <v>250000</v>
      </c>
    </row>
    <row r="124" spans="1:14" ht="14.25" thickTop="1" thickBot="1" x14ac:dyDescent="0.25">
      <c r="A124" s="1319" t="s">
        <v>195</v>
      </c>
      <c r="B124" s="503">
        <v>2540</v>
      </c>
      <c r="C124" s="1623">
        <v>191634</v>
      </c>
      <c r="D124" s="1623">
        <v>31385</v>
      </c>
      <c r="E124" s="1623">
        <v>59148</v>
      </c>
      <c r="F124" s="1623">
        <v>123366</v>
      </c>
      <c r="G124" s="1623">
        <v>57594</v>
      </c>
      <c r="H124" s="1623"/>
      <c r="I124" s="1624"/>
      <c r="J124" s="1624"/>
      <c r="K124" s="1724">
        <f>SUM(C124:J124)</f>
        <v>463127</v>
      </c>
      <c r="L124" s="1623">
        <v>472664</v>
      </c>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95" customHeight="1" thickTop="1" thickBot="1" x14ac:dyDescent="0.25">
      <c r="A127" s="1429" t="s">
        <v>714</v>
      </c>
      <c r="B127" s="1430" t="s">
        <v>35</v>
      </c>
      <c r="C127" s="1724">
        <f>SUM(C122:C126)</f>
        <v>191634</v>
      </c>
      <c r="D127" s="1724">
        <f t="shared" ref="D127:L127" si="14">SUM(D122:D126)</f>
        <v>31385</v>
      </c>
      <c r="E127" s="1724">
        <f t="shared" si="14"/>
        <v>59148</v>
      </c>
      <c r="F127" s="1724">
        <f t="shared" si="14"/>
        <v>123366</v>
      </c>
      <c r="G127" s="1724">
        <f t="shared" si="14"/>
        <v>307594</v>
      </c>
      <c r="H127" s="1724">
        <f t="shared" si="14"/>
        <v>0</v>
      </c>
      <c r="I127" s="1724">
        <f t="shared" si="14"/>
        <v>0</v>
      </c>
      <c r="J127" s="1724">
        <f t="shared" si="14"/>
        <v>0</v>
      </c>
      <c r="K127" s="1724">
        <f t="shared" si="14"/>
        <v>713127</v>
      </c>
      <c r="L127" s="1724">
        <f t="shared" si="14"/>
        <v>722664</v>
      </c>
    </row>
    <row r="128" spans="1:14" ht="12.95" customHeight="1" thickTop="1" x14ac:dyDescent="0.2">
      <c r="A128" s="1326" t="s">
        <v>973</v>
      </c>
      <c r="B128" s="531" t="s">
        <v>570</v>
      </c>
      <c r="C128" s="1745"/>
      <c r="D128" s="1745"/>
      <c r="E128" s="1745"/>
      <c r="F128" s="1745"/>
      <c r="G128" s="1745"/>
      <c r="H128" s="1745"/>
      <c r="I128" s="1680"/>
      <c r="J128" s="1680"/>
      <c r="K128" s="1746">
        <f>SUM(C128:J128)</f>
        <v>0</v>
      </c>
      <c r="L128" s="1745"/>
    </row>
    <row r="129" spans="1:14" ht="12.95" customHeight="1" thickBot="1" x14ac:dyDescent="0.25">
      <c r="A129" s="1438" t="s">
        <v>806</v>
      </c>
      <c r="B129" s="1439" t="s">
        <v>565</v>
      </c>
      <c r="C129" s="1731">
        <f>SUM(C120,C127,C128)</f>
        <v>191634</v>
      </c>
      <c r="D129" s="1731">
        <f t="shared" ref="D129:L129" si="15">SUM(D120,D127,D128)</f>
        <v>31385</v>
      </c>
      <c r="E129" s="1731">
        <f t="shared" si="15"/>
        <v>59148</v>
      </c>
      <c r="F129" s="1731">
        <f t="shared" si="15"/>
        <v>123366</v>
      </c>
      <c r="G129" s="1731">
        <f t="shared" si="15"/>
        <v>307594</v>
      </c>
      <c r="H129" s="1731">
        <f t="shared" si="15"/>
        <v>0</v>
      </c>
      <c r="I129" s="1731">
        <f t="shared" si="15"/>
        <v>0</v>
      </c>
      <c r="J129" s="1731">
        <f t="shared" si="15"/>
        <v>0</v>
      </c>
      <c r="K129" s="1731">
        <f t="shared" si="15"/>
        <v>713127</v>
      </c>
      <c r="L129" s="1731">
        <f t="shared" si="15"/>
        <v>722664</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9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9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9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9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95" customHeight="1" x14ac:dyDescent="0.2">
      <c r="A146" s="1319" t="s">
        <v>615</v>
      </c>
      <c r="B146" s="503" t="s">
        <v>614</v>
      </c>
      <c r="C146" s="1723"/>
      <c r="D146" s="1723"/>
      <c r="E146" s="1723"/>
      <c r="F146" s="1723"/>
      <c r="G146" s="1723"/>
      <c r="H146" s="1623">
        <v>350</v>
      </c>
      <c r="I146" s="1625"/>
      <c r="J146" s="1723"/>
      <c r="K146" s="1728">
        <f>SUM(H146)</f>
        <v>350</v>
      </c>
      <c r="L146" s="1623">
        <v>350</v>
      </c>
    </row>
    <row r="147" spans="1:14" ht="12.95" customHeight="1" thickBot="1" x14ac:dyDescent="0.25">
      <c r="A147" s="1330" t="s">
        <v>622</v>
      </c>
      <c r="B147" s="534" t="s">
        <v>713</v>
      </c>
      <c r="C147" s="1723"/>
      <c r="D147" s="1723"/>
      <c r="E147" s="1723"/>
      <c r="F147" s="1723"/>
      <c r="G147" s="1723"/>
      <c r="H147" s="1644">
        <f>SUM(H142:H146)</f>
        <v>350</v>
      </c>
      <c r="I147" s="1625"/>
      <c r="J147" s="1723"/>
      <c r="K147" s="1724">
        <f>SUM(K142:K146)</f>
        <v>350</v>
      </c>
      <c r="L147" s="1644">
        <f>SUM(L142:L146)</f>
        <v>350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95" customHeight="1" thickBot="1" x14ac:dyDescent="0.25">
      <c r="A149" s="1322" t="s">
        <v>633</v>
      </c>
      <c r="B149" s="504" t="s">
        <v>489</v>
      </c>
      <c r="C149" s="1723"/>
      <c r="D149" s="1723"/>
      <c r="E149" s="1723"/>
      <c r="F149" s="1723"/>
      <c r="G149" s="1723"/>
      <c r="H149" s="1724">
        <f>SUM(H147,H148)</f>
        <v>350</v>
      </c>
      <c r="I149" s="1625"/>
      <c r="J149" s="1723"/>
      <c r="K149" s="1724">
        <f>SUM(K147:K148)</f>
        <v>350</v>
      </c>
      <c r="L149" s="1724">
        <f>SUM(L142:L146,L148)</f>
        <v>350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95" customHeight="1" thickTop="1" thickBot="1" x14ac:dyDescent="0.25">
      <c r="A151" s="2231" t="s">
        <v>616</v>
      </c>
      <c r="B151" s="2211"/>
      <c r="C151" s="1724">
        <f>SUM(C129,C130,C139,C149,C150)</f>
        <v>191634</v>
      </c>
      <c r="D151" s="1724">
        <f t="shared" ref="D151:K151" si="16">SUM(D129,D130,D139,D149,D150)</f>
        <v>31385</v>
      </c>
      <c r="E151" s="1724">
        <f t="shared" si="16"/>
        <v>59148</v>
      </c>
      <c r="F151" s="1724">
        <f t="shared" si="16"/>
        <v>123366</v>
      </c>
      <c r="G151" s="1724">
        <f t="shared" si="16"/>
        <v>307594</v>
      </c>
      <c r="H151" s="1724">
        <f t="shared" si="16"/>
        <v>350</v>
      </c>
      <c r="I151" s="1724">
        <f t="shared" si="16"/>
        <v>0</v>
      </c>
      <c r="J151" s="1724">
        <f t="shared" si="16"/>
        <v>0</v>
      </c>
      <c r="K151" s="1724">
        <f t="shared" si="16"/>
        <v>713477</v>
      </c>
      <c r="L151" s="1724">
        <f>SUM(L129,L130,L139,L149,L150)</f>
        <v>723014</v>
      </c>
    </row>
    <row r="152" spans="1:14" ht="12.95" customHeight="1" thickTop="1" x14ac:dyDescent="0.2">
      <c r="A152" s="2234" t="s">
        <v>1170</v>
      </c>
      <c r="B152" s="2235"/>
      <c r="C152" s="1725"/>
      <c r="D152" s="1725"/>
      <c r="E152" s="1725"/>
      <c r="F152" s="1725"/>
      <c r="G152" s="1725"/>
      <c r="H152" s="1725"/>
      <c r="I152" s="1725"/>
      <c r="J152" s="1723"/>
      <c r="K152" s="1739">
        <f>'Revenues 9-14'!D268-'Expenditures 15-22'!K151</f>
        <v>-347777</v>
      </c>
      <c r="L152" s="1725"/>
    </row>
    <row r="153" spans="1:14" s="540" customFormat="1" ht="9.1999999999999993"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19" t="s">
        <v>617</v>
      </c>
      <c r="B154" s="2221"/>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9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9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8443</v>
      </c>
      <c r="I169" s="1723"/>
      <c r="J169" s="1723"/>
      <c r="K169" s="1722">
        <f>SUM(C169:H169)</f>
        <v>8443</v>
      </c>
      <c r="L169" s="1745">
        <v>8443</v>
      </c>
    </row>
    <row r="170" spans="1:14" ht="33.75" customHeight="1" x14ac:dyDescent="0.2">
      <c r="A170" s="543" t="s">
        <v>1654</v>
      </c>
      <c r="B170" s="545" t="s">
        <v>31</v>
      </c>
      <c r="C170" s="1723"/>
      <c r="D170" s="1723"/>
      <c r="E170" s="1723"/>
      <c r="F170" s="1723"/>
      <c r="G170" s="1723"/>
      <c r="H170" s="1696">
        <v>205000</v>
      </c>
      <c r="I170" s="1723"/>
      <c r="J170" s="1723"/>
      <c r="K170" s="1722">
        <f>SUM(C170:J170)</f>
        <v>205000</v>
      </c>
      <c r="L170" s="1696">
        <v>205000</v>
      </c>
    </row>
    <row r="171" spans="1:14" ht="15.75" customHeight="1" x14ac:dyDescent="0.2">
      <c r="A171" s="507" t="s">
        <v>761</v>
      </c>
      <c r="B171" s="546" t="s">
        <v>84</v>
      </c>
      <c r="C171" s="1723"/>
      <c r="D171" s="1723"/>
      <c r="E171" s="1623"/>
      <c r="F171" s="1723"/>
      <c r="G171" s="1723"/>
      <c r="H171" s="1696"/>
      <c r="I171" s="1632"/>
      <c r="J171" s="1723"/>
      <c r="K171" s="1722">
        <f>SUM(C171:J171)</f>
        <v>0</v>
      </c>
      <c r="L171" s="1696"/>
    </row>
    <row r="172" spans="1:14" ht="12.95" customHeight="1" thickBot="1" x14ac:dyDescent="0.25">
      <c r="A172" s="1429" t="s">
        <v>633</v>
      </c>
      <c r="B172" s="1430" t="s">
        <v>489</v>
      </c>
      <c r="C172" s="1723"/>
      <c r="D172" s="1723"/>
      <c r="E172" s="1731">
        <f>SUM(E168,E169,E170,E171)</f>
        <v>0</v>
      </c>
      <c r="F172" s="1723"/>
      <c r="G172" s="1723"/>
      <c r="H172" s="1731">
        <f>SUM(H168,H169,H170,H171)</f>
        <v>213443</v>
      </c>
      <c r="I172" s="1734"/>
      <c r="J172" s="1723"/>
      <c r="K172" s="1731">
        <f>SUM(K168,K169,K170,K171)</f>
        <v>213443</v>
      </c>
      <c r="L172" s="1731">
        <f>SUM(L168,L169,L170,L171)</f>
        <v>213443</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95" customHeight="1" thickTop="1" thickBot="1" x14ac:dyDescent="0.25">
      <c r="A174" s="1440" t="s">
        <v>90</v>
      </c>
      <c r="B174" s="1441"/>
      <c r="C174" s="1723"/>
      <c r="D174" s="1723"/>
      <c r="E174" s="1731">
        <f>SUM(E172,E173)</f>
        <v>0</v>
      </c>
      <c r="F174" s="1723"/>
      <c r="G174" s="1723"/>
      <c r="H174" s="1731">
        <f>SUM(H160,H172,H173)</f>
        <v>213443</v>
      </c>
      <c r="I174" s="1734"/>
      <c r="J174" s="1723"/>
      <c r="K174" s="1731">
        <f>SUM(K160,K172,K173)</f>
        <v>213443</v>
      </c>
      <c r="L174" s="1731">
        <f>SUM(L160,L172,L173)</f>
        <v>213443</v>
      </c>
    </row>
    <row r="175" spans="1:14" ht="13.5" thickTop="1" x14ac:dyDescent="0.2">
      <c r="A175" s="2214" t="s">
        <v>989</v>
      </c>
      <c r="B175" s="2215"/>
      <c r="C175" s="1723"/>
      <c r="D175" s="1723"/>
      <c r="E175" s="1723"/>
      <c r="F175" s="1723"/>
      <c r="G175" s="1723"/>
      <c r="H175" s="1725"/>
      <c r="I175" s="1723"/>
      <c r="J175" s="1723"/>
      <c r="K175" s="1739">
        <f>'Revenues 9-14'!E268-'Expenditures 15-22'!K174</f>
        <v>3175</v>
      </c>
      <c r="L175" s="1725"/>
    </row>
    <row r="176" spans="1:14" s="540" customFormat="1" ht="9.1999999999999993"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95" customHeight="1" x14ac:dyDescent="0.2">
      <c r="A180" s="1319" t="s">
        <v>1966</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95" customHeight="1" x14ac:dyDescent="0.2">
      <c r="A182" s="1319" t="s">
        <v>947</v>
      </c>
      <c r="B182" s="503">
        <v>2550</v>
      </c>
      <c r="C182" s="1623">
        <v>2085</v>
      </c>
      <c r="D182" s="1623"/>
      <c r="E182" s="1623">
        <v>185453</v>
      </c>
      <c r="F182" s="1623"/>
      <c r="G182" s="1623"/>
      <c r="H182" s="1623"/>
      <c r="I182" s="1624"/>
      <c r="J182" s="1624"/>
      <c r="K182" s="1722">
        <f>SUM(C182:J182)</f>
        <v>187538</v>
      </c>
      <c r="L182" s="1623">
        <v>202085</v>
      </c>
    </row>
    <row r="183" spans="1:14" ht="12.95" customHeight="1" thickBot="1" x14ac:dyDescent="0.25">
      <c r="A183" s="1324" t="s">
        <v>973</v>
      </c>
      <c r="B183" s="551">
        <v>2900</v>
      </c>
      <c r="C183" s="1699"/>
      <c r="D183" s="1699"/>
      <c r="E183" s="1699"/>
      <c r="F183" s="1699"/>
      <c r="G183" s="1699"/>
      <c r="H183" s="1699"/>
      <c r="I183" s="1678"/>
      <c r="J183" s="1678"/>
      <c r="K183" s="1731">
        <f>SUM(C183:J183)</f>
        <v>0</v>
      </c>
      <c r="L183" s="1699"/>
    </row>
    <row r="184" spans="1:14" ht="12.95" customHeight="1" thickTop="1" thickBot="1" x14ac:dyDescent="0.25">
      <c r="A184" s="1442" t="s">
        <v>806</v>
      </c>
      <c r="B184" s="1430" t="s">
        <v>565</v>
      </c>
      <c r="C184" s="1731">
        <f>SUM(C180,C182,C183)</f>
        <v>2085</v>
      </c>
      <c r="D184" s="1731">
        <f t="shared" ref="D184:J184" si="17">SUM(D180,D182,D183)</f>
        <v>0</v>
      </c>
      <c r="E184" s="1731">
        <f t="shared" si="17"/>
        <v>185453</v>
      </c>
      <c r="F184" s="1731">
        <f t="shared" si="17"/>
        <v>0</v>
      </c>
      <c r="G184" s="1731">
        <f t="shared" si="17"/>
        <v>0</v>
      </c>
      <c r="H184" s="1731">
        <f t="shared" si="17"/>
        <v>0</v>
      </c>
      <c r="I184" s="1731">
        <f t="shared" si="17"/>
        <v>0</v>
      </c>
      <c r="J184" s="1731">
        <f t="shared" si="17"/>
        <v>0</v>
      </c>
      <c r="K184" s="1731">
        <f>SUM(K180,K182,K183)</f>
        <v>187538</v>
      </c>
      <c r="L184" s="1731">
        <f>SUM(L180, L182:L183)</f>
        <v>202085</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9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9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9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9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95" customHeight="1" thickTop="1" thickBot="1" x14ac:dyDescent="0.25">
      <c r="A210" s="1443" t="s">
        <v>275</v>
      </c>
      <c r="B210" s="1444"/>
      <c r="C210" s="1724">
        <f>SUM(C184,C185)</f>
        <v>2085</v>
      </c>
      <c r="D210" s="1724">
        <f>SUM(D184,D185)</f>
        <v>0</v>
      </c>
      <c r="E210" s="1724">
        <f>SUM(E184,E185,E196)</f>
        <v>185453</v>
      </c>
      <c r="F210" s="1724">
        <f>SUM(F184,F185)</f>
        <v>0</v>
      </c>
      <c r="G210" s="1724">
        <f>SUM(G184,G185)</f>
        <v>0</v>
      </c>
      <c r="H210" s="1724">
        <f>SUM(H184,H185,H196,H208,H209)</f>
        <v>0</v>
      </c>
      <c r="I210" s="1724">
        <f>SUM(I184,I185)</f>
        <v>0</v>
      </c>
      <c r="J210" s="1724">
        <f>SUM(J184,J185)</f>
        <v>0</v>
      </c>
      <c r="K210" s="1722">
        <f>SUM(K184,K185,K196,K208,K209)</f>
        <v>187538</v>
      </c>
      <c r="L210" s="1724">
        <f>SUM(L184,L185,L196,L208,L209)</f>
        <v>202085</v>
      </c>
    </row>
    <row r="211" spans="1:14" ht="13.5" thickTop="1" x14ac:dyDescent="0.2">
      <c r="A211" s="2214" t="s">
        <v>989</v>
      </c>
      <c r="B211" s="2215"/>
      <c r="C211" s="1725"/>
      <c r="D211" s="1725"/>
      <c r="E211" s="1725"/>
      <c r="F211" s="1725"/>
      <c r="G211" s="1725"/>
      <c r="H211" s="1725"/>
      <c r="I211" s="1723"/>
      <c r="J211" s="1723"/>
      <c r="K211" s="1739">
        <f>'Revenues 9-14'!F268-'Expenditures 15-22'!K210</f>
        <v>154709</v>
      </c>
      <c r="L211" s="1725"/>
    </row>
    <row r="212" spans="1:14" s="540" customFormat="1" ht="9.1999999999999993"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36" t="s">
        <v>959</v>
      </c>
      <c r="B213" s="2237"/>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20684</v>
      </c>
      <c r="E215" s="1723"/>
      <c r="F215" s="1723"/>
      <c r="G215" s="1723"/>
      <c r="H215" s="1723"/>
      <c r="I215" s="1723"/>
      <c r="J215" s="1723"/>
      <c r="K215" s="1722">
        <f>D215</f>
        <v>20684</v>
      </c>
      <c r="L215" s="1623">
        <v>21747</v>
      </c>
    </row>
    <row r="216" spans="1:14" x14ac:dyDescent="0.2">
      <c r="A216" s="1319" t="s">
        <v>162</v>
      </c>
      <c r="B216" s="503" t="s">
        <v>961</v>
      </c>
      <c r="C216" s="1723"/>
      <c r="D216" s="1624">
        <v>6061</v>
      </c>
      <c r="E216" s="1723"/>
      <c r="F216" s="1723"/>
      <c r="G216" s="1723"/>
      <c r="H216" s="1723"/>
      <c r="I216" s="1723"/>
      <c r="J216" s="1723"/>
      <c r="K216" s="1722">
        <f t="shared" ref="K216:K228" si="19">D216</f>
        <v>6061</v>
      </c>
      <c r="L216" s="1623">
        <v>6547</v>
      </c>
    </row>
    <row r="217" spans="1:14" x14ac:dyDescent="0.2">
      <c r="A217" s="1319" t="s">
        <v>163</v>
      </c>
      <c r="B217" s="503">
        <v>1200</v>
      </c>
      <c r="C217" s="1723"/>
      <c r="D217" s="1623">
        <v>43730</v>
      </c>
      <c r="E217" s="1723"/>
      <c r="F217" s="1723"/>
      <c r="G217" s="1723"/>
      <c r="H217" s="1723"/>
      <c r="I217" s="1723"/>
      <c r="J217" s="1723"/>
      <c r="K217" s="1722">
        <f t="shared" si="19"/>
        <v>43730</v>
      </c>
      <c r="L217" s="1623">
        <v>43804</v>
      </c>
    </row>
    <row r="218" spans="1:14" x14ac:dyDescent="0.2">
      <c r="A218" s="1319" t="s">
        <v>276</v>
      </c>
      <c r="B218" s="503" t="s">
        <v>962</v>
      </c>
      <c r="C218" s="1723"/>
      <c r="D218" s="1624">
        <v>3135</v>
      </c>
      <c r="E218" s="1723"/>
      <c r="F218" s="1723"/>
      <c r="G218" s="1723"/>
      <c r="H218" s="1723"/>
      <c r="I218" s="1723"/>
      <c r="J218" s="1723"/>
      <c r="K218" s="1722">
        <f t="shared" si="19"/>
        <v>3135</v>
      </c>
      <c r="L218" s="1623">
        <v>3143</v>
      </c>
    </row>
    <row r="219" spans="1:14" x14ac:dyDescent="0.2">
      <c r="A219" s="1319" t="s">
        <v>277</v>
      </c>
      <c r="B219" s="503">
        <v>1250</v>
      </c>
      <c r="C219" s="1723"/>
      <c r="D219" s="1623">
        <v>1322</v>
      </c>
      <c r="E219" s="1723"/>
      <c r="F219" s="1723"/>
      <c r="G219" s="1723"/>
      <c r="H219" s="1723"/>
      <c r="I219" s="1723"/>
      <c r="J219" s="1723"/>
      <c r="K219" s="1722">
        <f t="shared" si="19"/>
        <v>1322</v>
      </c>
      <c r="L219" s="1623">
        <v>1473</v>
      </c>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c r="E222" s="1723"/>
      <c r="F222" s="1723"/>
      <c r="G222" s="1723"/>
      <c r="H222" s="1723"/>
      <c r="I222" s="1723"/>
      <c r="J222" s="1723"/>
      <c r="K222" s="1722">
        <f t="shared" si="19"/>
        <v>0</v>
      </c>
      <c r="L222" s="1623"/>
    </row>
    <row r="223" spans="1:14" x14ac:dyDescent="0.2">
      <c r="A223" s="1319" t="s">
        <v>957</v>
      </c>
      <c r="B223" s="503">
        <v>1500</v>
      </c>
      <c r="C223" s="1723"/>
      <c r="D223" s="1623">
        <v>4288</v>
      </c>
      <c r="E223" s="1723"/>
      <c r="F223" s="1723"/>
      <c r="G223" s="1723"/>
      <c r="H223" s="1723"/>
      <c r="I223" s="1723"/>
      <c r="J223" s="1723"/>
      <c r="K223" s="1722">
        <f t="shared" si="19"/>
        <v>4288</v>
      </c>
      <c r="L223" s="1623">
        <v>3903</v>
      </c>
    </row>
    <row r="224" spans="1:14" x14ac:dyDescent="0.2">
      <c r="A224" s="1319" t="s">
        <v>958</v>
      </c>
      <c r="B224" s="503">
        <v>1600</v>
      </c>
      <c r="C224" s="1723"/>
      <c r="D224" s="1623">
        <v>45</v>
      </c>
      <c r="E224" s="1723"/>
      <c r="F224" s="1723"/>
      <c r="G224" s="1723"/>
      <c r="H224" s="1723"/>
      <c r="I224" s="1723"/>
      <c r="J224" s="1723"/>
      <c r="K224" s="1722">
        <f t="shared" si="19"/>
        <v>45</v>
      </c>
      <c r="L224" s="1623">
        <v>55</v>
      </c>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c r="E226" s="1723"/>
      <c r="F226" s="1723"/>
      <c r="G226" s="1723"/>
      <c r="H226" s="1723"/>
      <c r="I226" s="1723"/>
      <c r="J226" s="1723"/>
      <c r="K226" s="1722">
        <f t="shared" si="19"/>
        <v>0</v>
      </c>
      <c r="L226" s="1623"/>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95" customHeight="1" thickBot="1" x14ac:dyDescent="0.25">
      <c r="A229" s="1429" t="s">
        <v>710</v>
      </c>
      <c r="B229" s="1432" t="s">
        <v>566</v>
      </c>
      <c r="C229" s="1723"/>
      <c r="D229" s="1724">
        <f>SUM(D215:D228)</f>
        <v>79265</v>
      </c>
      <c r="E229" s="1723"/>
      <c r="F229" s="1723"/>
      <c r="G229" s="1723"/>
      <c r="H229" s="1723"/>
      <c r="I229" s="1723"/>
      <c r="J229" s="1723"/>
      <c r="K229" s="1724">
        <f>SUM(K215:K228)</f>
        <v>79265</v>
      </c>
      <c r="L229" s="1724">
        <f>SUM(L215:L228)</f>
        <v>80672</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405</v>
      </c>
      <c r="E232" s="1723"/>
      <c r="F232" s="1723"/>
      <c r="G232" s="1723"/>
      <c r="H232" s="1723"/>
      <c r="I232" s="1723"/>
      <c r="J232" s="1723"/>
      <c r="K232" s="1722">
        <f t="shared" ref="K232:K237" si="20">D232</f>
        <v>405</v>
      </c>
      <c r="L232" s="1623">
        <v>345</v>
      </c>
    </row>
    <row r="233" spans="1:12" x14ac:dyDescent="0.2">
      <c r="A233" s="1319" t="s">
        <v>1083</v>
      </c>
      <c r="B233" s="503">
        <v>2120</v>
      </c>
      <c r="C233" s="1723"/>
      <c r="D233" s="1623"/>
      <c r="E233" s="1723"/>
      <c r="F233" s="1723"/>
      <c r="G233" s="1723"/>
      <c r="H233" s="1723"/>
      <c r="I233" s="1723"/>
      <c r="J233" s="1723"/>
      <c r="K233" s="1722">
        <f t="shared" si="20"/>
        <v>0</v>
      </c>
      <c r="L233" s="1623"/>
    </row>
    <row r="234" spans="1:12" x14ac:dyDescent="0.2">
      <c r="A234" s="1319" t="s">
        <v>196</v>
      </c>
      <c r="B234" s="503">
        <v>2130</v>
      </c>
      <c r="C234" s="1723"/>
      <c r="D234" s="1623">
        <v>3018</v>
      </c>
      <c r="E234" s="1723"/>
      <c r="F234" s="1723"/>
      <c r="G234" s="1723"/>
      <c r="H234" s="1723"/>
      <c r="I234" s="1723"/>
      <c r="J234" s="1723"/>
      <c r="K234" s="1722">
        <f t="shared" si="20"/>
        <v>3018</v>
      </c>
      <c r="L234" s="1623">
        <v>2436</v>
      </c>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c r="E237" s="1723"/>
      <c r="F237" s="1723"/>
      <c r="G237" s="1723"/>
      <c r="H237" s="1723"/>
      <c r="I237" s="1723"/>
      <c r="J237" s="1723"/>
      <c r="K237" s="1722">
        <f t="shared" si="20"/>
        <v>0</v>
      </c>
      <c r="L237" s="1623"/>
    </row>
    <row r="238" spans="1:12" ht="12.95" customHeight="1" thickBot="1" x14ac:dyDescent="0.25">
      <c r="A238" s="1429" t="s">
        <v>556</v>
      </c>
      <c r="B238" s="1432" t="s">
        <v>711</v>
      </c>
      <c r="C238" s="1723"/>
      <c r="D238" s="1724">
        <f>SUM(D232:D237)</f>
        <v>3423</v>
      </c>
      <c r="E238" s="1723"/>
      <c r="F238" s="1723"/>
      <c r="G238" s="1723"/>
      <c r="H238" s="1723"/>
      <c r="I238" s="1723"/>
      <c r="J238" s="1723"/>
      <c r="K238" s="1724">
        <f>SUM(K232:K237)</f>
        <v>3423</v>
      </c>
      <c r="L238" s="1724">
        <f>SUM(L232:L237)</f>
        <v>2781</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72</v>
      </c>
      <c r="E240" s="1723"/>
      <c r="F240" s="1723"/>
      <c r="G240" s="1723"/>
      <c r="H240" s="1723"/>
      <c r="I240" s="1723"/>
      <c r="J240" s="1723"/>
      <c r="K240" s="1728">
        <f>D240</f>
        <v>72</v>
      </c>
      <c r="L240" s="1636">
        <v>75</v>
      </c>
    </row>
    <row r="241" spans="1:12" x14ac:dyDescent="0.2">
      <c r="A241" s="1319" t="s">
        <v>810</v>
      </c>
      <c r="B241" s="503">
        <v>2220</v>
      </c>
      <c r="C241" s="1723"/>
      <c r="D241" s="1623">
        <v>11207</v>
      </c>
      <c r="E241" s="1723"/>
      <c r="F241" s="1723"/>
      <c r="G241" s="1723"/>
      <c r="H241" s="1723"/>
      <c r="I241" s="1723"/>
      <c r="J241" s="1723"/>
      <c r="K241" s="1728">
        <f>D241</f>
        <v>11207</v>
      </c>
      <c r="L241" s="1623">
        <v>10907</v>
      </c>
    </row>
    <row r="242" spans="1:12" x14ac:dyDescent="0.2">
      <c r="A242" s="1319" t="s">
        <v>811</v>
      </c>
      <c r="B242" s="503">
        <v>2230</v>
      </c>
      <c r="C242" s="1723"/>
      <c r="D242" s="1623"/>
      <c r="E242" s="1723"/>
      <c r="F242" s="1723"/>
      <c r="G242" s="1723"/>
      <c r="H242" s="1723"/>
      <c r="I242" s="1723"/>
      <c r="J242" s="1723"/>
      <c r="K242" s="1728">
        <f>D242</f>
        <v>0</v>
      </c>
      <c r="L242" s="1623"/>
    </row>
    <row r="243" spans="1:12" ht="12.95" customHeight="1" thickBot="1" x14ac:dyDescent="0.25">
      <c r="A243" s="1445" t="s">
        <v>557</v>
      </c>
      <c r="B243" s="1446">
        <v>2200</v>
      </c>
      <c r="C243" s="1723"/>
      <c r="D243" s="1724">
        <f>SUM(D240:D242)</f>
        <v>11279</v>
      </c>
      <c r="E243" s="1723"/>
      <c r="F243" s="1723"/>
      <c r="G243" s="1723"/>
      <c r="H243" s="1723"/>
      <c r="I243" s="1723"/>
      <c r="J243" s="1723"/>
      <c r="K243" s="1724">
        <f>SUM(K240:K242)</f>
        <v>11279</v>
      </c>
      <c r="L243" s="1724">
        <f>SUM(L240:L242)</f>
        <v>10982</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223</v>
      </c>
      <c r="E245" s="1723"/>
      <c r="F245" s="1723"/>
      <c r="G245" s="1723"/>
      <c r="H245" s="1723"/>
      <c r="I245" s="1723"/>
      <c r="J245" s="1723"/>
      <c r="K245" s="1728">
        <f>D245</f>
        <v>223</v>
      </c>
      <c r="L245" s="1636">
        <v>223</v>
      </c>
    </row>
    <row r="246" spans="1:12" x14ac:dyDescent="0.2">
      <c r="A246" s="1319" t="s">
        <v>813</v>
      </c>
      <c r="B246" s="503">
        <v>2320</v>
      </c>
      <c r="C246" s="1723"/>
      <c r="D246" s="1623">
        <v>902</v>
      </c>
      <c r="E246" s="1723"/>
      <c r="F246" s="1723"/>
      <c r="G246" s="1723"/>
      <c r="H246" s="1723"/>
      <c r="I246" s="1723"/>
      <c r="J246" s="1723"/>
      <c r="K246" s="1728">
        <f t="shared" ref="K246:K256" si="21">D246</f>
        <v>902</v>
      </c>
      <c r="L246" s="1623">
        <v>892</v>
      </c>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c r="E254" s="1723"/>
      <c r="F254" s="1723"/>
      <c r="G254" s="1723"/>
      <c r="H254" s="1723"/>
      <c r="I254" s="1723"/>
      <c r="J254" s="1723"/>
      <c r="K254" s="1728">
        <f t="shared" si="21"/>
        <v>0</v>
      </c>
      <c r="L254" s="1623"/>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95" customHeight="1" thickBot="1" x14ac:dyDescent="0.25">
      <c r="A257" s="1429" t="s">
        <v>712</v>
      </c>
      <c r="B257" s="1447">
        <v>2300</v>
      </c>
      <c r="C257" s="1723"/>
      <c r="D257" s="1724">
        <f>SUM(D245:D256)</f>
        <v>1125</v>
      </c>
      <c r="E257" s="1723"/>
      <c r="F257" s="1723"/>
      <c r="G257" s="1723"/>
      <c r="H257" s="1723"/>
      <c r="I257" s="1723"/>
      <c r="J257" s="1723"/>
      <c r="K257" s="1724">
        <f>SUM(K245:K256)</f>
        <v>1125</v>
      </c>
      <c r="L257" s="1724">
        <f>SUM(L245:L256)</f>
        <v>1115</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11119</v>
      </c>
      <c r="E259" s="1723"/>
      <c r="F259" s="1723"/>
      <c r="G259" s="1723"/>
      <c r="H259" s="1723"/>
      <c r="I259" s="1723"/>
      <c r="J259" s="1723"/>
      <c r="K259" s="1728">
        <f>D259</f>
        <v>11119</v>
      </c>
      <c r="L259" s="1636">
        <v>11406</v>
      </c>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95" customHeight="1" thickBot="1" x14ac:dyDescent="0.25">
      <c r="A261" s="1443" t="s">
        <v>261</v>
      </c>
      <c r="B261" s="1448" t="s">
        <v>34</v>
      </c>
      <c r="C261" s="1723"/>
      <c r="D261" s="1724">
        <f>SUM(D259:D260)</f>
        <v>11119</v>
      </c>
      <c r="E261" s="1723"/>
      <c r="F261" s="1723"/>
      <c r="G261" s="1723"/>
      <c r="H261" s="1723"/>
      <c r="I261" s="1723"/>
      <c r="J261" s="1723"/>
      <c r="K261" s="1724">
        <f>SUM(K259:K260)</f>
        <v>11119</v>
      </c>
      <c r="L261" s="1724">
        <f>SUM(L259:L260)</f>
        <v>11406</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v>7457</v>
      </c>
      <c r="E264" s="1723"/>
      <c r="F264" s="1723"/>
      <c r="G264" s="1723"/>
      <c r="H264" s="1723"/>
      <c r="I264" s="1723"/>
      <c r="J264" s="1723"/>
      <c r="K264" s="1728">
        <f t="shared" ref="K264:K269" si="22">D264</f>
        <v>7457</v>
      </c>
      <c r="L264" s="1623">
        <v>7505</v>
      </c>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27469</v>
      </c>
      <c r="E266" s="1723"/>
      <c r="F266" s="1723"/>
      <c r="G266" s="1723"/>
      <c r="H266" s="1723"/>
      <c r="I266" s="1723"/>
      <c r="J266" s="1723"/>
      <c r="K266" s="1728">
        <f t="shared" si="22"/>
        <v>27469</v>
      </c>
      <c r="L266" s="1623">
        <v>26954</v>
      </c>
    </row>
    <row r="267" spans="1:14" x14ac:dyDescent="0.2">
      <c r="A267" s="1319" t="s">
        <v>947</v>
      </c>
      <c r="B267" s="503">
        <v>2550</v>
      </c>
      <c r="C267" s="1723"/>
      <c r="D267" s="1623"/>
      <c r="E267" s="1723"/>
      <c r="F267" s="1723"/>
      <c r="G267" s="1723"/>
      <c r="H267" s="1723"/>
      <c r="I267" s="1723"/>
      <c r="J267" s="1723"/>
      <c r="K267" s="1728">
        <f t="shared" si="22"/>
        <v>0</v>
      </c>
      <c r="L267" s="1623"/>
    </row>
    <row r="268" spans="1:14" x14ac:dyDescent="0.2">
      <c r="A268" s="1319" t="s">
        <v>100</v>
      </c>
      <c r="B268" s="503">
        <v>2560</v>
      </c>
      <c r="C268" s="1723"/>
      <c r="D268" s="1623"/>
      <c r="E268" s="1723"/>
      <c r="F268" s="1723"/>
      <c r="G268" s="1723"/>
      <c r="H268" s="1723"/>
      <c r="I268" s="1723"/>
      <c r="J268" s="1723"/>
      <c r="K268" s="1728">
        <f t="shared" si="22"/>
        <v>0</v>
      </c>
      <c r="L268" s="1623"/>
    </row>
    <row r="269" spans="1:14" x14ac:dyDescent="0.2">
      <c r="A269" s="1319" t="s">
        <v>101</v>
      </c>
      <c r="B269" s="503">
        <v>2570</v>
      </c>
      <c r="C269" s="1723"/>
      <c r="D269" s="1623"/>
      <c r="E269" s="1723"/>
      <c r="F269" s="1723"/>
      <c r="G269" s="1723"/>
      <c r="H269" s="1723"/>
      <c r="I269" s="1723"/>
      <c r="J269" s="1723"/>
      <c r="K269" s="1728">
        <f t="shared" si="22"/>
        <v>0</v>
      </c>
      <c r="L269" s="1623"/>
    </row>
    <row r="270" spans="1:14" ht="12.95" customHeight="1" thickBot="1" x14ac:dyDescent="0.25">
      <c r="A270" s="1429" t="s">
        <v>714</v>
      </c>
      <c r="B270" s="1432" t="s">
        <v>35</v>
      </c>
      <c r="C270" s="1723"/>
      <c r="D270" s="1724">
        <f>SUM(D263:D269)</f>
        <v>34926</v>
      </c>
      <c r="E270" s="1723"/>
      <c r="F270" s="1723"/>
      <c r="G270" s="1723"/>
      <c r="H270" s="1723"/>
      <c r="I270" s="1723"/>
      <c r="J270" s="1723"/>
      <c r="K270" s="1724">
        <f>SUM(K263:K269)</f>
        <v>34926</v>
      </c>
      <c r="L270" s="1724">
        <f>SUM(L263:L269)</f>
        <v>34459</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9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95" customHeight="1" thickBot="1" x14ac:dyDescent="0.25">
      <c r="A279" s="1449" t="s">
        <v>806</v>
      </c>
      <c r="B279" s="1436">
        <v>2000</v>
      </c>
      <c r="C279" s="1723"/>
      <c r="D279" s="1731">
        <f>SUM(D238,D243,D257,D261,D270,D277,D278)</f>
        <v>61872</v>
      </c>
      <c r="E279" s="1723"/>
      <c r="F279" s="1723"/>
      <c r="G279" s="1723"/>
      <c r="H279" s="1723"/>
      <c r="I279" s="1723"/>
      <c r="J279" s="1723"/>
      <c r="K279" s="1731">
        <f>SUM(K238,K243,K257,K261,K270,K277,K278)</f>
        <v>61872</v>
      </c>
      <c r="L279" s="1731">
        <f>SUM(L238,L243,L257,L261,L270,L277,L278)</f>
        <v>60743</v>
      </c>
    </row>
    <row r="280" spans="1:12" ht="15.75" customHeight="1" thickTop="1" thickBot="1" x14ac:dyDescent="0.25">
      <c r="A280" s="1407" t="s">
        <v>870</v>
      </c>
      <c r="B280" s="1396">
        <v>3000</v>
      </c>
      <c r="C280" s="1723"/>
      <c r="D280" s="1701">
        <v>125</v>
      </c>
      <c r="E280" s="1723"/>
      <c r="F280" s="1723"/>
      <c r="G280" s="1723"/>
      <c r="H280" s="1723"/>
      <c r="I280" s="1723"/>
      <c r="J280" s="1723"/>
      <c r="K280" s="1737">
        <f>D280</f>
        <v>125</v>
      </c>
      <c r="L280" s="1701">
        <v>131</v>
      </c>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9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9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9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95" customHeight="1" thickTop="1" thickBot="1" x14ac:dyDescent="0.25">
      <c r="A295" s="2232" t="s">
        <v>502</v>
      </c>
      <c r="B295" s="2233"/>
      <c r="C295" s="1723"/>
      <c r="D295" s="1724">
        <f>SUM(D229,D279,D280,D285)</f>
        <v>141262</v>
      </c>
      <c r="E295" s="1723"/>
      <c r="F295" s="1723"/>
      <c r="G295" s="1723"/>
      <c r="H295" s="1724">
        <f>H293</f>
        <v>0</v>
      </c>
      <c r="I295" s="1723"/>
      <c r="J295" s="1723"/>
      <c r="K295" s="1724">
        <f>SUM(K229,K279,K280,K285,K293,K294)</f>
        <v>141262</v>
      </c>
      <c r="L295" s="1724">
        <f>SUM(L229,L279,L280,L285,L293,L294)</f>
        <v>141546</v>
      </c>
    </row>
    <row r="296" spans="1:14" ht="13.5" thickTop="1" x14ac:dyDescent="0.2">
      <c r="A296" s="2214" t="s">
        <v>989</v>
      </c>
      <c r="B296" s="2215"/>
      <c r="C296" s="1723"/>
      <c r="D296" s="1725"/>
      <c r="E296" s="1723"/>
      <c r="F296" s="1723"/>
      <c r="G296" s="1723"/>
      <c r="H296" s="1757"/>
      <c r="I296" s="1723"/>
      <c r="J296" s="1723"/>
      <c r="K296" s="1739">
        <f>'Revenues 9-14'!G268-'Expenditures 15-22'!K295</f>
        <v>-33419</v>
      </c>
      <c r="L296" s="1757"/>
    </row>
    <row r="297" spans="1:14" s="540" customFormat="1" ht="9.1999999999999993"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24" t="s">
        <v>142</v>
      </c>
      <c r="B298" s="2218"/>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v>-4130</v>
      </c>
      <c r="F301" s="1623"/>
      <c r="G301" s="1623">
        <v>505993</v>
      </c>
      <c r="H301" s="1623"/>
      <c r="I301" s="1624"/>
      <c r="J301" s="1624"/>
      <c r="K301" s="1722">
        <f>SUM(C301:J301)</f>
        <v>501863</v>
      </c>
      <c r="L301" s="1624">
        <v>503737</v>
      </c>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95" customHeight="1" thickBot="1" x14ac:dyDescent="0.25">
      <c r="A303" s="1429" t="s">
        <v>806</v>
      </c>
      <c r="B303" s="1430" t="s">
        <v>565</v>
      </c>
      <c r="C303" s="1731">
        <f>SUM(C301:C302)</f>
        <v>0</v>
      </c>
      <c r="D303" s="1731">
        <f t="shared" ref="D303:L303" si="23">SUM(D301:D302)</f>
        <v>0</v>
      </c>
      <c r="E303" s="1731">
        <f t="shared" si="23"/>
        <v>-4130</v>
      </c>
      <c r="F303" s="1731">
        <f t="shared" si="23"/>
        <v>0</v>
      </c>
      <c r="G303" s="1731">
        <f t="shared" si="23"/>
        <v>505993</v>
      </c>
      <c r="H303" s="1731">
        <f t="shared" si="23"/>
        <v>0</v>
      </c>
      <c r="I303" s="1731">
        <f t="shared" si="23"/>
        <v>0</v>
      </c>
      <c r="J303" s="1731">
        <f t="shared" si="23"/>
        <v>0</v>
      </c>
      <c r="K303" s="1731">
        <f t="shared" si="23"/>
        <v>501863</v>
      </c>
      <c r="L303" s="1731">
        <f t="shared" si="23"/>
        <v>503737</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95" customHeight="1" x14ac:dyDescent="0.2">
      <c r="A309" s="1323" t="s">
        <v>693</v>
      </c>
      <c r="B309" s="512">
        <v>4190</v>
      </c>
      <c r="C309" s="1723"/>
      <c r="D309" s="1723"/>
      <c r="E309" s="1624"/>
      <c r="F309" s="1723"/>
      <c r="G309" s="1723"/>
      <c r="H309" s="1624"/>
      <c r="I309" s="1632"/>
      <c r="J309" s="1723"/>
      <c r="K309" s="1722">
        <f>SUM(E309,H309)</f>
        <v>0</v>
      </c>
      <c r="L309" s="1623"/>
    </row>
    <row r="310" spans="1:14" ht="12.9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95" customHeight="1" thickTop="1" thickBot="1" x14ac:dyDescent="0.25">
      <c r="A312" s="2229" t="s">
        <v>275</v>
      </c>
      <c r="B312" s="2230"/>
      <c r="C312" s="1724">
        <f>SUM(C303)</f>
        <v>0</v>
      </c>
      <c r="D312" s="1724">
        <f>SUM(D303)</f>
        <v>0</v>
      </c>
      <c r="E312" s="1724">
        <f>SUM(E303,E310)</f>
        <v>-4130</v>
      </c>
      <c r="F312" s="1724">
        <f>SUM(F303)</f>
        <v>0</v>
      </c>
      <c r="G312" s="1724">
        <f>SUM(G303)</f>
        <v>505993</v>
      </c>
      <c r="H312" s="1724">
        <f>SUM(H303,H310)</f>
        <v>0</v>
      </c>
      <c r="I312" s="1724">
        <f>SUM(I303)</f>
        <v>0</v>
      </c>
      <c r="J312" s="1724">
        <f>SUM(J303)</f>
        <v>0</v>
      </c>
      <c r="K312" s="1724">
        <f>SUM(K303,K310,K311)</f>
        <v>501863</v>
      </c>
      <c r="L312" s="1724">
        <f>SUM(L303,L310,L311)</f>
        <v>503737</v>
      </c>
      <c r="M312" s="539"/>
      <c r="N312" s="539"/>
    </row>
    <row r="313" spans="1:14" ht="13.5" thickTop="1" x14ac:dyDescent="0.2">
      <c r="A313" s="2225" t="s">
        <v>989</v>
      </c>
      <c r="B313" s="2226"/>
      <c r="C313" s="1727"/>
      <c r="D313" s="1727"/>
      <c r="E313" s="1727"/>
      <c r="F313" s="1727"/>
      <c r="G313" s="1727"/>
      <c r="H313" s="1727"/>
      <c r="I313" s="1727"/>
      <c r="J313" s="1727"/>
      <c r="K313" s="1746">
        <f>'Revenues 9-14'!H268-'Expenditures 15-22'!K312</f>
        <v>-216109</v>
      </c>
      <c r="L313" s="1727"/>
    </row>
    <row r="314" spans="1:14" s="540" customFormat="1" ht="9.1999999999999993"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38" t="s">
        <v>148</v>
      </c>
      <c r="B315" s="2239"/>
      <c r="C315" s="1759"/>
      <c r="D315" s="1760"/>
      <c r="E315" s="1760"/>
      <c r="F315" s="1760"/>
      <c r="G315" s="1760"/>
      <c r="H315" s="1760"/>
      <c r="I315" s="1760"/>
      <c r="J315" s="1760"/>
      <c r="K315" s="1760"/>
      <c r="L315" s="1761"/>
    </row>
    <row r="316" spans="1:14" s="548" customFormat="1" ht="9.1999999999999993"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40" t="s">
        <v>892</v>
      </c>
      <c r="B317" s="2239"/>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c r="E320" s="1624">
        <v>10900</v>
      </c>
      <c r="F320" s="1624"/>
      <c r="G320" s="1624"/>
      <c r="H320" s="1624"/>
      <c r="I320" s="1624"/>
      <c r="J320" s="1624"/>
      <c r="K320" s="1722">
        <f t="shared" ref="K320:K327" si="24">SUM(C320:J320)</f>
        <v>10900</v>
      </c>
      <c r="L320" s="1624">
        <v>10900</v>
      </c>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v>1000</v>
      </c>
      <c r="M321" s="539"/>
      <c r="N321" s="539"/>
    </row>
    <row r="322" spans="1:14" s="548" customFormat="1" x14ac:dyDescent="0.2">
      <c r="A322" s="1334" t="s">
        <v>236</v>
      </c>
      <c r="B322" s="567" t="s">
        <v>282</v>
      </c>
      <c r="C322" s="1624"/>
      <c r="D322" s="1624"/>
      <c r="E322" s="1624">
        <v>3022</v>
      </c>
      <c r="F322" s="1624"/>
      <c r="G322" s="1624"/>
      <c r="H322" s="1624"/>
      <c r="I322" s="1624"/>
      <c r="J322" s="1624"/>
      <c r="K322" s="1722">
        <f t="shared" si="24"/>
        <v>3022</v>
      </c>
      <c r="L322" s="1624">
        <v>3103</v>
      </c>
      <c r="M322" s="539"/>
      <c r="N322" s="539"/>
    </row>
    <row r="323" spans="1:14" s="548" customFormat="1" x14ac:dyDescent="0.2">
      <c r="A323" s="1334" t="s">
        <v>697</v>
      </c>
      <c r="B323" s="567" t="s">
        <v>283</v>
      </c>
      <c r="C323" s="1624"/>
      <c r="D323" s="1624"/>
      <c r="E323" s="1624">
        <v>16065</v>
      </c>
      <c r="F323" s="1624"/>
      <c r="G323" s="1624"/>
      <c r="H323" s="1624"/>
      <c r="I323" s="1624"/>
      <c r="J323" s="1624"/>
      <c r="K323" s="1722">
        <f t="shared" si="24"/>
        <v>16065</v>
      </c>
      <c r="L323" s="1624">
        <v>17500</v>
      </c>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c r="D325" s="1624"/>
      <c r="E325" s="1624">
        <v>11230</v>
      </c>
      <c r="F325" s="1624"/>
      <c r="G325" s="1624"/>
      <c r="H325" s="1624"/>
      <c r="I325" s="1624"/>
      <c r="J325" s="1624"/>
      <c r="K325" s="1722">
        <f t="shared" si="24"/>
        <v>11230</v>
      </c>
      <c r="L325" s="1624">
        <v>10550</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v>694</v>
      </c>
      <c r="F327" s="1624"/>
      <c r="G327" s="1624"/>
      <c r="H327" s="1624"/>
      <c r="I327" s="1624"/>
      <c r="J327" s="1624"/>
      <c r="K327" s="1722">
        <f t="shared" si="24"/>
        <v>694</v>
      </c>
      <c r="L327" s="1624">
        <v>5000</v>
      </c>
      <c r="M327" s="539"/>
      <c r="N327" s="539"/>
    </row>
    <row r="328" spans="1:14" s="548" customFormat="1" x14ac:dyDescent="0.2">
      <c r="A328" s="1335" t="s">
        <v>469</v>
      </c>
      <c r="B328" s="562" t="s">
        <v>1124</v>
      </c>
      <c r="C328" s="1629"/>
      <c r="D328" s="1629"/>
      <c r="E328" s="1629">
        <v>24065</v>
      </c>
      <c r="F328" s="1629"/>
      <c r="G328" s="1629"/>
      <c r="H328" s="1629"/>
      <c r="I328" s="1629"/>
      <c r="J328" s="1629"/>
      <c r="K328" s="1763">
        <f>SUM(C328:J328)</f>
        <v>24065</v>
      </c>
      <c r="L328" s="1629">
        <v>24065</v>
      </c>
      <c r="M328" s="539"/>
      <c r="N328" s="539"/>
    </row>
    <row r="329" spans="1:14" s="548" customFormat="1" x14ac:dyDescent="0.2">
      <c r="A329" s="1335" t="s">
        <v>1125</v>
      </c>
      <c r="B329" s="562" t="s">
        <v>1126</v>
      </c>
      <c r="C329" s="1629"/>
      <c r="D329" s="1629"/>
      <c r="E329" s="1629">
        <v>458</v>
      </c>
      <c r="F329" s="1629"/>
      <c r="G329" s="1629"/>
      <c r="H329" s="1629"/>
      <c r="I329" s="1629"/>
      <c r="J329" s="1629"/>
      <c r="K329" s="1763">
        <f>SUM(C329:J329)</f>
        <v>458</v>
      </c>
      <c r="L329" s="1629">
        <v>458</v>
      </c>
      <c r="M329" s="539"/>
      <c r="N329" s="539"/>
    </row>
    <row r="330" spans="1:14" s="548" customFormat="1" ht="12.95" customHeight="1" thickBot="1" x14ac:dyDescent="0.25">
      <c r="A330" s="1450" t="s">
        <v>712</v>
      </c>
      <c r="B330" s="1430" t="s">
        <v>565</v>
      </c>
      <c r="C330" s="1724">
        <f>SUM(C319:C329)</f>
        <v>0</v>
      </c>
      <c r="D330" s="1724">
        <f t="shared" ref="D330:J330" si="25">SUM(D319:D329)</f>
        <v>0</v>
      </c>
      <c r="E330" s="1724">
        <f t="shared" si="25"/>
        <v>66434</v>
      </c>
      <c r="F330" s="1724">
        <f t="shared" si="25"/>
        <v>0</v>
      </c>
      <c r="G330" s="1724">
        <f t="shared" si="25"/>
        <v>0</v>
      </c>
      <c r="H330" s="1724">
        <f t="shared" si="25"/>
        <v>0</v>
      </c>
      <c r="I330" s="1724">
        <f t="shared" si="25"/>
        <v>0</v>
      </c>
      <c r="J330" s="1724">
        <f t="shared" si="25"/>
        <v>0</v>
      </c>
      <c r="K330" s="1724">
        <f>SUM(K319:K329)</f>
        <v>66434</v>
      </c>
      <c r="L330" s="1724">
        <f>SUM(L319:L329)</f>
        <v>72576</v>
      </c>
      <c r="M330" s="539"/>
      <c r="N330" s="539"/>
    </row>
    <row r="331" spans="1:14" s="548" customFormat="1" ht="12.9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9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9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9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9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95" customHeight="1" thickTop="1" thickBot="1" x14ac:dyDescent="0.25">
      <c r="A342" s="1438" t="s">
        <v>502</v>
      </c>
      <c r="B342" s="1451"/>
      <c r="C342" s="1724">
        <f>SUM(C330)</f>
        <v>0</v>
      </c>
      <c r="D342" s="1724">
        <f>SUM(D330)</f>
        <v>0</v>
      </c>
      <c r="E342" s="1724">
        <f>SUM(E330)</f>
        <v>66434</v>
      </c>
      <c r="F342" s="1724">
        <f>SUM(F330)</f>
        <v>0</v>
      </c>
      <c r="G342" s="1724">
        <f>SUM(G330)</f>
        <v>0</v>
      </c>
      <c r="H342" s="1724">
        <f>SUM(H330,H334,H340)</f>
        <v>0</v>
      </c>
      <c r="I342" s="1724">
        <f>SUM(I330)</f>
        <v>0</v>
      </c>
      <c r="J342" s="1724">
        <f>SUM(J330)</f>
        <v>0</v>
      </c>
      <c r="K342" s="1724">
        <f>SUM(K330,K334,K340)</f>
        <v>66434</v>
      </c>
      <c r="L342" s="1731">
        <f>SUM(L330,L334,L340,L341)</f>
        <v>72576</v>
      </c>
    </row>
    <row r="343" spans="1:14" ht="12.95" customHeight="1" thickTop="1" x14ac:dyDescent="0.2">
      <c r="A343" s="2227" t="s">
        <v>989</v>
      </c>
      <c r="B343" s="2228"/>
      <c r="C343" s="1723"/>
      <c r="D343" s="1723"/>
      <c r="E343" s="1723"/>
      <c r="F343" s="1723"/>
      <c r="G343" s="1723"/>
      <c r="H343" s="1723"/>
      <c r="I343" s="1723"/>
      <c r="J343" s="1723"/>
      <c r="K343" s="1739">
        <f>'Revenues 9-14'!J268-'Expenditures 15-22'!K342</f>
        <v>169288</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17" t="s">
        <v>960</v>
      </c>
      <c r="B345" s="2218"/>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c r="F349" s="1623"/>
      <c r="G349" s="1623"/>
      <c r="H349" s="1623"/>
      <c r="I349" s="1624"/>
      <c r="J349" s="1624"/>
      <c r="K349" s="1722">
        <f>SUM(C349:J349)</f>
        <v>0</v>
      </c>
      <c r="L349" s="1623"/>
    </row>
    <row r="350" spans="1:14" ht="12.9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95" customHeight="1" thickTop="1" x14ac:dyDescent="0.2">
      <c r="A351" s="1325" t="s">
        <v>973</v>
      </c>
      <c r="B351" s="521" t="s">
        <v>570</v>
      </c>
      <c r="C351" s="1636"/>
      <c r="D351" s="1636"/>
      <c r="E351" s="1636"/>
      <c r="F351" s="1636"/>
      <c r="G351" s="1636"/>
      <c r="H351" s="1636"/>
      <c r="I351" s="1633"/>
      <c r="J351" s="1633"/>
      <c r="K351" s="1765">
        <f>SUM(C351:J351)</f>
        <v>0</v>
      </c>
      <c r="L351" s="1636"/>
    </row>
    <row r="352" spans="1:14" ht="12.9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95" customHeight="1" x14ac:dyDescent="0.2">
      <c r="A355" s="1328" t="s">
        <v>1828</v>
      </c>
      <c r="B355" s="562" t="s">
        <v>1821</v>
      </c>
      <c r="C355" s="1723"/>
      <c r="D355" s="1723"/>
      <c r="E355" s="1723"/>
      <c r="F355" s="1723"/>
      <c r="G355" s="1723"/>
      <c r="H355" s="1624"/>
      <c r="I355" s="1766"/>
      <c r="J355" s="1723"/>
      <c r="K355" s="1657">
        <f>H355</f>
        <v>0</v>
      </c>
      <c r="L355" s="1624"/>
    </row>
    <row r="356" spans="1:14" ht="12.95" customHeight="1" x14ac:dyDescent="0.2">
      <c r="A356" s="1518" t="s">
        <v>693</v>
      </c>
      <c r="B356" s="557" t="s">
        <v>554</v>
      </c>
      <c r="C356" s="1723"/>
      <c r="D356" s="1723"/>
      <c r="E356" s="1723"/>
      <c r="F356" s="1723"/>
      <c r="G356" s="1723"/>
      <c r="H356" s="1634"/>
      <c r="I356" s="1766"/>
      <c r="J356" s="1723"/>
      <c r="K356" s="1650">
        <f>H356</f>
        <v>0</v>
      </c>
      <c r="L356" s="1634"/>
    </row>
    <row r="357" spans="1:14" ht="12.9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95" customHeight="1" x14ac:dyDescent="0.2">
      <c r="A361" s="1320" t="s">
        <v>615</v>
      </c>
      <c r="B361" s="494" t="s">
        <v>614</v>
      </c>
      <c r="C361" s="1723"/>
      <c r="D361" s="1723"/>
      <c r="E361" s="1723"/>
      <c r="F361" s="1723"/>
      <c r="G361" s="1723"/>
      <c r="H361" s="1624"/>
      <c r="I361" s="1723"/>
      <c r="J361" s="1723"/>
      <c r="K361" s="1722">
        <f>SUM(C361:J361)</f>
        <v>0</v>
      </c>
      <c r="L361" s="1623"/>
    </row>
    <row r="362" spans="1:14" ht="12.9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9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9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214" t="s">
        <v>989</v>
      </c>
      <c r="B368" s="2215"/>
      <c r="C368" s="1744"/>
      <c r="D368" s="1744"/>
      <c r="E368" s="1727"/>
      <c r="F368" s="1727"/>
      <c r="G368" s="1727"/>
      <c r="H368" s="1727"/>
      <c r="I368" s="1727"/>
      <c r="J368" s="1726"/>
      <c r="K368" s="1722">
        <f>'Revenues 9-14'!K268-'Expenditures 15-22'!K367</f>
        <v>0</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 BUDGET TO ACTUAL
FOR THE YEAR ENDING JUNE 30, 2020&amp;R&amp;8Page &amp;P</oddHeader>
    <oddFooter>&amp;L&amp;8Print Date: &amp;D
&amp;F&amp;C&amp;8See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election activeCell="A20" sqref="A20"/>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41"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2"/>
      <c r="B3" s="1339"/>
      <c r="C3" s="1340"/>
      <c r="D3" s="1341" t="s">
        <v>254</v>
      </c>
      <c r="E3" s="1340"/>
      <c r="F3" s="1341" t="s">
        <v>255</v>
      </c>
    </row>
    <row r="4" spans="1:8" ht="13.7" customHeight="1" x14ac:dyDescent="0.2">
      <c r="A4" s="579" t="s">
        <v>1147</v>
      </c>
      <c r="B4" s="1771">
        <f>'Revenues 9-14'!C5</f>
        <v>2849033</v>
      </c>
      <c r="C4" s="1772"/>
      <c r="D4" s="1773">
        <f>B4-C4</f>
        <v>2849033</v>
      </c>
      <c r="E4" s="1772">
        <v>3014374</v>
      </c>
      <c r="F4" s="1773">
        <f>E4-C4</f>
        <v>3014374</v>
      </c>
    </row>
    <row r="5" spans="1:8" ht="13.7" customHeight="1" x14ac:dyDescent="0.2">
      <c r="A5" s="579" t="s">
        <v>865</v>
      </c>
      <c r="B5" s="1774">
        <f>'Revenues 9-14'!D5</f>
        <v>299265</v>
      </c>
      <c r="C5" s="1714"/>
      <c r="D5" s="1775">
        <f t="shared" ref="D5:D18" si="0">B5-C5</f>
        <v>299265</v>
      </c>
      <c r="E5" s="1714">
        <v>316636</v>
      </c>
      <c r="F5" s="1775">
        <f>E5-C5</f>
        <v>316636</v>
      </c>
    </row>
    <row r="6" spans="1:8" ht="13.7" customHeight="1" x14ac:dyDescent="0.2">
      <c r="A6" s="579" t="s">
        <v>408</v>
      </c>
      <c r="B6" s="1774">
        <f>'Revenues 9-14'!E5</f>
        <v>216343</v>
      </c>
      <c r="C6" s="1714"/>
      <c r="D6" s="1775">
        <f t="shared" si="0"/>
        <v>216343</v>
      </c>
      <c r="E6" s="1714">
        <v>213628</v>
      </c>
      <c r="F6" s="1775">
        <f t="shared" ref="F6:F18" si="1">E6-C6</f>
        <v>213628</v>
      </c>
    </row>
    <row r="7" spans="1:8" ht="13.7" customHeight="1" x14ac:dyDescent="0.2">
      <c r="A7" s="579" t="s">
        <v>154</v>
      </c>
      <c r="B7" s="1774">
        <f>'Revenues 9-14'!F5</f>
        <v>143648</v>
      </c>
      <c r="C7" s="1714"/>
      <c r="D7" s="1775">
        <f t="shared" si="0"/>
        <v>143648</v>
      </c>
      <c r="E7" s="1714">
        <v>151985</v>
      </c>
      <c r="F7" s="1775">
        <f t="shared" si="1"/>
        <v>151985</v>
      </c>
    </row>
    <row r="8" spans="1:8" ht="13.7" customHeight="1" x14ac:dyDescent="0.2">
      <c r="A8" s="579" t="s">
        <v>1171</v>
      </c>
      <c r="B8" s="1774">
        <f>'Revenues 9-14'!G5</f>
        <v>50689</v>
      </c>
      <c r="C8" s="1714"/>
      <c r="D8" s="1775">
        <f t="shared" si="0"/>
        <v>50689</v>
      </c>
      <c r="E8" s="1714">
        <v>50164</v>
      </c>
      <c r="F8" s="1775">
        <f t="shared" si="1"/>
        <v>50164</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59851</v>
      </c>
      <c r="C10" s="1714"/>
      <c r="D10" s="1775">
        <f t="shared" si="0"/>
        <v>59851</v>
      </c>
      <c r="E10" s="1714">
        <v>63327</v>
      </c>
      <c r="F10" s="1775">
        <f t="shared" si="1"/>
        <v>63327</v>
      </c>
    </row>
    <row r="11" spans="1:8" x14ac:dyDescent="0.2">
      <c r="A11" s="579" t="s">
        <v>406</v>
      </c>
      <c r="B11" s="1774">
        <f>'Revenues 9-14'!J5</f>
        <v>229123</v>
      </c>
      <c r="C11" s="1714"/>
      <c r="D11" s="1775">
        <f t="shared" si="0"/>
        <v>229123</v>
      </c>
      <c r="E11" s="1714">
        <v>135434</v>
      </c>
      <c r="F11" s="1775">
        <f t="shared" si="1"/>
        <v>135434</v>
      </c>
    </row>
    <row r="12" spans="1:8" ht="13.7" customHeight="1" x14ac:dyDescent="0.2">
      <c r="A12" s="579" t="s">
        <v>156</v>
      </c>
      <c r="B12" s="1774">
        <f>'Revenues 9-14'!K5</f>
        <v>0</v>
      </c>
      <c r="C12" s="1714"/>
      <c r="D12" s="1775">
        <f t="shared" si="0"/>
        <v>0</v>
      </c>
      <c r="E12" s="1714"/>
      <c r="F12" s="1775">
        <f t="shared" si="1"/>
        <v>0</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23940</v>
      </c>
      <c r="C14" s="1714"/>
      <c r="D14" s="1775">
        <f t="shared" si="0"/>
        <v>23940</v>
      </c>
      <c r="E14" s="1714">
        <v>25331</v>
      </c>
      <c r="F14" s="1775">
        <f t="shared" si="1"/>
        <v>25331</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50689</v>
      </c>
      <c r="C16" s="1714"/>
      <c r="D16" s="1775">
        <f t="shared" si="0"/>
        <v>50689</v>
      </c>
      <c r="E16" s="1714">
        <v>50164</v>
      </c>
      <c r="F16" s="1775">
        <f t="shared" si="1"/>
        <v>50164</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3922581</v>
      </c>
      <c r="C19" s="1776">
        <f>SUM(C4:C18)</f>
        <v>0</v>
      </c>
      <c r="D19" s="1776">
        <f>SUM(D4:D18)</f>
        <v>3922581</v>
      </c>
      <c r="E19" s="1776">
        <f>SUM(E4:E18)</f>
        <v>4021043</v>
      </c>
      <c r="F19" s="1776">
        <f>SUM(F4:F18)</f>
        <v>4021043</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F28" colorId="8" zoomScale="110" zoomScaleNormal="110" workbookViewId="0">
      <selection activeCell="K47" sqref="K4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2" customHeight="1" x14ac:dyDescent="0.2">
      <c r="A1" s="2263" t="s">
        <v>625</v>
      </c>
      <c r="B1" s="2261"/>
      <c r="C1" s="585"/>
    </row>
    <row r="2" spans="1:7" ht="33.75" x14ac:dyDescent="0.2">
      <c r="A2" s="2268" t="s">
        <v>1782</v>
      </c>
      <c r="B2" s="2269"/>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70" t="s">
        <v>1106</v>
      </c>
      <c r="B3" s="2271"/>
      <c r="C3" s="2264"/>
      <c r="D3" s="2265"/>
      <c r="E3" s="2265"/>
      <c r="F3" s="2266"/>
    </row>
    <row r="4" spans="1:7" ht="12.95" customHeight="1" thickBot="1" x14ac:dyDescent="0.25">
      <c r="A4" s="2258" t="s">
        <v>626</v>
      </c>
      <c r="B4" s="2259"/>
      <c r="C4" s="1706"/>
      <c r="D4" s="1706"/>
      <c r="E4" s="1706"/>
      <c r="F4" s="1782">
        <f>SUM(C4+D4)-E4</f>
        <v>0</v>
      </c>
    </row>
    <row r="5" spans="1:7" ht="15.75" customHeight="1" thickTop="1" x14ac:dyDescent="0.2">
      <c r="A5" s="2262" t="s">
        <v>1103</v>
      </c>
      <c r="B5" s="2257"/>
      <c r="C5" s="2251"/>
      <c r="D5" s="2252"/>
      <c r="E5" s="2252"/>
      <c r="F5" s="2253"/>
    </row>
    <row r="6" spans="1:7" ht="12.95" customHeight="1" thickBot="1" x14ac:dyDescent="0.25">
      <c r="A6" s="587" t="s">
        <v>64</v>
      </c>
      <c r="B6" s="588"/>
      <c r="C6" s="1783"/>
      <c r="D6" s="1714"/>
      <c r="E6" s="1783"/>
      <c r="F6" s="1782">
        <f t="shared" ref="F6:F14" si="0">SUM(C6+D6)-E6</f>
        <v>0</v>
      </c>
    </row>
    <row r="7" spans="1:7" ht="12.95" customHeight="1" thickTop="1" thickBot="1" x14ac:dyDescent="0.25">
      <c r="A7" s="587" t="s">
        <v>6</v>
      </c>
      <c r="B7" s="588"/>
      <c r="C7" s="1783"/>
      <c r="D7" s="1714"/>
      <c r="E7" s="1783"/>
      <c r="F7" s="1782">
        <f t="shared" si="0"/>
        <v>0</v>
      </c>
    </row>
    <row r="8" spans="1:7" ht="12.95" customHeight="1" thickTop="1" thickBot="1" x14ac:dyDescent="0.25">
      <c r="A8" s="587" t="s">
        <v>505</v>
      </c>
      <c r="B8" s="588"/>
      <c r="C8" s="1783"/>
      <c r="D8" s="1714"/>
      <c r="E8" s="1783"/>
      <c r="F8" s="1782">
        <f t="shared" si="0"/>
        <v>0</v>
      </c>
    </row>
    <row r="9" spans="1:7" ht="12.95" customHeight="1" thickTop="1" thickBot="1" x14ac:dyDescent="0.25">
      <c r="A9" s="587" t="s">
        <v>506</v>
      </c>
      <c r="B9" s="588"/>
      <c r="C9" s="1783"/>
      <c r="D9" s="1714"/>
      <c r="E9" s="1783"/>
      <c r="F9" s="1782">
        <f t="shared" si="0"/>
        <v>0</v>
      </c>
    </row>
    <row r="10" spans="1:7" ht="12.95" customHeight="1" thickTop="1" thickBot="1" x14ac:dyDescent="0.25">
      <c r="A10" s="587" t="s">
        <v>507</v>
      </c>
      <c r="B10" s="588"/>
      <c r="C10" s="1783"/>
      <c r="D10" s="1714"/>
      <c r="E10" s="1783"/>
      <c r="F10" s="1782">
        <f t="shared" si="0"/>
        <v>0</v>
      </c>
    </row>
    <row r="11" spans="1:7" ht="12.95" customHeight="1" thickTop="1" thickBot="1" x14ac:dyDescent="0.25">
      <c r="A11" s="587" t="s">
        <v>338</v>
      </c>
      <c r="B11" s="588"/>
      <c r="C11" s="1783"/>
      <c r="D11" s="1714"/>
      <c r="E11" s="1783"/>
      <c r="F11" s="1782">
        <f t="shared" si="0"/>
        <v>0</v>
      </c>
    </row>
    <row r="12" spans="1:7" ht="12.95" customHeight="1" thickTop="1" thickBot="1" x14ac:dyDescent="0.25">
      <c r="A12" s="587" t="s">
        <v>1149</v>
      </c>
      <c r="B12" s="588"/>
      <c r="C12" s="1783"/>
      <c r="D12" s="1714"/>
      <c r="E12" s="1783"/>
      <c r="F12" s="1782">
        <f t="shared" si="0"/>
        <v>0</v>
      </c>
    </row>
    <row r="13" spans="1:7" ht="12.95" customHeight="1" thickTop="1" thickBot="1" x14ac:dyDescent="0.25">
      <c r="A13" s="587" t="s">
        <v>385</v>
      </c>
      <c r="B13" s="588"/>
      <c r="C13" s="1783"/>
      <c r="D13" s="1714"/>
      <c r="E13" s="1783"/>
      <c r="F13" s="1782">
        <f t="shared" si="0"/>
        <v>0</v>
      </c>
    </row>
    <row r="14" spans="1:7" ht="12.95" customHeight="1" thickTop="1" thickBot="1" x14ac:dyDescent="0.25">
      <c r="A14" s="587" t="s">
        <v>445</v>
      </c>
      <c r="B14" s="588"/>
      <c r="C14" s="1783"/>
      <c r="D14" s="1714"/>
      <c r="E14" s="1783"/>
      <c r="F14" s="1782">
        <f t="shared" si="0"/>
        <v>0</v>
      </c>
    </row>
    <row r="15" spans="1:7" ht="14.25" thickTop="1" thickBot="1" x14ac:dyDescent="0.25">
      <c r="A15" s="2254" t="s">
        <v>627</v>
      </c>
      <c r="B15" s="2255"/>
      <c r="C15" s="1782">
        <f>SUM(C6:C14)</f>
        <v>0</v>
      </c>
      <c r="D15" s="1782">
        <f>SUM(D6:D14)</f>
        <v>0</v>
      </c>
      <c r="E15" s="1782">
        <f>SUM(E6:E14)</f>
        <v>0</v>
      </c>
      <c r="F15" s="1782">
        <f>SUM(F6:F14)</f>
        <v>0</v>
      </c>
      <c r="G15" s="473"/>
    </row>
    <row r="16" spans="1:7" s="197" customFormat="1" ht="15.75" customHeight="1" thickTop="1" x14ac:dyDescent="0.2">
      <c r="A16" s="2267" t="s">
        <v>1104</v>
      </c>
      <c r="B16" s="2257"/>
      <c r="C16" s="2251"/>
      <c r="D16" s="2252"/>
      <c r="E16" s="2252"/>
      <c r="F16" s="2253"/>
    </row>
    <row r="17" spans="1:11" ht="12.95" customHeight="1" thickBot="1" x14ac:dyDescent="0.25">
      <c r="A17" s="2249" t="s">
        <v>64</v>
      </c>
      <c r="B17" s="2250"/>
      <c r="C17" s="1783"/>
      <c r="D17" s="1714"/>
      <c r="E17" s="1783"/>
      <c r="F17" s="1782">
        <f>SUM(C17+D17)-E17</f>
        <v>0</v>
      </c>
    </row>
    <row r="18" spans="1:11" ht="12.95" customHeight="1" thickTop="1" thickBot="1" x14ac:dyDescent="0.25">
      <c r="A18" s="2249" t="s">
        <v>6</v>
      </c>
      <c r="B18" s="2250"/>
      <c r="C18" s="1783"/>
      <c r="D18" s="1714"/>
      <c r="E18" s="1783"/>
      <c r="F18" s="1782">
        <f>SUM(C18+D18)-E18</f>
        <v>0</v>
      </c>
    </row>
    <row r="19" spans="1:11" ht="12.95" customHeight="1" thickTop="1" thickBot="1" x14ac:dyDescent="0.25">
      <c r="A19" s="2249" t="s">
        <v>385</v>
      </c>
      <c r="B19" s="2250"/>
      <c r="C19" s="1783"/>
      <c r="D19" s="1714"/>
      <c r="E19" s="1783"/>
      <c r="F19" s="1782">
        <f>SUM(C19+D19)-E19</f>
        <v>0</v>
      </c>
    </row>
    <row r="20" spans="1:11" ht="12.95" customHeight="1" thickTop="1" thickBot="1" x14ac:dyDescent="0.25">
      <c r="A20" s="2249" t="s">
        <v>445</v>
      </c>
      <c r="B20" s="2250"/>
      <c r="C20" s="1783"/>
      <c r="D20" s="1714"/>
      <c r="E20" s="1783"/>
      <c r="F20" s="1782">
        <f>SUM(C20+D20)-E20</f>
        <v>0</v>
      </c>
    </row>
    <row r="21" spans="1:11" ht="14.25" thickTop="1" thickBot="1" x14ac:dyDescent="0.25">
      <c r="A21" s="2254" t="s">
        <v>628</v>
      </c>
      <c r="B21" s="2255"/>
      <c r="C21" s="1782">
        <f>SUM(C17:C20)</f>
        <v>0</v>
      </c>
      <c r="D21" s="1782">
        <f>SUM(D17:D20)</f>
        <v>0</v>
      </c>
      <c r="E21" s="1782">
        <f>SUM(E17:E20)</f>
        <v>0</v>
      </c>
      <c r="F21" s="1782">
        <f>SUM(F17:F20)</f>
        <v>0</v>
      </c>
      <c r="G21" s="473"/>
    </row>
    <row r="22" spans="1:11" ht="15.75" customHeight="1" thickTop="1" x14ac:dyDescent="0.2">
      <c r="A22" s="2256" t="s">
        <v>1105</v>
      </c>
      <c r="B22" s="2257"/>
      <c r="C22" s="2251"/>
      <c r="D22" s="2252"/>
      <c r="E22" s="2252"/>
      <c r="F22" s="2253"/>
    </row>
    <row r="23" spans="1:11" ht="13.5" thickBot="1" x14ac:dyDescent="0.25">
      <c r="A23" s="2258" t="s">
        <v>629</v>
      </c>
      <c r="B23" s="2259"/>
      <c r="C23" s="1706"/>
      <c r="D23" s="1706"/>
      <c r="E23" s="1706"/>
      <c r="F23" s="1782">
        <f>SUM(C23+D23)-E23</f>
        <v>0</v>
      </c>
      <c r="G23" s="473"/>
    </row>
    <row r="24" spans="1:11" ht="15.75" customHeight="1" thickTop="1" x14ac:dyDescent="0.2">
      <c r="A24" s="2256" t="s">
        <v>2009</v>
      </c>
      <c r="B24" s="2257"/>
      <c r="C24" s="2251"/>
      <c r="D24" s="2252"/>
      <c r="E24" s="2252"/>
      <c r="F24" s="2253"/>
    </row>
    <row r="25" spans="1:11" ht="13.5" thickBot="1" x14ac:dyDescent="0.25">
      <c r="A25" s="2258" t="s">
        <v>2010</v>
      </c>
      <c r="B25" s="2259"/>
      <c r="C25" s="1706"/>
      <c r="D25" s="1706"/>
      <c r="E25" s="1706"/>
      <c r="F25" s="1782">
        <f>SUM(C25+D25)-E25</f>
        <v>0</v>
      </c>
      <c r="G25" s="473"/>
    </row>
    <row r="26" spans="1:11" ht="15.75" customHeight="1" thickTop="1" x14ac:dyDescent="0.2">
      <c r="A26" s="2262" t="s">
        <v>652</v>
      </c>
      <c r="B26" s="2257"/>
      <c r="C26" s="589"/>
      <c r="D26" s="589"/>
      <c r="E26" s="589"/>
      <c r="F26" s="590"/>
    </row>
    <row r="27" spans="1:11" ht="13.5" thickBot="1" x14ac:dyDescent="0.25">
      <c r="A27" s="2254" t="s">
        <v>1063</v>
      </c>
      <c r="B27" s="2255"/>
      <c r="C27" s="1714"/>
      <c r="D27" s="1714"/>
      <c r="E27" s="1714"/>
      <c r="F27" s="1782">
        <f>SUM(C27+D27)-E27</f>
        <v>0</v>
      </c>
      <c r="G27" s="473"/>
    </row>
    <row r="28" spans="1:11" ht="7.5" customHeight="1" thickTop="1" x14ac:dyDescent="0.2">
      <c r="A28" s="489"/>
    </row>
    <row r="29" spans="1:11" ht="23.25" customHeight="1" x14ac:dyDescent="0.2">
      <c r="A29" s="2260" t="s">
        <v>578</v>
      </c>
      <c r="B29" s="2261"/>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2030</v>
      </c>
      <c r="B31" s="595">
        <v>42405</v>
      </c>
      <c r="C31" s="1784">
        <v>1000000</v>
      </c>
      <c r="D31" s="1785">
        <v>1</v>
      </c>
      <c r="E31" s="1784">
        <v>415000</v>
      </c>
      <c r="F31" s="1784"/>
      <c r="G31" s="1784"/>
      <c r="H31" s="1784">
        <v>205000</v>
      </c>
      <c r="I31" s="1786">
        <f>((E31+F31)-H31)+G31</f>
        <v>210000</v>
      </c>
      <c r="J31" s="1784">
        <v>204195</v>
      </c>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1000000</v>
      </c>
      <c r="D49" s="1792"/>
      <c r="E49" s="1786">
        <f t="shared" ref="E49:J49" si="2">SUM(E31:E48)</f>
        <v>415000</v>
      </c>
      <c r="F49" s="1786">
        <f t="shared" si="2"/>
        <v>0</v>
      </c>
      <c r="G49" s="1786">
        <f t="shared" si="2"/>
        <v>0</v>
      </c>
      <c r="H49" s="1786">
        <f t="shared" si="2"/>
        <v>205000</v>
      </c>
      <c r="I49" s="1786">
        <f t="shared" si="2"/>
        <v>210000</v>
      </c>
      <c r="J49" s="1786">
        <f t="shared" si="2"/>
        <v>204195</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43" t="s">
        <v>580</v>
      </c>
      <c r="C52" s="2244"/>
      <c r="D52" s="2244"/>
      <c r="E52" s="603" t="s">
        <v>840</v>
      </c>
      <c r="F52" s="2245"/>
      <c r="G52" s="2246"/>
      <c r="H52" s="596"/>
      <c r="I52" s="596"/>
      <c r="J52" s="600"/>
    </row>
    <row r="53" spans="1:11" ht="11.25" customHeight="1" x14ac:dyDescent="0.2">
      <c r="A53" s="604" t="s">
        <v>907</v>
      </c>
      <c r="B53" s="605" t="s">
        <v>945</v>
      </c>
      <c r="C53" s="600"/>
      <c r="D53" s="597"/>
      <c r="E53" s="603" t="s">
        <v>494</v>
      </c>
      <c r="F53" s="2247"/>
      <c r="G53" s="2248"/>
      <c r="H53" s="596"/>
      <c r="I53" s="596"/>
      <c r="J53" s="600"/>
    </row>
    <row r="54" spans="1:11" ht="11.25" customHeight="1" x14ac:dyDescent="0.2">
      <c r="A54" s="606" t="s">
        <v>908</v>
      </c>
      <c r="B54" s="601" t="s">
        <v>946</v>
      </c>
      <c r="C54" s="600"/>
      <c r="D54" s="597"/>
      <c r="E54" s="603" t="s">
        <v>495</v>
      </c>
      <c r="F54" s="2247"/>
      <c r="G54" s="224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topLeftCell="E7" colorId="8" zoomScale="110" zoomScaleNormal="110" workbookViewId="0">
      <selection activeCell="H12" sqref="H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274" t="s">
        <v>1878</v>
      </c>
      <c r="B1" s="2275"/>
      <c r="C1" s="2276"/>
      <c r="D1" s="666"/>
      <c r="E1" s="667"/>
      <c r="F1" s="667"/>
      <c r="G1" s="668"/>
      <c r="H1" s="669"/>
      <c r="I1" s="670"/>
      <c r="J1" s="2272"/>
      <c r="K1" s="2273"/>
      <c r="L1" s="2273"/>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73250</v>
      </c>
      <c r="D5" s="1820"/>
      <c r="E5" s="1820"/>
      <c r="F5" s="1815">
        <f>(C5+D5)-E5</f>
        <v>73250</v>
      </c>
      <c r="G5" s="676"/>
      <c r="H5" s="680"/>
      <c r="I5" s="680"/>
      <c r="J5" s="680"/>
      <c r="K5" s="637"/>
      <c r="L5" s="1491">
        <f>F5-K5</f>
        <v>73250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2512924</v>
      </c>
      <c r="D8" s="1821"/>
      <c r="E8" s="1821"/>
      <c r="F8" s="1815">
        <f>(C8+D8)-E8</f>
        <v>2512924</v>
      </c>
      <c r="G8" s="681">
        <v>50</v>
      </c>
      <c r="H8" s="619">
        <v>1667641</v>
      </c>
      <c r="I8" s="619">
        <v>50259</v>
      </c>
      <c r="J8" s="619"/>
      <c r="K8" s="1491">
        <f>(H8+I8)-J8</f>
        <v>1717900</v>
      </c>
      <c r="L8" s="1491">
        <f>F8-K8</f>
        <v>795024</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770099</v>
      </c>
      <c r="D10" s="1822">
        <v>820387</v>
      </c>
      <c r="E10" s="1822">
        <v>93794</v>
      </c>
      <c r="F10" s="1823">
        <f>(C10+D10)-E10</f>
        <v>1496692</v>
      </c>
      <c r="G10" s="681">
        <v>20</v>
      </c>
      <c r="H10" s="683">
        <v>116165</v>
      </c>
      <c r="I10" s="683">
        <v>17364</v>
      </c>
      <c r="J10" s="683">
        <v>93794</v>
      </c>
      <c r="K10" s="1491">
        <f>(H10+I10)-J10</f>
        <v>39735</v>
      </c>
      <c r="L10" s="1491">
        <f>F10-K10</f>
        <v>1456957</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704763</v>
      </c>
      <c r="D12" s="1821">
        <v>35827</v>
      </c>
      <c r="E12" s="1821">
        <v>5194</v>
      </c>
      <c r="F12" s="1815">
        <f>(C12+D12)-E12</f>
        <v>735396</v>
      </c>
      <c r="G12" s="681">
        <v>10</v>
      </c>
      <c r="H12" s="619">
        <v>271531</v>
      </c>
      <c r="I12" s="619">
        <v>70081</v>
      </c>
      <c r="J12" s="619">
        <v>5194</v>
      </c>
      <c r="K12" s="1491">
        <f>(H12+I12)-J12</f>
        <v>336418</v>
      </c>
      <c r="L12" s="1491">
        <f>F12-K12</f>
        <v>398978</v>
      </c>
    </row>
    <row r="13" spans="1:14" ht="14.25" thickTop="1" thickBot="1" x14ac:dyDescent="0.25">
      <c r="A13" s="684" t="s">
        <v>1114</v>
      </c>
      <c r="B13" s="679">
        <v>252</v>
      </c>
      <c r="C13" s="1821"/>
      <c r="D13" s="1821"/>
      <c r="E13" s="1821"/>
      <c r="F13" s="1815">
        <f>(C13+D13)-E13</f>
        <v>0</v>
      </c>
      <c r="G13" s="681">
        <v>5</v>
      </c>
      <c r="H13" s="619"/>
      <c r="I13" s="619"/>
      <c r="J13" s="619"/>
      <c r="K13" s="1491">
        <f>(H13+I13)-J13</f>
        <v>0</v>
      </c>
      <c r="L13" s="1491">
        <f>F13-K13</f>
        <v>0</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4061036</v>
      </c>
      <c r="D16" s="1815">
        <f>SUM(D3,D5:D6,D8:D10,D12:D15)</f>
        <v>856214</v>
      </c>
      <c r="E16" s="1815">
        <f>SUM(E3,E5:E6,E8:E10,E12:E15)</f>
        <v>98988</v>
      </c>
      <c r="F16" s="1815">
        <f>SUM(F3,F5:F6,F8:F10,F12:F15)</f>
        <v>4818262</v>
      </c>
      <c r="G16" s="681"/>
      <c r="H16" s="1484">
        <f>SUM(H3,H6,H8:H10,H12:H14,)</f>
        <v>2055337</v>
      </c>
      <c r="I16" s="1484">
        <f>SUM(I3,I6,I8:I10,I12:I14,)</f>
        <v>137704</v>
      </c>
      <c r="J16" s="1484">
        <f>SUM(J3,J6,J8:J10,J12:J14,)</f>
        <v>98988</v>
      </c>
      <c r="K16" s="1484">
        <f>(H16+I16)-J16</f>
        <v>2094053</v>
      </c>
      <c r="L16" s="1484">
        <f>F16-K16</f>
        <v>2724209</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137704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topLeftCell="A13" colorId="8" zoomScaleNormal="100" workbookViewId="0">
      <selection activeCell="J35" sqref="J3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77" t="s">
        <v>851</v>
      </c>
      <c r="B1" s="2278"/>
      <c r="C1" s="2278"/>
      <c r="D1" s="2278"/>
      <c r="E1" s="2278"/>
      <c r="F1" s="2278"/>
      <c r="G1" s="2279"/>
      <c r="H1" s="1343"/>
      <c r="I1" s="614"/>
      <c r="J1" s="400"/>
    </row>
    <row r="2" spans="1:11" ht="26.25" x14ac:dyDescent="0.2">
      <c r="A2" s="2296" t="s">
        <v>1661</v>
      </c>
      <c r="B2" s="2297"/>
      <c r="C2" s="2297"/>
      <c r="D2" s="2297"/>
      <c r="E2" s="2298"/>
      <c r="F2" s="615" t="s">
        <v>898</v>
      </c>
      <c r="G2" s="616" t="s">
        <v>1658</v>
      </c>
      <c r="H2" s="616" t="s">
        <v>407</v>
      </c>
      <c r="I2" s="616" t="s">
        <v>1150</v>
      </c>
      <c r="J2" s="616" t="s">
        <v>1792</v>
      </c>
      <c r="K2" s="616" t="s">
        <v>137</v>
      </c>
    </row>
    <row r="3" spans="1:11" x14ac:dyDescent="0.2">
      <c r="A3" s="2299" t="str">
        <f>"Cash Basis Fund Balance as of July 1, "&amp;'AFR20'!E2-1</f>
        <v>Cash Basis Fund Balance as of July 1, 2019</v>
      </c>
      <c r="B3" s="2300"/>
      <c r="C3" s="2300"/>
      <c r="D3" s="2300"/>
      <c r="E3" s="2301"/>
      <c r="F3" s="617"/>
      <c r="G3" s="1794"/>
      <c r="H3" s="1794"/>
      <c r="I3" s="1794"/>
      <c r="J3" s="1795">
        <v>196866</v>
      </c>
      <c r="K3" s="1795"/>
    </row>
    <row r="4" spans="1:11" x14ac:dyDescent="0.2">
      <c r="A4" s="2302" t="s">
        <v>366</v>
      </c>
      <c r="B4" s="2303"/>
      <c r="C4" s="2303"/>
      <c r="D4" s="2303"/>
      <c r="E4" s="2244"/>
      <c r="F4" s="620"/>
      <c r="G4" s="1796"/>
      <c r="H4" s="1797"/>
      <c r="I4" s="1796"/>
      <c r="J4" s="1798"/>
      <c r="K4" s="1798"/>
    </row>
    <row r="5" spans="1:11" x14ac:dyDescent="0.2">
      <c r="A5" s="2280" t="s">
        <v>1062</v>
      </c>
      <c r="B5" s="2281"/>
      <c r="C5" s="2281"/>
      <c r="D5" s="2281"/>
      <c r="E5" s="2282"/>
      <c r="F5" s="622" t="s">
        <v>843</v>
      </c>
      <c r="G5" s="1799"/>
      <c r="H5" s="1794">
        <v>23940</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v>259587</v>
      </c>
      <c r="K8" s="1798"/>
    </row>
    <row r="9" spans="1:11" x14ac:dyDescent="0.2">
      <c r="A9" s="629" t="s">
        <v>137</v>
      </c>
      <c r="B9" s="630"/>
      <c r="C9" s="630"/>
      <c r="D9" s="630"/>
      <c r="E9" s="631"/>
      <c r="F9" s="628" t="s">
        <v>848</v>
      </c>
      <c r="G9" s="1803"/>
      <c r="H9" s="1799"/>
      <c r="I9" s="1799"/>
      <c r="J9" s="1802"/>
      <c r="K9" s="1795"/>
    </row>
    <row r="10" spans="1:11" x14ac:dyDescent="0.2">
      <c r="A10" s="2280" t="s">
        <v>1793</v>
      </c>
      <c r="B10" s="2281"/>
      <c r="C10" s="2281"/>
      <c r="D10" s="2281"/>
      <c r="E10" s="2283"/>
      <c r="F10" s="633" t="s">
        <v>857</v>
      </c>
      <c r="G10" s="1803"/>
      <c r="H10" s="1804"/>
      <c r="I10" s="1794"/>
      <c r="J10" s="1795"/>
      <c r="K10" s="1795"/>
    </row>
    <row r="11" spans="1:11" x14ac:dyDescent="0.2">
      <c r="A11" s="2280" t="s">
        <v>159</v>
      </c>
      <c r="B11" s="2281"/>
      <c r="C11" s="2281"/>
      <c r="D11" s="2281"/>
      <c r="E11" s="2282"/>
      <c r="F11" s="622" t="s">
        <v>847</v>
      </c>
      <c r="G11" s="1799"/>
      <c r="H11" s="1794"/>
      <c r="I11" s="1794"/>
      <c r="J11" s="1795"/>
      <c r="K11" s="1801"/>
    </row>
    <row r="12" spans="1:11" ht="13.5" thickBot="1" x14ac:dyDescent="0.25">
      <c r="A12" s="2307" t="s">
        <v>899</v>
      </c>
      <c r="B12" s="2308"/>
      <c r="C12" s="2308"/>
      <c r="D12" s="2308"/>
      <c r="E12" s="2309"/>
      <c r="F12" s="1482"/>
      <c r="G12" s="1805">
        <f>SUM(G5:G11)</f>
        <v>0</v>
      </c>
      <c r="H12" s="1805">
        <f>SUM(H5:H11)</f>
        <v>23940</v>
      </c>
      <c r="I12" s="1805">
        <f>SUM(I5:I11)</f>
        <v>0</v>
      </c>
      <c r="J12" s="1805">
        <f>SUM(J5:J11)</f>
        <v>259587</v>
      </c>
      <c r="K12" s="1805">
        <f>SUM(K5:K11)</f>
        <v>0</v>
      </c>
    </row>
    <row r="13" spans="1:11" ht="13.5" thickTop="1" x14ac:dyDescent="0.2">
      <c r="A13" s="2304" t="s">
        <v>367</v>
      </c>
      <c r="B13" s="2305"/>
      <c r="C13" s="2305"/>
      <c r="D13" s="2305"/>
      <c r="E13" s="2306"/>
      <c r="F13" s="634"/>
      <c r="G13" s="1806"/>
      <c r="H13" s="1807"/>
      <c r="I13" s="1808"/>
      <c r="J13" s="1808"/>
      <c r="K13" s="1808"/>
    </row>
    <row r="14" spans="1:11" x14ac:dyDescent="0.2">
      <c r="A14" s="2287" t="s">
        <v>453</v>
      </c>
      <c r="B14" s="2287"/>
      <c r="C14" s="2287"/>
      <c r="D14" s="2287"/>
      <c r="E14" s="2288"/>
      <c r="F14" s="635" t="s">
        <v>849</v>
      </c>
      <c r="G14" s="1803"/>
      <c r="H14" s="1794">
        <v>23940</v>
      </c>
      <c r="I14" s="1799"/>
      <c r="J14" s="1801"/>
      <c r="K14" s="1795"/>
    </row>
    <row r="15" spans="1:11" x14ac:dyDescent="0.2">
      <c r="A15" s="2281" t="s">
        <v>4</v>
      </c>
      <c r="B15" s="2281"/>
      <c r="C15" s="2281"/>
      <c r="D15" s="2281"/>
      <c r="E15" s="2282"/>
      <c r="F15" s="635" t="s">
        <v>850</v>
      </c>
      <c r="G15" s="1799"/>
      <c r="H15" s="1794"/>
      <c r="I15" s="1794"/>
      <c r="J15" s="1795">
        <v>755993</v>
      </c>
      <c r="K15" s="1795"/>
    </row>
    <row r="16" spans="1:11" x14ac:dyDescent="0.2">
      <c r="A16" s="2281" t="s">
        <v>295</v>
      </c>
      <c r="B16" s="2281"/>
      <c r="C16" s="2281"/>
      <c r="D16" s="2281"/>
      <c r="E16" s="2282"/>
      <c r="F16" s="635" t="s">
        <v>917</v>
      </c>
      <c r="G16" s="1800"/>
      <c r="H16" s="1796"/>
      <c r="I16" s="1796"/>
      <c r="J16" s="1798"/>
      <c r="K16" s="1798"/>
    </row>
    <row r="17" spans="1:15" x14ac:dyDescent="0.2">
      <c r="A17" s="2314" t="s">
        <v>929</v>
      </c>
      <c r="B17" s="2314"/>
      <c r="C17" s="2314"/>
      <c r="D17" s="2314"/>
      <c r="E17" s="2315"/>
      <c r="F17" s="636"/>
      <c r="G17" s="1809"/>
      <c r="H17" s="1810"/>
      <c r="I17" s="1810"/>
      <c r="J17" s="1811"/>
      <c r="K17" s="1812"/>
    </row>
    <row r="18" spans="1:15" x14ac:dyDescent="0.2">
      <c r="A18" s="2291" t="s">
        <v>365</v>
      </c>
      <c r="B18" s="2292"/>
      <c r="C18" s="2292"/>
      <c r="D18" s="2292"/>
      <c r="E18" s="2293"/>
      <c r="F18" s="635" t="s">
        <v>926</v>
      </c>
      <c r="G18" s="1803"/>
      <c r="H18" s="1803"/>
      <c r="I18" s="1803"/>
      <c r="J18" s="1795"/>
      <c r="K18" s="1813"/>
    </row>
    <row r="19" spans="1:15" ht="21.75" customHeight="1" x14ac:dyDescent="0.2">
      <c r="A19" s="2289" t="s">
        <v>1789</v>
      </c>
      <c r="B19" s="2289"/>
      <c r="C19" s="2289"/>
      <c r="D19" s="2289"/>
      <c r="E19" s="2290"/>
      <c r="F19" s="635" t="s">
        <v>927</v>
      </c>
      <c r="G19" s="1803"/>
      <c r="H19" s="1803"/>
      <c r="I19" s="1803"/>
      <c r="J19" s="1795"/>
      <c r="K19" s="1813"/>
    </row>
    <row r="20" spans="1:15" x14ac:dyDescent="0.2">
      <c r="A20" s="2291" t="s">
        <v>1794</v>
      </c>
      <c r="B20" s="2292"/>
      <c r="C20" s="2292"/>
      <c r="D20" s="2292"/>
      <c r="E20" s="2293"/>
      <c r="F20" s="635" t="s">
        <v>928</v>
      </c>
      <c r="G20" s="1803"/>
      <c r="H20" s="1803"/>
      <c r="I20" s="1803"/>
      <c r="J20" s="1795"/>
      <c r="K20" s="1813"/>
    </row>
    <row r="21" spans="1:15" ht="13.5" thickBot="1" x14ac:dyDescent="0.25">
      <c r="A21" s="2310" t="s">
        <v>633</v>
      </c>
      <c r="B21" s="2310"/>
      <c r="C21" s="2310"/>
      <c r="D21" s="2310"/>
      <c r="E21" s="2310"/>
      <c r="F21" s="1483"/>
      <c r="G21" s="1810"/>
      <c r="H21" s="1814"/>
      <c r="I21" s="1814"/>
      <c r="J21" s="1815">
        <f>SUM(J18:J20)</f>
        <v>0</v>
      </c>
      <c r="K21" s="1811"/>
    </row>
    <row r="22" spans="1:15" ht="13.5" thickTop="1" x14ac:dyDescent="0.2">
      <c r="A22" s="2281" t="s">
        <v>1795</v>
      </c>
      <c r="B22" s="2281"/>
      <c r="C22" s="2281"/>
      <c r="D22" s="2281"/>
      <c r="E22" s="2282"/>
      <c r="F22" s="635" t="s">
        <v>857</v>
      </c>
      <c r="G22" s="1803"/>
      <c r="H22" s="1794"/>
      <c r="I22" s="1794"/>
      <c r="J22" s="1816"/>
      <c r="K22" s="1795"/>
    </row>
    <row r="23" spans="1:15" ht="13.5" thickBot="1" x14ac:dyDescent="0.25">
      <c r="A23" s="2311" t="s">
        <v>900</v>
      </c>
      <c r="B23" s="2310"/>
      <c r="C23" s="2310"/>
      <c r="D23" s="2310"/>
      <c r="E23" s="2310"/>
      <c r="F23" s="1485"/>
      <c r="G23" s="1805">
        <f>SUM(G14:G16,G21,G22)</f>
        <v>0</v>
      </c>
      <c r="H23" s="1805">
        <f>SUM(H14:H16,H21,H22)</f>
        <v>23940</v>
      </c>
      <c r="I23" s="1805">
        <f>SUM(I14:I16,I21,I22)</f>
        <v>0</v>
      </c>
      <c r="J23" s="1805">
        <f>SUM(J14:J16,J21,J22)</f>
        <v>755993</v>
      </c>
      <c r="K23" s="1805">
        <f>SUM(K14:K16,K21,K22)</f>
        <v>0</v>
      </c>
      <c r="M23" s="1904"/>
      <c r="N23" s="1904"/>
      <c r="O23" s="1904"/>
    </row>
    <row r="24" spans="1:15" ht="14.25" thickTop="1" thickBot="1" x14ac:dyDescent="0.25">
      <c r="A24" s="2312" t="str">
        <f>"Ending Cash Basis Fund Balance as of June 30, "&amp;'AFR20'!E2</f>
        <v>Ending Cash Basis Fund Balance as of June 30, 2020</v>
      </c>
      <c r="B24" s="2313"/>
      <c r="C24" s="2313"/>
      <c r="D24" s="2313"/>
      <c r="E24" s="2313"/>
      <c r="F24" s="1486"/>
      <c r="G24" s="1817">
        <f>SUM(G3,G12)-G23</f>
        <v>0</v>
      </c>
      <c r="H24" s="1817">
        <f>SUM(H3,H12)-H23</f>
        <v>0</v>
      </c>
      <c r="I24" s="1817">
        <f>SUM(I3,I12)-I23</f>
        <v>0</v>
      </c>
      <c r="J24" s="1817">
        <f>SUM(J3,J12)-J23</f>
        <v>-299540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-299540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284"/>
      <c r="I31" s="2285"/>
      <c r="J31" s="2285"/>
      <c r="K31" s="2285"/>
    </row>
    <row r="32" spans="1:15" x14ac:dyDescent="0.2">
      <c r="A32" s="649"/>
      <c r="B32" s="232"/>
      <c r="C32" s="232"/>
      <c r="D32" s="232"/>
      <c r="E32" s="645"/>
      <c r="F32" s="651" t="s">
        <v>537</v>
      </c>
      <c r="G32" s="618"/>
      <c r="H32" s="2286"/>
      <c r="I32" s="2285"/>
      <c r="J32" s="2285"/>
      <c r="K32" s="2285"/>
    </row>
    <row r="33" spans="1:11" ht="1.5" customHeight="1" x14ac:dyDescent="0.2">
      <c r="A33" s="652" t="s">
        <v>1161</v>
      </c>
      <c r="B33" s="341"/>
      <c r="C33" s="341"/>
      <c r="D33" s="341"/>
      <c r="E33" s="341"/>
      <c r="F33" s="341"/>
      <c r="G33" s="653"/>
      <c r="H33" s="2286"/>
      <c r="I33" s="2285"/>
      <c r="J33" s="2285"/>
      <c r="K33" s="2285"/>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81" t="s">
        <v>538</v>
      </c>
      <c r="B41" s="2294"/>
      <c r="C41" s="2294"/>
      <c r="D41" s="2294"/>
      <c r="E41" s="2294"/>
      <c r="F41" s="229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95" customHeight="1" x14ac:dyDescent="0.2">
      <c r="A47" s="661"/>
      <c r="B47" s="662" t="s">
        <v>1660</v>
      </c>
      <c r="E47" s="662"/>
      <c r="K47" s="664"/>
    </row>
    <row r="48" spans="1:11" ht="12.9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1"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colorId="8" zoomScale="110" zoomScaleNormal="110" workbookViewId="0">
      <pane ySplit="5" topLeftCell="A161" activePane="bottomLeft" state="frozen"/>
      <selection activeCell="A7" sqref="A7:E7"/>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9" t="str">
        <f>"ESTIMATED OPERATING EXPENSE PER PUPIL (OEPP)/PER CAPITA TUITION CHARGE (PCTC) COMPUTATIONS ("&amp;'AFR20'!E2-1&amp;" - "&amp;'AFR20'!E2&amp;")"</f>
        <v>ESTIMATED OPERATING EXPENSE PER PUPIL (OEPP)/PER CAPITA TUITION CHARGE (PCTC) COMPUTATIONS (2019 - 2020)</v>
      </c>
      <c r="B1" s="2320"/>
      <c r="C1" s="2320"/>
      <c r="D1" s="2320"/>
      <c r="E1" s="2320"/>
      <c r="F1" s="2321"/>
      <c r="G1" s="691"/>
      <c r="I1" s="701"/>
    </row>
    <row r="2" spans="1:9" ht="15" customHeight="1" thickBot="1" x14ac:dyDescent="0.25">
      <c r="A2" s="2322" t="s">
        <v>474</v>
      </c>
      <c r="B2" s="2323"/>
      <c r="C2" s="2323"/>
      <c r="D2" s="2323"/>
      <c r="E2" s="2323"/>
      <c r="F2" s="232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5"/>
      <c r="B5" s="2326"/>
      <c r="C5" s="2326"/>
      <c r="D5" s="2326"/>
      <c r="E5" s="2326"/>
      <c r="F5" s="2326"/>
    </row>
    <row r="6" spans="1:9" ht="13.5" customHeight="1" thickBot="1" x14ac:dyDescent="0.25">
      <c r="A6" s="2316" t="s">
        <v>1097</v>
      </c>
      <c r="B6" s="2317"/>
      <c r="C6" s="2317"/>
      <c r="D6" s="2317"/>
      <c r="E6" s="2317"/>
      <c r="F6" s="231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4159401</v>
      </c>
      <c r="G8" s="701"/>
    </row>
    <row r="9" spans="1:9" x14ac:dyDescent="0.2">
      <c r="A9" s="705" t="s">
        <v>457</v>
      </c>
      <c r="B9" s="706" t="s">
        <v>1851</v>
      </c>
      <c r="C9" s="707"/>
      <c r="D9" s="705" t="s">
        <v>498</v>
      </c>
      <c r="E9" s="704"/>
      <c r="F9" s="1825">
        <f>'Expenditures 15-22'!K151</f>
        <v>713477</v>
      </c>
      <c r="G9" s="708"/>
    </row>
    <row r="10" spans="1:9" x14ac:dyDescent="0.2">
      <c r="A10" s="705" t="s">
        <v>496</v>
      </c>
      <c r="B10" s="706" t="s">
        <v>1852</v>
      </c>
      <c r="C10" s="707"/>
      <c r="D10" s="705" t="s">
        <v>498</v>
      </c>
      <c r="E10" s="704"/>
      <c r="F10" s="1825">
        <f>'Expenditures 15-22'!K174</f>
        <v>213443</v>
      </c>
      <c r="G10" s="708"/>
    </row>
    <row r="11" spans="1:9" x14ac:dyDescent="0.2">
      <c r="A11" s="705" t="s">
        <v>458</v>
      </c>
      <c r="B11" s="706" t="s">
        <v>1853</v>
      </c>
      <c r="C11" s="707"/>
      <c r="D11" s="705" t="s">
        <v>498</v>
      </c>
      <c r="E11" s="704"/>
      <c r="F11" s="1825">
        <f>'Expenditures 15-22'!K210</f>
        <v>187538</v>
      </c>
      <c r="G11" s="708"/>
    </row>
    <row r="12" spans="1:9" x14ac:dyDescent="0.2">
      <c r="A12" s="705" t="s">
        <v>459</v>
      </c>
      <c r="B12" s="706" t="s">
        <v>1854</v>
      </c>
      <c r="C12" s="707"/>
      <c r="D12" s="705" t="s">
        <v>498</v>
      </c>
      <c r="E12" s="704"/>
      <c r="F12" s="1825">
        <f>'Expenditures 15-22'!K295</f>
        <v>141262</v>
      </c>
      <c r="G12" s="708"/>
    </row>
    <row r="13" spans="1:9" x14ac:dyDescent="0.2">
      <c r="A13" s="705" t="s">
        <v>106</v>
      </c>
      <c r="B13" s="706" t="s">
        <v>1855</v>
      </c>
      <c r="C13" s="707"/>
      <c r="D13" s="705" t="s">
        <v>498</v>
      </c>
      <c r="E13" s="704"/>
      <c r="F13" s="1825">
        <f>'Expenditures 15-22'!K342</f>
        <v>66434</v>
      </c>
      <c r="G13" s="709"/>
    </row>
    <row r="14" spans="1:9" ht="12" customHeight="1" thickBot="1" x14ac:dyDescent="0.25">
      <c r="A14" s="1492"/>
      <c r="B14" s="1493"/>
      <c r="C14" s="1494"/>
      <c r="D14" s="1495" t="s">
        <v>498</v>
      </c>
      <c r="E14" s="1496" t="s">
        <v>952</v>
      </c>
      <c r="F14" s="1826">
        <f>SUM(F8:F13)</f>
        <v>5481555</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189426</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71066</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1178</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6705</v>
      </c>
      <c r="G52" s="701"/>
    </row>
    <row r="53" spans="1:7" x14ac:dyDescent="0.2">
      <c r="A53" s="705" t="s">
        <v>456</v>
      </c>
      <c r="B53" s="705" t="s">
        <v>1461</v>
      </c>
      <c r="C53" s="724">
        <f>'Expenditures 15-22'!B102</f>
        <v>4000</v>
      </c>
      <c r="D53" s="723" t="str">
        <f>'Expenditures 15-22'!A102</f>
        <v>Total Payments to Other Govt Units</v>
      </c>
      <c r="E53" s="704"/>
      <c r="F53" s="1832">
        <f>'Expenditures 15-22'!K102</f>
        <v>239126</v>
      </c>
      <c r="G53" s="701"/>
    </row>
    <row r="54" spans="1:7" x14ac:dyDescent="0.2">
      <c r="A54" s="705" t="s">
        <v>456</v>
      </c>
      <c r="B54" s="705" t="s">
        <v>1462</v>
      </c>
      <c r="C54" s="724" t="s">
        <v>975</v>
      </c>
      <c r="D54" s="720" t="s">
        <v>1088</v>
      </c>
      <c r="E54" s="704"/>
      <c r="F54" s="1832">
        <f>'Expenditures 15-22'!G114</f>
        <v>35827</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307594</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205000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6061</v>
      </c>
      <c r="G67" s="701"/>
    </row>
    <row r="68" spans="1:9" x14ac:dyDescent="0.2">
      <c r="A68" s="705" t="s">
        <v>459</v>
      </c>
      <c r="B68" s="705" t="s">
        <v>1465</v>
      </c>
      <c r="C68" s="721" t="str">
        <f>'Expenditures 15-22'!B218</f>
        <v>1225</v>
      </c>
      <c r="D68" s="727" t="str">
        <f>'Expenditures 15-22'!A218</f>
        <v>Special Education Programs - Pre-K</v>
      </c>
      <c r="E68" s="704"/>
      <c r="F68" s="1832">
        <f>'Expenditures 15-22'!K218</f>
        <v>3135</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45</v>
      </c>
      <c r="G71" s="701"/>
    </row>
    <row r="72" spans="1:9" x14ac:dyDescent="0.2">
      <c r="A72" s="705" t="s">
        <v>459</v>
      </c>
      <c r="B72" s="705" t="s">
        <v>1870</v>
      </c>
      <c r="C72" s="721">
        <f>'Expenditures 15-22'!B280</f>
        <v>3000</v>
      </c>
      <c r="D72" s="712" t="s">
        <v>446</v>
      </c>
      <c r="E72" s="704"/>
      <c r="F72" s="1832">
        <f>'Expenditures 15-22'!K280</f>
        <v>125</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1065288</v>
      </c>
      <c r="G77" s="701"/>
    </row>
    <row r="78" spans="1:9" s="728" customFormat="1" ht="12" customHeight="1" thickTop="1" thickBot="1" x14ac:dyDescent="0.25">
      <c r="A78" s="1499"/>
      <c r="B78" s="1497"/>
      <c r="C78" s="1494"/>
      <c r="D78" s="1498" t="s">
        <v>2015</v>
      </c>
      <c r="E78" s="1496"/>
      <c r="F78" s="1838">
        <f>(F14-F77)</f>
        <v>4416267</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477.6</v>
      </c>
      <c r="G79" s="733"/>
      <c r="H79" s="705"/>
      <c r="I79" s="705"/>
    </row>
    <row r="80" spans="1:9" s="728" customFormat="1" ht="12" customHeight="1" thickBot="1" x14ac:dyDescent="0.25">
      <c r="A80" s="1501"/>
      <c r="B80" s="1497"/>
      <c r="C80" s="1494"/>
      <c r="D80" s="1498" t="s">
        <v>2016</v>
      </c>
      <c r="E80" s="1496" t="s">
        <v>952</v>
      </c>
      <c r="F80" s="1840">
        <f>IF(F79&gt;0,F78/F79," Complete Line 79")</f>
        <v>9246.7902010050238</v>
      </c>
      <c r="G80" s="705"/>
    </row>
    <row r="81" spans="1:7" s="728" customFormat="1" ht="8.25" customHeight="1" thickTop="1" x14ac:dyDescent="0.2">
      <c r="A81" s="734"/>
      <c r="B81" s="705"/>
      <c r="C81" s="707"/>
      <c r="D81" s="735"/>
      <c r="E81" s="704"/>
      <c r="F81" s="1841"/>
      <c r="G81" s="705"/>
    </row>
    <row r="82" spans="1:7" s="728" customFormat="1" ht="12" thickBot="1" x14ac:dyDescent="0.25">
      <c r="A82" s="2316" t="s">
        <v>1098</v>
      </c>
      <c r="B82" s="2317"/>
      <c r="C82" s="2317"/>
      <c r="D82" s="2317"/>
      <c r="E82" s="2317"/>
      <c r="F82" s="231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42952</v>
      </c>
      <c r="G95" s="745"/>
    </row>
    <row r="96" spans="1:7" x14ac:dyDescent="0.2">
      <c r="A96" s="741" t="s">
        <v>139</v>
      </c>
      <c r="B96" s="741" t="s">
        <v>174</v>
      </c>
      <c r="C96" s="743">
        <v>1700</v>
      </c>
      <c r="D96" s="751" t="str">
        <f>'Revenues 9-14'!A82</f>
        <v>Total District/School Activity Income</v>
      </c>
      <c r="E96" s="739"/>
      <c r="F96" s="1843">
        <f>SUM('Revenues 9-14'!C82,'Revenues 9-14'!D82)</f>
        <v>2379</v>
      </c>
      <c r="G96" s="745"/>
    </row>
    <row r="97" spans="1:7" x14ac:dyDescent="0.2">
      <c r="A97" s="741" t="s">
        <v>456</v>
      </c>
      <c r="B97" s="741" t="s">
        <v>175</v>
      </c>
      <c r="C97" s="743">
        <f>'Revenues 9-14'!B84</f>
        <v>1811</v>
      </c>
      <c r="D97" s="744" t="str">
        <f>'Revenues 9-14'!A84</f>
        <v>Rentals - Regular Textbooks</v>
      </c>
      <c r="E97" s="739"/>
      <c r="F97" s="1843">
        <f>'Revenues 9-14'!C84</f>
        <v>30250</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2765</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74082</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1613</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61389</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50000</v>
      </c>
      <c r="G121" s="763"/>
    </row>
    <row r="122" spans="1:7" x14ac:dyDescent="0.2">
      <c r="A122" s="760" t="s">
        <v>497</v>
      </c>
      <c r="B122" s="760" t="s">
        <v>1929</v>
      </c>
      <c r="C122" s="761">
        <f>'Revenues 9-14'!B168</f>
        <v>3999</v>
      </c>
      <c r="D122" s="762" t="s">
        <v>540</v>
      </c>
      <c r="E122" s="764"/>
      <c r="F122" s="1843">
        <f>SUM('Revenues 9-14'!C168:G168,'Revenues 9-14'!J168)</f>
        <v>750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110720</v>
      </c>
      <c r="G126" s="763"/>
    </row>
    <row r="127" spans="1:7" x14ac:dyDescent="0.2">
      <c r="A127" s="760" t="s">
        <v>663</v>
      </c>
      <c r="B127" s="760" t="s">
        <v>1934</v>
      </c>
      <c r="C127" s="765">
        <v>4300</v>
      </c>
      <c r="D127" s="766" t="str">
        <f>'Revenues 9-14'!A204</f>
        <v>Total Title I</v>
      </c>
      <c r="E127" s="739"/>
      <c r="F127" s="1843">
        <f>SUM('Revenues 9-14'!C204,'Revenues 9-14'!D204,'Revenues 9-14'!F204,'Revenues 9-14'!G204)</f>
        <v>102927</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7409</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17178</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5166</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8916</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v>171375</v>
      </c>
      <c r="G172" s="760"/>
    </row>
    <row r="173" spans="1:7" x14ac:dyDescent="0.2">
      <c r="A173" s="1579" t="s">
        <v>659</v>
      </c>
      <c r="B173" s="1580" t="s">
        <v>1888</v>
      </c>
      <c r="C173" s="1581">
        <v>3300</v>
      </c>
      <c r="D173" s="1582" t="s">
        <v>1891</v>
      </c>
      <c r="E173" s="739"/>
      <c r="F173" s="1844">
        <v>5</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689876</v>
      </c>
    </row>
    <row r="176" spans="1:7" ht="12" customHeight="1" x14ac:dyDescent="0.2">
      <c r="A176" s="1492"/>
      <c r="B176" s="1502"/>
      <c r="C176" s="1503"/>
      <c r="D176" s="1504" t="s">
        <v>2017</v>
      </c>
      <c r="E176" s="1505"/>
      <c r="F176" s="1843">
        <f>'PCTC-OEPP 27-28'!F78-F175</f>
        <v>3726391</v>
      </c>
    </row>
    <row r="177" spans="1:9" ht="12" customHeight="1" x14ac:dyDescent="0.2">
      <c r="A177" s="1492"/>
      <c r="B177" s="1502"/>
      <c r="C177" s="1503"/>
      <c r="D177" s="1504" t="s">
        <v>1797</v>
      </c>
      <c r="E177" s="1505"/>
      <c r="F177" s="1843">
        <f>'Cap Outlay Deprec 26'!I18</f>
        <v>137704</v>
      </c>
    </row>
    <row r="178" spans="1:9" ht="12" customHeight="1" x14ac:dyDescent="0.2">
      <c r="A178" s="1492"/>
      <c r="B178" s="1502"/>
      <c r="C178" s="1503"/>
      <c r="D178" s="1504" t="s">
        <v>2018</v>
      </c>
      <c r="E178" s="1505"/>
      <c r="F178" s="1843">
        <f>F176+F177</f>
        <v>3864095</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477.6</v>
      </c>
      <c r="G179" s="763"/>
      <c r="I179" s="701"/>
    </row>
    <row r="180" spans="1:9" ht="12" customHeight="1" thickBot="1" x14ac:dyDescent="0.25">
      <c r="A180" s="1492"/>
      <c r="B180" s="1506"/>
      <c r="C180" s="1503"/>
      <c r="D180" s="1504" t="s">
        <v>2020</v>
      </c>
      <c r="E180" s="1505" t="s">
        <v>1531</v>
      </c>
      <c r="F180" s="1848">
        <f>F178/F179</f>
        <v>8090.651172529313</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142"/>
  <sheetViews>
    <sheetView showGridLines="0" topLeftCell="A7" zoomScaleNormal="100" workbookViewId="0">
      <selection activeCell="B18" sqref="B18"/>
    </sheetView>
  </sheetViews>
  <sheetFormatPr defaultColWidth="9.140625"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330" t="s">
        <v>1798</v>
      </c>
      <c r="B4" s="2331"/>
      <c r="C4" s="2331"/>
      <c r="D4" s="2331"/>
      <c r="E4" s="2331"/>
      <c r="F4" s="2332"/>
    </row>
    <row r="5" spans="1:6" x14ac:dyDescent="0.25">
      <c r="A5" s="2333"/>
      <c r="B5" s="2334"/>
      <c r="C5" s="2334"/>
      <c r="D5" s="2334"/>
      <c r="E5" s="2334"/>
      <c r="F5" s="2335"/>
    </row>
    <row r="6" spans="1:6" ht="18.75" x14ac:dyDescent="0.25">
      <c r="A6" s="1930" t="s">
        <v>1799</v>
      </c>
      <c r="B6" s="1931"/>
      <c r="C6" s="1932"/>
      <c r="D6" s="1932"/>
      <c r="E6" s="1932"/>
      <c r="F6" s="1933"/>
    </row>
    <row r="7" spans="1:6" ht="47.25" customHeight="1" x14ac:dyDescent="0.25">
      <c r="A7" s="2336" t="s">
        <v>1988</v>
      </c>
      <c r="B7" s="2337"/>
      <c r="C7" s="2337"/>
      <c r="D7" s="2337"/>
      <c r="E7" s="2337"/>
      <c r="F7" s="2338"/>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339" t="s">
        <v>1984</v>
      </c>
      <c r="B10" s="2340"/>
      <c r="C10" s="2340"/>
      <c r="D10" s="2340"/>
      <c r="E10" s="2340"/>
      <c r="F10" s="2341"/>
    </row>
    <row r="11" spans="1:6" ht="33" customHeight="1" x14ac:dyDescent="0.25">
      <c r="A11" s="2336" t="s">
        <v>1989</v>
      </c>
      <c r="B11" s="2337"/>
      <c r="C11" s="2337"/>
      <c r="D11" s="2337"/>
      <c r="E11" s="2337"/>
      <c r="F11" s="2338"/>
    </row>
    <row r="12" spans="1:6" ht="15" customHeight="1" x14ac:dyDescent="0.25">
      <c r="A12" s="1936" t="s">
        <v>1985</v>
      </c>
      <c r="B12" s="1937"/>
      <c r="C12" s="1938"/>
      <c r="D12" s="1938"/>
      <c r="E12" s="1938"/>
      <c r="F12" s="1939"/>
    </row>
    <row r="13" spans="1:6" ht="17.25" customHeight="1" x14ac:dyDescent="0.25">
      <c r="A13" s="2336" t="s">
        <v>1986</v>
      </c>
      <c r="B13" s="2337"/>
      <c r="C13" s="2337"/>
      <c r="D13" s="2337"/>
      <c r="E13" s="2337"/>
      <c r="F13" s="2338"/>
    </row>
    <row r="14" spans="1:6" ht="15" customHeight="1" x14ac:dyDescent="0.25">
      <c r="A14" s="1936" t="s">
        <v>1803</v>
      </c>
      <c r="B14" s="1937"/>
      <c r="C14" s="1938"/>
      <c r="D14" s="1938"/>
      <c r="E14" s="1938"/>
      <c r="F14" s="1939"/>
    </row>
    <row r="15" spans="1:6" ht="32.25" customHeight="1" x14ac:dyDescent="0.25">
      <c r="A15" s="232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8"/>
      <c r="C15" s="2328"/>
      <c r="D15" s="2328"/>
      <c r="E15" s="2328"/>
      <c r="F15" s="2329"/>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1988" t="s">
        <v>2046</v>
      </c>
      <c r="B18" s="1971">
        <v>102560300</v>
      </c>
      <c r="C18" s="1989" t="s">
        <v>2047</v>
      </c>
      <c r="D18" s="1949">
        <v>131408</v>
      </c>
      <c r="E18" s="1969" t="str">
        <f t="shared" ref="E18:E81" si="0">IF(D18&lt;25000,D18,"25,000")</f>
        <v>25,000</v>
      </c>
      <c r="F18" s="1969">
        <f t="shared" ref="F18:F81" si="1">IF(D18&gt;=25000,(D18-E18),"0")</f>
        <v>106408</v>
      </c>
      <c r="G18" s="1950"/>
    </row>
    <row r="19" spans="1:7" x14ac:dyDescent="0.25">
      <c r="A19" s="1951"/>
      <c r="B19" s="1971"/>
      <c r="C19" s="1948"/>
      <c r="D19" s="1949"/>
      <c r="E19" s="1969">
        <f t="shared" si="0"/>
        <v>0</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131408</v>
      </c>
      <c r="E142" s="1956">
        <f>SUM(E18:E141)</f>
        <v>0</v>
      </c>
      <c r="F142" s="1957">
        <f>SUM(F18:F141)</f>
        <v>106408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1466850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pageSetUpPr fitToPage="1"/>
  </sheetPr>
  <dimension ref="A1:R40"/>
  <sheetViews>
    <sheetView showGridLines="0" defaultGridColor="0" colorId="8" zoomScaleNormal="100" workbookViewId="0">
      <selection activeCell="H17" sqref="H17"/>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47" t="str">
        <f>COVER!A17</f>
        <v xml:space="preserve">  Dwight Common SD 232</v>
      </c>
      <c r="J6" s="2348"/>
      <c r="K6" s="2349"/>
      <c r="R6" s="1427"/>
    </row>
    <row r="7" spans="1:18" x14ac:dyDescent="0.2">
      <c r="A7" s="2350" t="s">
        <v>864</v>
      </c>
      <c r="B7" s="2351"/>
      <c r="C7" s="2351"/>
      <c r="D7" s="2351"/>
      <c r="E7" s="2352"/>
      <c r="F7" s="847"/>
      <c r="G7" s="839"/>
      <c r="H7" s="846" t="s">
        <v>369</v>
      </c>
      <c r="I7" s="2353">
        <f>COVER!A13</f>
        <v>17053232002</v>
      </c>
      <c r="J7" s="2353"/>
      <c r="K7" s="2353"/>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354" t="s">
        <v>478</v>
      </c>
      <c r="B11" s="2355"/>
      <c r="C11" s="2356"/>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74536</v>
      </c>
      <c r="F12" s="1864"/>
      <c r="G12" s="1863">
        <f t="shared" ref="G12:G18" si="0">SUM(E12:F12)</f>
        <v>74536</v>
      </c>
      <c r="H12" s="1865">
        <v>78071</v>
      </c>
      <c r="I12" s="1864"/>
      <c r="J12" s="1865"/>
      <c r="K12" s="1863">
        <f t="shared" ref="K12:K18" si="1">SUM(H12:J12)</f>
        <v>78071</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34045</v>
      </c>
      <c r="F16" s="1864"/>
      <c r="G16" s="1863">
        <f t="shared" si="0"/>
        <v>34045</v>
      </c>
      <c r="H16" s="1865">
        <v>31000</v>
      </c>
      <c r="I16" s="1864"/>
      <c r="J16" s="1865"/>
      <c r="K16" s="1863">
        <f t="shared" si="1"/>
        <v>31000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357" t="s">
        <v>7</v>
      </c>
      <c r="C18" s="2358"/>
      <c r="D18" s="2359"/>
      <c r="E18" s="1866"/>
      <c r="F18" s="1866"/>
      <c r="G18" s="1867">
        <f t="shared" si="0"/>
        <v>0</v>
      </c>
      <c r="H18" s="1865"/>
      <c r="I18" s="1865"/>
      <c r="J18" s="1865"/>
      <c r="K18" s="1863">
        <f t="shared" si="1"/>
        <v>0</v>
      </c>
    </row>
    <row r="19" spans="1:11" ht="12.95" customHeight="1" thickBot="1" x14ac:dyDescent="0.25">
      <c r="A19" s="863">
        <v>8</v>
      </c>
      <c r="B19" s="869" t="s">
        <v>1153</v>
      </c>
      <c r="D19" s="870"/>
      <c r="E19" s="1868">
        <f t="shared" ref="E19:K19" si="2">SUM(E12:E17)-E18</f>
        <v>108581</v>
      </c>
      <c r="F19" s="1868">
        <f t="shared" si="2"/>
        <v>0</v>
      </c>
      <c r="G19" s="1868">
        <f t="shared" si="2"/>
        <v>108581</v>
      </c>
      <c r="H19" s="1868">
        <f t="shared" si="2"/>
        <v>109071</v>
      </c>
      <c r="I19" s="1868">
        <f t="shared" si="2"/>
        <v>0</v>
      </c>
      <c r="J19" s="1868">
        <f t="shared" si="2"/>
        <v>0</v>
      </c>
      <c r="K19" s="1868">
        <f t="shared" si="2"/>
        <v>109071</v>
      </c>
    </row>
    <row r="20" spans="1:11" ht="13.5" thickTop="1" x14ac:dyDescent="0.2">
      <c r="A20" s="863">
        <v>9</v>
      </c>
      <c r="B20" s="2360" t="str">
        <f>"Percent Increase (Decrease) for FY"&amp;'AFR20'!E2+1&amp;" (Budgeted) over FY"&amp;'AFR20'!E2&amp;" (Actual)"</f>
        <v>Percent Increase (Decrease) for FY2021 (Budgeted) over FY2020 (Actual)</v>
      </c>
      <c r="C20" s="2360"/>
      <c r="D20" s="2361"/>
      <c r="E20" s="1869"/>
      <c r="F20" s="1869"/>
      <c r="G20" s="1869"/>
      <c r="H20" s="1869"/>
      <c r="I20" s="1869"/>
      <c r="J20" s="1978"/>
      <c r="K20" s="1870">
        <f>IF(AND(G19&gt;0,K19&gt;0),(((K19-G19)/G19)),"Enter Budget Data")</f>
        <v>4.512760059310561E-3</v>
      </c>
    </row>
    <row r="21" spans="1:11" ht="9.1999999999999993"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25" customHeight="1" x14ac:dyDescent="0.2">
      <c r="B26" s="871"/>
      <c r="C26" s="2366"/>
      <c r="D26" s="2366"/>
      <c r="E26" s="874"/>
      <c r="F26" s="2365"/>
      <c r="G26" s="2365"/>
    </row>
    <row r="27" spans="1:11" x14ac:dyDescent="0.2">
      <c r="B27" s="871"/>
      <c r="C27" s="875" t="s">
        <v>1026</v>
      </c>
      <c r="D27" s="876"/>
      <c r="E27" s="877"/>
      <c r="F27" s="2362" t="s">
        <v>1495</v>
      </c>
      <c r="G27" s="2362"/>
    </row>
    <row r="28" spans="1:11" ht="28.5" customHeight="1" x14ac:dyDescent="0.2">
      <c r="B28" s="871"/>
      <c r="C28" s="2364"/>
      <c r="D28" s="2364"/>
      <c r="E28" s="878"/>
      <c r="F28" s="2364"/>
      <c r="G28" s="2364"/>
    </row>
    <row r="29" spans="1:11" x14ac:dyDescent="0.2">
      <c r="B29" s="871"/>
      <c r="C29" s="879" t="s">
        <v>1547</v>
      </c>
      <c r="E29" s="880"/>
      <c r="F29" s="2363" t="s">
        <v>1496</v>
      </c>
      <c r="G29" s="2363"/>
    </row>
    <row r="30" spans="1:11" ht="9.1999999999999993" customHeight="1" x14ac:dyDescent="0.2">
      <c r="B30" s="871"/>
      <c r="C30" s="881"/>
      <c r="E30" s="882"/>
      <c r="F30" s="883"/>
      <c r="G30" s="883"/>
    </row>
    <row r="31" spans="1:11" ht="15" customHeight="1" x14ac:dyDescent="0.2">
      <c r="A31" s="841"/>
      <c r="B31" s="884" t="s">
        <v>1027</v>
      </c>
    </row>
    <row r="32" spans="1:11" ht="9.1999999999999993" customHeight="1" x14ac:dyDescent="0.2">
      <c r="A32" s="841"/>
      <c r="B32" s="872"/>
    </row>
    <row r="33" spans="1:11" ht="12.95" customHeight="1" x14ac:dyDescent="0.2">
      <c r="A33" s="841"/>
      <c r="B33" s="885"/>
      <c r="C33" s="2344"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45"/>
      <c r="E33" s="2345"/>
      <c r="F33" s="2345"/>
      <c r="G33" s="2345"/>
      <c r="H33" s="2345"/>
      <c r="I33" s="2345"/>
      <c r="J33" s="1976"/>
    </row>
    <row r="34" spans="1:11" ht="10.35" customHeight="1" x14ac:dyDescent="0.2">
      <c r="C34" s="2345"/>
      <c r="D34" s="2345"/>
      <c r="E34" s="2345"/>
      <c r="F34" s="2345"/>
      <c r="G34" s="2345"/>
      <c r="H34" s="2345"/>
      <c r="I34" s="2345"/>
      <c r="J34" s="1976"/>
    </row>
    <row r="35" spans="1:11" ht="7.5" customHeight="1" x14ac:dyDescent="0.2">
      <c r="C35" s="886"/>
    </row>
    <row r="36" spans="1:11" ht="13.5" customHeight="1" x14ac:dyDescent="0.2">
      <c r="B36" s="885"/>
      <c r="C36" s="2346"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45"/>
      <c r="E36" s="2345"/>
      <c r="F36" s="2345"/>
      <c r="G36" s="2345"/>
      <c r="H36" s="2345"/>
      <c r="I36" s="2345"/>
      <c r="J36" s="1976"/>
      <c r="K36" s="887"/>
    </row>
    <row r="37" spans="1:11" ht="22.5" customHeight="1" x14ac:dyDescent="0.2">
      <c r="C37" s="2345"/>
      <c r="D37" s="2345"/>
      <c r="E37" s="2345"/>
      <c r="F37" s="2345"/>
      <c r="G37" s="2345"/>
      <c r="H37" s="2345"/>
      <c r="I37" s="2345"/>
      <c r="J37" s="1976"/>
      <c r="K37" s="887"/>
    </row>
    <row r="38" spans="1:11" ht="7.5" customHeight="1" x14ac:dyDescent="0.2">
      <c r="C38" s="886"/>
      <c r="D38" s="888"/>
      <c r="E38" s="889"/>
      <c r="F38" s="890"/>
      <c r="G38" s="889"/>
    </row>
    <row r="39" spans="1:11" ht="13.5" customHeight="1" x14ac:dyDescent="0.2">
      <c r="B39" s="885"/>
      <c r="C39" s="2342" t="str">
        <f>"The district will amend their budget to become in compliance with the limitation."</f>
        <v>The district will amend their budget to become in compliance with the limitation.</v>
      </c>
      <c r="D39" s="2343"/>
      <c r="E39" s="2343"/>
      <c r="F39" s="2343"/>
      <c r="G39" s="2343"/>
      <c r="H39" s="2343"/>
      <c r="I39" s="2343"/>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2"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67" t="s">
        <v>1663</v>
      </c>
      <c r="B5" s="2368"/>
      <c r="C5" s="2368"/>
      <c r="D5" s="2368"/>
      <c r="E5" s="2368"/>
      <c r="F5" s="2368"/>
      <c r="G5" s="2369"/>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c r="F10" s="805"/>
      <c r="G10" s="806"/>
      <c r="H10" s="157"/>
      <c r="I10" s="157"/>
    </row>
    <row r="11" spans="1:13" s="542" customFormat="1" ht="22.5" customHeight="1" x14ac:dyDescent="0.2">
      <c r="A11" s="237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3"/>
      <c r="C11" s="2373"/>
      <c r="D11" s="2374"/>
      <c r="E11" s="1851">
        <v>11830</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2972991</v>
      </c>
      <c r="F19" s="1852"/>
      <c r="G19" s="1854">
        <f>'Expenditures 15-22'!K33-SUM('Expenditures 15-22'!G33,'Expenditures 15-22'!I33)+'Expenditures 15-22'!D229</f>
        <v>2972991</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157431</v>
      </c>
      <c r="F21" s="1855"/>
      <c r="G21" s="1858">
        <f>'Expenditures 15-22'!K42-SUM('Expenditures 15-22'!G42,'Expenditures 15-22'!I42)+'Expenditures 15-22'!K120-SUM('Expenditures 15-22'!G120,'Expenditures 15-22'!I120)+'Expenditures 15-22'!K180-SUM('Expenditures 15-22'!G180,'Expenditures 15-22'!I180)+'Expenditures 15-22'!D238</f>
        <v>157431</v>
      </c>
      <c r="H21" s="817"/>
      <c r="I21" s="157"/>
    </row>
    <row r="22" spans="1:9" s="542" customFormat="1" ht="12" customHeight="1" x14ac:dyDescent="0.2">
      <c r="A22" s="824" t="s">
        <v>560</v>
      </c>
      <c r="B22" s="825"/>
      <c r="C22" s="823">
        <v>2200</v>
      </c>
      <c r="D22" s="1855"/>
      <c r="E22" s="1857">
        <f>'Expenditures 15-22'!K47-SUM('Expenditures 15-22'!G47,'Expenditures 15-22'!I47)+'Expenditures 15-22'!D243</f>
        <v>241750</v>
      </c>
      <c r="F22" s="1855"/>
      <c r="G22" s="1858">
        <f>'Expenditures 15-22'!K47-SUM('Expenditures 15-22'!G47,'Expenditures 15-22'!I47)+'Expenditures 15-22'!D243</f>
        <v>241750</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157145</v>
      </c>
      <c r="F23" s="1855"/>
      <c r="G23" s="1857">
        <f>'Expenditures 15-22'!K53-SUM('Expenditures 15-22'!G53,'Expenditures 15-22'!I53)+'Expenditures 15-22'!D257+'Expenditures 15-22'!K330-SUM('Expenditures 15-22'!G330,'Expenditures 15-22'!I330)</f>
        <v>157145</v>
      </c>
      <c r="H23" s="817"/>
      <c r="I23" s="157"/>
    </row>
    <row r="24" spans="1:9" s="542" customFormat="1" ht="12" customHeight="1" x14ac:dyDescent="0.2">
      <c r="A24" s="824" t="s">
        <v>562</v>
      </c>
      <c r="B24" s="825"/>
      <c r="C24" s="823">
        <v>2400</v>
      </c>
      <c r="D24" s="1855"/>
      <c r="E24" s="1857">
        <f>'Expenditures 15-22'!K57-SUM('Expenditures 15-22'!G57,'Expenditures 15-22'!I57)+'Expenditures 15-22'!D261</f>
        <v>287606</v>
      </c>
      <c r="F24" s="1855"/>
      <c r="G24" s="1858">
        <f>'Expenditures 15-22'!K57-SUM('Expenditures 15-22'!G57,'Expenditures 15-22'!I57)+'Expenditures 15-22'!D261</f>
        <v>287606</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62786</v>
      </c>
      <c r="E27" s="1857">
        <f>E8</f>
        <v>0</v>
      </c>
      <c r="F27" s="1857">
        <f>'Expenditures 15-22'!K60-SUM('Expenditures 15-22'!G60,'Expenditures 15-22'!I60)+'Expenditures 15-22'!D264-E8</f>
        <v>62786</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433002</v>
      </c>
      <c r="F28" s="1859">
        <f>'Expenditures 15-22'!K61-SUM('Expenditures 15-22'!G61,'Expenditures 15-22'!I61)+'Expenditures 15-22'!K124-SUM('Expenditures 15-22'!G124,'Expenditures 15-22'!I124)+'Expenditures 15-22'!D266-E9</f>
        <v>433002</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194339</v>
      </c>
      <c r="F29" s="1855"/>
      <c r="G29" s="1858">
        <f>'Expenditures 15-22'!K62-SUM('Expenditures 15-22'!G62,'Expenditures 15-22'!I62)+'Expenditures 15-22'!K125-SUM('Expenditures 15-22'!G125,'Expenditures 15-22'!I125)+'Expenditures 15-22'!K182-SUM('Expenditures 15-22'!G182,'Expenditures 15-22'!I182)+'Expenditures 15-22'!D267</f>
        <v>194339</v>
      </c>
      <c r="H29" s="815"/>
    </row>
    <row r="30" spans="1:9" ht="12" customHeight="1" x14ac:dyDescent="0.2">
      <c r="A30" s="824" t="s">
        <v>100</v>
      </c>
      <c r="B30" s="827"/>
      <c r="C30" s="823">
        <v>2560</v>
      </c>
      <c r="D30" s="1855"/>
      <c r="E30" s="1857">
        <f>'Expenditures 15-22'!K63-SUM('Expenditures 15-22'!G63,'Expenditures 15-22'!I63)+'Expenditures 15-22'!D268-E10</f>
        <v>137290</v>
      </c>
      <c r="F30" s="1855"/>
      <c r="G30" s="1857">
        <f>'Expenditures 15-22'!K63-SUM('Expenditures 15-22'!G63,'Expenditures 15-22'!I63)+'Expenditures 15-22'!D268-E10</f>
        <v>137290</v>
      </c>
    </row>
    <row r="31" spans="1:9" ht="12" customHeight="1" x14ac:dyDescent="0.2">
      <c r="A31" s="824" t="s">
        <v>101</v>
      </c>
      <c r="B31" s="827"/>
      <c r="C31" s="823">
        <v>2570</v>
      </c>
      <c r="D31" s="1857">
        <f>'Expenditures 15-22'!K64-SUM('Expenditures 15-22'!G64,'Expenditures 15-22'!I64)+'Expenditures 15-22'!D269-E12</f>
        <v>34045</v>
      </c>
      <c r="E31" s="1857">
        <f>E12</f>
        <v>0</v>
      </c>
      <c r="F31" s="1857">
        <f>'Expenditures 15-22'!K64-SUM('Expenditures 15-22'!G64,'Expenditures 15-22'!I64)+'Expenditures 15-22'!D269-E12</f>
        <v>34045</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6830</v>
      </c>
      <c r="F39" s="1855"/>
      <c r="G39" s="1857">
        <f>'Expenditures 15-22'!K75-SUM('Expenditures 15-22'!G75,'Expenditures 15-22'!I75)+'Expenditures 15-22'!K130-SUM('Expenditures 15-22'!G130,'Expenditures 15-22'!I130)+'Expenditures 15-22'!K185-SUM('Expenditures 15-22'!G185,'Expenditures 15-22'!I185)+'Expenditures 15-22'!D280</f>
        <v>6830</v>
      </c>
    </row>
    <row r="40" spans="1:7" ht="12" customHeight="1" x14ac:dyDescent="0.2">
      <c r="A40" s="820" t="s">
        <v>1801</v>
      </c>
      <c r="B40" s="821"/>
      <c r="C40" s="823"/>
      <c r="D40" s="1855"/>
      <c r="E40" s="1859">
        <f>-'Contracts Paid in CY 29'!F142</f>
        <v>-106408</v>
      </c>
      <c r="F40" s="1855"/>
      <c r="G40" s="1859">
        <f>-'Contracts Paid in CY 29'!F142</f>
        <v>-106408</v>
      </c>
    </row>
    <row r="41" spans="1:7" ht="12" customHeight="1" x14ac:dyDescent="0.2">
      <c r="A41" s="828" t="s">
        <v>155</v>
      </c>
      <c r="B41" s="829"/>
      <c r="C41" s="830"/>
      <c r="D41" s="1859">
        <f>SUM(D19:D39)</f>
        <v>96831</v>
      </c>
      <c r="E41" s="1859">
        <f>SUM(E19:E40)</f>
        <v>4481976</v>
      </c>
      <c r="F41" s="1859">
        <f>SUM(F19:F39)</f>
        <v>529833</v>
      </c>
      <c r="G41" s="1859">
        <f>SUM(G19:G40)</f>
        <v>4048974</v>
      </c>
    </row>
    <row r="42" spans="1:7" x14ac:dyDescent="0.2">
      <c r="A42" s="817"/>
      <c r="B42" s="157"/>
      <c r="C42" s="831"/>
      <c r="D42" s="2370" t="s">
        <v>519</v>
      </c>
      <c r="E42" s="2371"/>
      <c r="F42" s="832" t="s">
        <v>520</v>
      </c>
      <c r="G42" s="833"/>
    </row>
    <row r="43" spans="1:7" ht="12" customHeight="1" x14ac:dyDescent="0.2">
      <c r="A43" s="817"/>
      <c r="B43" s="157"/>
      <c r="C43" s="831"/>
      <c r="D43" s="1507" t="s">
        <v>470</v>
      </c>
      <c r="E43" s="1860">
        <f>D41</f>
        <v>96831</v>
      </c>
      <c r="F43" s="1507" t="s">
        <v>470</v>
      </c>
      <c r="G43" s="1860">
        <f>F41</f>
        <v>529833</v>
      </c>
    </row>
    <row r="44" spans="1:7" ht="12" customHeight="1" x14ac:dyDescent="0.2">
      <c r="A44" s="817"/>
      <c r="B44" s="157"/>
      <c r="C44" s="831"/>
      <c r="D44" s="1507" t="s">
        <v>471</v>
      </c>
      <c r="E44" s="1860">
        <f>E41</f>
        <v>4481976</v>
      </c>
      <c r="F44" s="1507" t="s">
        <v>471</v>
      </c>
      <c r="G44" s="1860">
        <f>G41</f>
        <v>4048974</v>
      </c>
    </row>
    <row r="45" spans="1:7" ht="12" customHeight="1" x14ac:dyDescent="0.2">
      <c r="A45" s="817"/>
      <c r="B45" s="157"/>
      <c r="C45" s="157"/>
      <c r="D45" s="1508" t="s">
        <v>999</v>
      </c>
      <c r="E45" s="1861">
        <f>(E43/E44)</f>
        <v>2.1604533357608341E-2</v>
      </c>
      <c r="F45" s="1508" t="s">
        <v>999</v>
      </c>
      <c r="G45" s="1861">
        <f>(G43/G44)</f>
        <v>0.13085611317830145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O97"/>
  <sheetViews>
    <sheetView showGridLines="0" zoomScale="110" zoomScaleNormal="110" workbookViewId="0">
      <pane ySplit="4" topLeftCell="A10" activePane="bottomLeft" state="frozen"/>
      <selection activeCell="A7" sqref="A7:E7"/>
      <selection pane="bottomLeft" activeCell="D27" sqref="D27"/>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89" t="s">
        <v>1365</v>
      </c>
      <c r="B1" s="2389"/>
      <c r="C1" s="2389"/>
      <c r="D1" s="2389"/>
      <c r="E1" s="2389"/>
      <c r="F1" s="2389"/>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90" t="s">
        <v>1532</v>
      </c>
      <c r="B5" s="2391"/>
      <c r="C5" s="2392"/>
      <c r="D5" s="2392"/>
      <c r="E5" s="2392"/>
      <c r="F5" s="2392"/>
      <c r="G5" s="1556"/>
      <c r="L5" s="1556"/>
      <c r="M5" s="1913"/>
      <c r="N5" s="1913"/>
      <c r="O5" s="1913"/>
    </row>
    <row r="6" spans="1:15" ht="12" customHeight="1" x14ac:dyDescent="0.25">
      <c r="A6" s="1529"/>
      <c r="B6" s="1530"/>
      <c r="C6" s="2393" t="str">
        <f>COVER!A17</f>
        <v xml:space="preserve">  Dwight Common SD 232</v>
      </c>
      <c r="D6" s="2393"/>
      <c r="E6" s="2393"/>
      <c r="F6" s="1531"/>
      <c r="G6" s="1556"/>
      <c r="L6" s="1556"/>
      <c r="M6" s="1913"/>
      <c r="N6" s="1913"/>
      <c r="O6" s="1913"/>
    </row>
    <row r="7" spans="1:15" ht="11.25" customHeight="1" thickBot="1" x14ac:dyDescent="0.3">
      <c r="A7" s="1529"/>
      <c r="B7" s="1530"/>
      <c r="C7" s="2394">
        <f>COVER!A13</f>
        <v>17053232002</v>
      </c>
      <c r="D7" s="2394"/>
      <c r="E7" s="2394"/>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2031</v>
      </c>
      <c r="D26" s="1544" t="s">
        <v>2031</v>
      </c>
      <c r="E26" s="1547"/>
      <c r="F26" s="1546" t="s">
        <v>2039</v>
      </c>
      <c r="G26" s="1556"/>
      <c r="H26" s="1556">
        <f t="shared" si="0"/>
        <v>5</v>
      </c>
      <c r="I26" s="1556">
        <f t="shared" si="1"/>
        <v>5</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5</v>
      </c>
      <c r="I34" s="1556">
        <f>SUM(I11:I32)</f>
        <v>5</v>
      </c>
      <c r="J34" s="1556">
        <f>SUM(J11:J32)</f>
        <v>0</v>
      </c>
      <c r="K34" s="1556">
        <f>SUM(H34:J34)</f>
        <v>10</v>
      </c>
      <c r="L34" s="1556"/>
      <c r="M34" s="1913"/>
      <c r="N34" s="1913"/>
      <c r="O34" s="1913"/>
    </row>
    <row r="35" spans="1:15" ht="12" customHeight="1" x14ac:dyDescent="0.2">
      <c r="A35" s="1549" t="s">
        <v>1378</v>
      </c>
      <c r="B35" s="1550"/>
      <c r="C35" s="2395"/>
      <c r="D35" s="2395"/>
      <c r="E35" s="2395"/>
      <c r="F35" s="2396"/>
    </row>
    <row r="36" spans="1:15" ht="12" customHeight="1" x14ac:dyDescent="0.2">
      <c r="A36" s="2378"/>
      <c r="B36" s="2379"/>
      <c r="C36" s="2379"/>
      <c r="D36" s="2379"/>
      <c r="E36" s="2379"/>
      <c r="F36" s="2380"/>
    </row>
    <row r="37" spans="1:15" ht="12" customHeight="1" x14ac:dyDescent="0.2">
      <c r="A37" s="2378"/>
      <c r="B37" s="2379"/>
      <c r="C37" s="2379"/>
      <c r="D37" s="2379"/>
      <c r="E37" s="2379"/>
      <c r="F37" s="2380"/>
    </row>
    <row r="38" spans="1:15" ht="12" customHeight="1" x14ac:dyDescent="0.2">
      <c r="A38" s="2381"/>
      <c r="B38" s="2382"/>
      <c r="C38" s="2382"/>
      <c r="D38" s="2382"/>
      <c r="E38" s="2382"/>
      <c r="F38" s="2383"/>
    </row>
    <row r="39" spans="1:15" ht="4.5" hidden="1" customHeight="1" x14ac:dyDescent="0.2">
      <c r="A39" s="1551"/>
      <c r="B39" s="1551"/>
      <c r="C39" s="1551"/>
      <c r="D39" s="1551"/>
      <c r="E39" s="1551"/>
      <c r="F39" s="1551"/>
    </row>
    <row r="40" spans="1:15" s="1548" customFormat="1" ht="12" customHeight="1" x14ac:dyDescent="0.25">
      <c r="A40" s="1552" t="s">
        <v>1377</v>
      </c>
      <c r="B40" s="1553"/>
      <c r="C40" s="2384"/>
      <c r="D40" s="2384"/>
      <c r="E40" s="2384"/>
      <c r="F40" s="2385"/>
      <c r="H40" s="1557"/>
      <c r="I40" s="1557"/>
      <c r="J40" s="1557"/>
      <c r="K40" s="1557"/>
    </row>
    <row r="41" spans="1:15" s="1548" customFormat="1" ht="12" customHeight="1" x14ac:dyDescent="0.25">
      <c r="A41" s="2386"/>
      <c r="B41" s="2387"/>
      <c r="C41" s="2387"/>
      <c r="D41" s="2387"/>
      <c r="E41" s="2387"/>
      <c r="F41" s="2388"/>
      <c r="H41" s="1557"/>
      <c r="I41" s="1557"/>
      <c r="J41" s="1557"/>
      <c r="K41" s="1557"/>
    </row>
    <row r="42" spans="1:15" s="1548" customFormat="1" ht="12" customHeight="1" x14ac:dyDescent="0.25">
      <c r="A42" s="2386"/>
      <c r="B42" s="2387"/>
      <c r="C42" s="2387"/>
      <c r="D42" s="2387"/>
      <c r="E42" s="2387"/>
      <c r="F42" s="2388"/>
      <c r="H42" s="1557"/>
      <c r="I42" s="1557"/>
      <c r="J42" s="1557"/>
      <c r="K42" s="1557"/>
    </row>
    <row r="43" spans="1:15" s="1548" customFormat="1" ht="15" x14ac:dyDescent="0.25">
      <c r="A43" s="2375"/>
      <c r="B43" s="2376"/>
      <c r="C43" s="2376"/>
      <c r="D43" s="2376"/>
      <c r="E43" s="2376"/>
      <c r="F43" s="2377"/>
      <c r="H43" s="1557"/>
      <c r="I43" s="1557"/>
      <c r="J43" s="1557"/>
      <c r="K43" s="1557"/>
    </row>
    <row r="44" spans="1:15" s="1548" customFormat="1" ht="12" hidden="1" customHeight="1" x14ac:dyDescent="0.25">
      <c r="A44" s="2375"/>
      <c r="B44" s="2376"/>
      <c r="C44" s="2376"/>
      <c r="D44" s="2376"/>
      <c r="E44" s="2376"/>
      <c r="F44" s="2377"/>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I7" sqref="I7:S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6" t="s">
        <v>1058</v>
      </c>
      <c r="B35" s="2106"/>
      <c r="C35" s="2106"/>
      <c r="D35" s="2106"/>
      <c r="E35" s="210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3" t="s">
        <v>686</v>
      </c>
      <c r="B40" s="2103"/>
      <c r="C40" s="2103"/>
      <c r="D40" s="2103"/>
      <c r="E40" s="2103"/>
    </row>
    <row r="41" spans="1:5" x14ac:dyDescent="0.2">
      <c r="A41" s="2104" t="s">
        <v>1594</v>
      </c>
      <c r="B41" s="2104"/>
      <c r="C41" s="2104"/>
      <c r="D41" s="2104"/>
      <c r="E41" s="2104"/>
    </row>
    <row r="42" spans="1:5" ht="12.95" customHeight="1" x14ac:dyDescent="0.2">
      <c r="A42" s="2105" t="s">
        <v>1015</v>
      </c>
      <c r="B42" s="2105"/>
      <c r="C42" s="2105"/>
      <c r="D42" s="2105"/>
      <c r="E42" s="2105"/>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1999999999999993"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3"/>
  <sheetViews>
    <sheetView showGridLines="0" topLeftCell="A46" zoomScale="110" zoomScaleNormal="110" workbookViewId="0">
      <selection activeCell="B54" sqref="B54"/>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2040</v>
      </c>
    </row>
    <row r="6" spans="1:2" x14ac:dyDescent="0.2">
      <c r="A6" s="892">
        <v>2</v>
      </c>
      <c r="B6" s="307" t="s">
        <v>2041</v>
      </c>
    </row>
    <row r="7" spans="1:2" x14ac:dyDescent="0.2">
      <c r="A7" s="892">
        <v>3</v>
      </c>
      <c r="B7" s="307" t="s">
        <v>2042</v>
      </c>
    </row>
    <row r="8" spans="1:2" x14ac:dyDescent="0.2">
      <c r="A8" s="892">
        <v>4</v>
      </c>
      <c r="B8" s="307" t="s">
        <v>2043</v>
      </c>
    </row>
    <row r="9" spans="1:2" x14ac:dyDescent="0.2">
      <c r="A9" s="893">
        <v>5</v>
      </c>
      <c r="B9" s="307" t="s">
        <v>2044</v>
      </c>
    </row>
    <row r="10" spans="1:2" x14ac:dyDescent="0.2">
      <c r="A10" s="893">
        <v>6</v>
      </c>
      <c r="B10" s="307" t="s">
        <v>2045</v>
      </c>
    </row>
    <row r="11" spans="1:2" x14ac:dyDescent="0.2">
      <c r="A11" s="893"/>
    </row>
    <row r="12" spans="1:2" x14ac:dyDescent="0.2">
      <c r="A12" s="893"/>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c r="B62" s="253" t="str">
        <f>COVER!A17</f>
        <v xml:space="preserve">  Dwight Common SD 232</v>
      </c>
    </row>
    <row r="63" spans="1:2" x14ac:dyDescent="0.2">
      <c r="B63" s="894">
        <f>COVER!A13</f>
        <v>17053232002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topLeftCell="A16" colorId="8" zoomScale="110" zoomScaleNormal="110" workbookViewId="0">
      <selection activeCell="F9" sqref="F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95" customHeight="1" x14ac:dyDescent="0.2">
      <c r="B11" s="18" t="s">
        <v>940</v>
      </c>
      <c r="C11" s="16" t="s">
        <v>854</v>
      </c>
    </row>
    <row r="12" spans="1:4" ht="21.75" customHeight="1" x14ac:dyDescent="0.2">
      <c r="B12" s="18" t="s">
        <v>941</v>
      </c>
      <c r="C12" s="141" t="s">
        <v>1385</v>
      </c>
    </row>
    <row r="13" spans="1:4" s="19" customFormat="1" ht="12.95" customHeight="1" x14ac:dyDescent="0.2">
      <c r="B13" s="18" t="s">
        <v>909</v>
      </c>
      <c r="C13" s="16" t="s">
        <v>1119</v>
      </c>
    </row>
    <row r="14" spans="1:4" ht="21.75" customHeight="1" x14ac:dyDescent="0.2">
      <c r="B14" s="18" t="s">
        <v>910</v>
      </c>
      <c r="C14" s="16" t="s">
        <v>838</v>
      </c>
    </row>
    <row r="15" spans="1:4" ht="12.95" customHeight="1" x14ac:dyDescent="0.2">
      <c r="B15" s="139" t="s">
        <v>1316</v>
      </c>
      <c r="C15" s="138" t="s">
        <v>1317</v>
      </c>
    </row>
    <row r="16" spans="1:4" ht="12.95" customHeight="1" x14ac:dyDescent="0.2">
      <c r="C16" s="138" t="s">
        <v>1318</v>
      </c>
    </row>
    <row r="17" spans="3:3" ht="12.9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sheetPr>
  <dimension ref="A11:F18"/>
  <sheetViews>
    <sheetView showGridLines="0" topLeftCell="A4"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2" customHeight="1" x14ac:dyDescent="0.2">
      <c r="A16" s="897"/>
      <c r="B16" s="897" t="s">
        <v>1976</v>
      </c>
    </row>
    <row r="17" spans="1:2" ht="6" customHeight="1" x14ac:dyDescent="0.2"/>
    <row r="18" spans="1:2" ht="24.75" customHeight="1" x14ac:dyDescent="0.2">
      <c r="A18" s="2397" t="s">
        <v>1668</v>
      </c>
      <c r="B18" s="239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K7" sqref="K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95" customHeight="1" x14ac:dyDescent="0.2">
      <c r="A1" s="2398" t="s">
        <v>1672</v>
      </c>
      <c r="B1" s="2399"/>
      <c r="C1" s="2399"/>
      <c r="D1" s="2399"/>
      <c r="E1" s="2399"/>
      <c r="F1" s="2400"/>
    </row>
    <row r="2" spans="1:8" ht="45.2" customHeight="1" x14ac:dyDescent="0.2">
      <c r="A2" s="240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09"/>
      <c r="C2" s="2409"/>
      <c r="D2" s="2409"/>
      <c r="E2" s="2409"/>
      <c r="F2" s="2410"/>
      <c r="G2" s="898"/>
      <c r="H2" s="898"/>
    </row>
    <row r="3" spans="1:8" ht="57" customHeight="1" x14ac:dyDescent="0.2">
      <c r="A3" s="2411" t="s">
        <v>1975</v>
      </c>
      <c r="B3" s="2412"/>
      <c r="C3" s="2412"/>
      <c r="D3" s="2412"/>
      <c r="E3" s="2412"/>
      <c r="F3" s="2413"/>
      <c r="G3" s="898"/>
      <c r="H3" s="898"/>
    </row>
    <row r="4" spans="1:8" ht="14.25" customHeight="1" x14ac:dyDescent="0.2">
      <c r="A4" s="241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8"/>
      <c r="C4" s="2418"/>
      <c r="D4" s="2418"/>
      <c r="E4" s="2418"/>
      <c r="F4" s="2419"/>
      <c r="G4" s="898"/>
      <c r="H4" s="898"/>
    </row>
    <row r="5" spans="1:8" ht="14.25" customHeight="1" x14ac:dyDescent="0.2">
      <c r="A5" s="242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1"/>
      <c r="C5" s="2421"/>
      <c r="D5" s="2421"/>
      <c r="E5" s="2421"/>
      <c r="F5" s="2422"/>
      <c r="G5" s="898"/>
      <c r="H5" s="898"/>
    </row>
    <row r="6" spans="1:8" s="899" customFormat="1" ht="41.25" customHeight="1" x14ac:dyDescent="0.2">
      <c r="A6" s="2414" t="s">
        <v>1673</v>
      </c>
      <c r="B6" s="2415"/>
      <c r="C6" s="2415"/>
      <c r="D6" s="2415"/>
      <c r="E6" s="2415"/>
      <c r="F6" s="2416"/>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4519494</v>
      </c>
      <c r="C8" s="1871">
        <f>'Acct Summary 7-8'!D8</f>
        <v>365700</v>
      </c>
      <c r="D8" s="1871">
        <f>'Acct Summary 7-8'!F8</f>
        <v>342247</v>
      </c>
      <c r="E8" s="1871">
        <f>'Acct Summary 7-8'!I8</f>
        <v>62893</v>
      </c>
      <c r="F8" s="1871">
        <f>SUM(B8:E8)</f>
        <v>5290334</v>
      </c>
    </row>
    <row r="9" spans="1:8" s="903" customFormat="1" ht="14.25" customHeight="1" thickBot="1" x14ac:dyDescent="0.25">
      <c r="A9" s="902" t="s">
        <v>1355</v>
      </c>
      <c r="B9" s="1872">
        <f>'Acct Summary 7-8'!C17</f>
        <v>4159401</v>
      </c>
      <c r="C9" s="1872">
        <f>'Acct Summary 7-8'!D17</f>
        <v>713477</v>
      </c>
      <c r="D9" s="1872">
        <f>'Acct Summary 7-8'!F17</f>
        <v>187538</v>
      </c>
      <c r="E9" s="1871"/>
      <c r="F9" s="1871">
        <f>SUM(B9:E9)</f>
        <v>5060416</v>
      </c>
    </row>
    <row r="10" spans="1:8" s="903" customFormat="1" ht="14.25" thickTop="1" thickBot="1" x14ac:dyDescent="0.25">
      <c r="A10" s="904" t="s">
        <v>1356</v>
      </c>
      <c r="B10" s="1873">
        <f>(B8-B9)</f>
        <v>360093</v>
      </c>
      <c r="C10" s="1873">
        <f>(C8-C9)</f>
        <v>-347777</v>
      </c>
      <c r="D10" s="1873">
        <f>(D8-D9)</f>
        <v>154709</v>
      </c>
      <c r="E10" s="1872">
        <f>(E8-E9)</f>
        <v>62893</v>
      </c>
      <c r="F10" s="1874">
        <f>SUM(F8-F9)</f>
        <v>229918</v>
      </c>
    </row>
    <row r="11" spans="1:8" s="903" customFormat="1" ht="14.25" thickTop="1" thickBot="1" x14ac:dyDescent="0.25">
      <c r="A11" s="905" t="s">
        <v>1906</v>
      </c>
      <c r="B11" s="1875">
        <f>'Acct Summary 7-8'!C81</f>
        <v>1528841</v>
      </c>
      <c r="C11" s="1875">
        <f>'Acct Summary 7-8'!D81</f>
        <v>367995</v>
      </c>
      <c r="D11" s="1875">
        <f>'Acct Summary 7-8'!F81</f>
        <v>278762</v>
      </c>
      <c r="E11" s="1875">
        <f>'Acct Summary 7-8'!I81</f>
        <v>1143966</v>
      </c>
      <c r="F11" s="1876">
        <f>SUM(B11:E11)</f>
        <v>3319564</v>
      </c>
    </row>
    <row r="12" spans="1:8" ht="16.7" customHeight="1" thickTop="1" x14ac:dyDescent="0.2">
      <c r="A12" s="906"/>
      <c r="B12" s="907"/>
      <c r="C12" s="2402" t="str">
        <f>IF(AND(F10&lt;0,F11&gt;=0,ABS(F10*3)&gt;ABS(F11)),A16,IF(AND(F10&lt;0,F11&gt;0,ABS(F10*3)&lt;=ABS(F11)),A17,IF(AND(F10&lt;0,F11&lt;0),A16,IF(F11=0,A19,A18))))</f>
        <v>Balanced - no deficit reduction plan is required.</v>
      </c>
      <c r="D12" s="2403"/>
      <c r="E12" s="2403"/>
      <c r="F12" s="2404"/>
    </row>
    <row r="13" spans="1:8" ht="19.5" customHeight="1" x14ac:dyDescent="0.2">
      <c r="A13" s="908"/>
      <c r="B13" s="909"/>
      <c r="C13" s="2402"/>
      <c r="D13" s="2403"/>
      <c r="E13" s="2403"/>
      <c r="F13" s="2404"/>
      <c r="H13" s="898"/>
    </row>
    <row r="14" spans="1:8" ht="19.5" customHeight="1" x14ac:dyDescent="0.2">
      <c r="A14" s="908"/>
      <c r="B14" s="909"/>
      <c r="C14" s="2402"/>
      <c r="D14" s="2403"/>
      <c r="E14" s="2403"/>
      <c r="F14" s="2404"/>
      <c r="H14" s="898"/>
    </row>
    <row r="15" spans="1:8" ht="17.25" customHeight="1" x14ac:dyDescent="0.2">
      <c r="A15" s="908"/>
      <c r="B15" s="909"/>
      <c r="C15" s="2405"/>
      <c r="D15" s="2406"/>
      <c r="E15" s="2406"/>
      <c r="F15" s="2407"/>
      <c r="H15" s="898"/>
    </row>
    <row r="16" spans="1:8" s="288" customFormat="1" ht="51.75" hidden="1" customHeight="1" x14ac:dyDescent="0.2">
      <c r="A16" s="2401" t="s">
        <v>1669</v>
      </c>
      <c r="B16" s="2401"/>
      <c r="C16" s="2401"/>
      <c r="D16" s="2401"/>
      <c r="E16" s="2401"/>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B7" sqref="B7"/>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23" t="s">
        <v>660</v>
      </c>
      <c r="B3" s="2424"/>
      <c r="C3" s="2424"/>
      <c r="D3" s="2425"/>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4" t="s">
        <v>1490</v>
      </c>
      <c r="D7" s="2435"/>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6" t="s">
        <v>1001</v>
      </c>
      <c r="B15" s="2427"/>
      <c r="C15" s="2427"/>
      <c r="D15" s="2428"/>
    </row>
    <row r="16" spans="1:4" s="542" customFormat="1" ht="24" customHeight="1" x14ac:dyDescent="0.2">
      <c r="A16" s="2429" t="s">
        <v>658</v>
      </c>
      <c r="B16" s="2430"/>
      <c r="C16" s="2430"/>
      <c r="D16" s="2431"/>
    </row>
    <row r="17" spans="1:10" s="542" customFormat="1" ht="12.95" customHeight="1" x14ac:dyDescent="0.2">
      <c r="A17" s="980" t="s">
        <v>1675</v>
      </c>
      <c r="B17" s="981"/>
      <c r="C17" s="982"/>
      <c r="D17" s="983"/>
    </row>
    <row r="18" spans="1:10" s="542" customFormat="1" ht="12.9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38" t="s">
        <v>311</v>
      </c>
      <c r="D21" s="2439"/>
    </row>
    <row r="22" spans="1:10" ht="12.75" x14ac:dyDescent="0.2">
      <c r="A22" s="963"/>
      <c r="B22" s="964">
        <v>2</v>
      </c>
      <c r="C22" s="2436" t="s">
        <v>1510</v>
      </c>
      <c r="D22" s="2437"/>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75"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9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40" t="s">
        <v>533</v>
      </c>
      <c r="D43" s="2441"/>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32" t="s">
        <v>779</v>
      </c>
      <c r="D56" s="2433"/>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9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9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32" t="s">
        <v>1677</v>
      </c>
      <c r="D70" s="2433"/>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f>COVER!A13</f>
        <v>17053232002</v>
      </c>
      <c r="E2" s="1592">
        <v>2020</v>
      </c>
      <c r="F2" s="1592">
        <v>1</v>
      </c>
      <c r="G2" s="1962">
        <v>101000300</v>
      </c>
    </row>
    <row r="3" spans="1:7" ht="15" x14ac:dyDescent="0.25">
      <c r="A3" t="s">
        <v>950</v>
      </c>
      <c r="B3" s="135" t="str">
        <f>COVER!A15</f>
        <v>Livingston</v>
      </c>
      <c r="E3" s="1888" t="s">
        <v>1974</v>
      </c>
      <c r="F3" s="1888" t="s">
        <v>1973</v>
      </c>
      <c r="G3" s="1962">
        <v>101000400</v>
      </c>
    </row>
    <row r="4" spans="1:7" ht="15" x14ac:dyDescent="0.25">
      <c r="A4" t="s">
        <v>1000</v>
      </c>
      <c r="B4" s="135" t="str">
        <f>COVER!A17</f>
        <v xml:space="preserve">  Dwight Common SD 232</v>
      </c>
      <c r="E4" s="1886">
        <v>44119</v>
      </c>
      <c r="F4" s="1887">
        <v>44151</v>
      </c>
      <c r="G4" s="1962">
        <v>101000600</v>
      </c>
    </row>
    <row r="5" spans="1:7" ht="15" x14ac:dyDescent="0.25">
      <c r="A5" t="s">
        <v>699</v>
      </c>
      <c r="B5" s="135" t="str">
        <f>COVER!A38</f>
        <v>Dr. Richard Jancek</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066-004023</v>
      </c>
      <c r="G15" s="1962">
        <v>402100400</v>
      </c>
    </row>
    <row r="16" spans="1:7" ht="15" x14ac:dyDescent="0.25">
      <c r="A16" t="s">
        <v>419</v>
      </c>
      <c r="B16" s="135" t="str">
        <f>COVER!T13</f>
        <v>Wipfli LLP</v>
      </c>
      <c r="G16" s="1962">
        <v>402100600</v>
      </c>
    </row>
    <row r="17" spans="1:7" ht="15" x14ac:dyDescent="0.25">
      <c r="A17" t="s">
        <v>878</v>
      </c>
      <c r="B17" s="135" t="str">
        <f>COVER!T15</f>
        <v>Matthew Schueler</v>
      </c>
      <c r="G17" s="1962">
        <v>402100800</v>
      </c>
    </row>
    <row r="18" spans="1:7" ht="15" x14ac:dyDescent="0.25">
      <c r="A18" t="s">
        <v>1142</v>
      </c>
      <c r="B18" s="135" t="str">
        <f>COVER!T17</f>
        <v>403 East 3rd Street</v>
      </c>
      <c r="G18" s="1962">
        <v>102200300</v>
      </c>
    </row>
    <row r="19" spans="1:7" ht="15" x14ac:dyDescent="0.25">
      <c r="A19" t="s">
        <v>880</v>
      </c>
      <c r="B19" s="135" t="str">
        <f>COVER!T25</f>
        <v>mschueler@wipfli.com</v>
      </c>
      <c r="G19" s="1962">
        <v>102200400</v>
      </c>
    </row>
    <row r="20" spans="1:7" ht="15" x14ac:dyDescent="0.25">
      <c r="A20" t="s">
        <v>881</v>
      </c>
      <c r="B20" s="135" t="str">
        <f>COVER!T19</f>
        <v>Sterling</v>
      </c>
      <c r="G20" s="1962">
        <v>102200600</v>
      </c>
    </row>
    <row r="21" spans="1:7" ht="15" x14ac:dyDescent="0.25">
      <c r="A21" t="s">
        <v>476</v>
      </c>
      <c r="B21" s="135" t="str">
        <f>COVER!X19</f>
        <v>IL</v>
      </c>
      <c r="G21" s="1962">
        <v>102200800</v>
      </c>
    </row>
    <row r="22" spans="1:7" ht="15" x14ac:dyDescent="0.25">
      <c r="A22" t="s">
        <v>882</v>
      </c>
      <c r="B22" s="135">
        <f>COVER!Z19</f>
        <v>61081</v>
      </c>
      <c r="G22" s="1962">
        <v>102300300</v>
      </c>
    </row>
    <row r="23" spans="1:7" ht="15" x14ac:dyDescent="0.25">
      <c r="A23" t="s">
        <v>1144</v>
      </c>
      <c r="B23" s="135" t="str">
        <f>COVER!T21</f>
        <v>815-626-1277</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Yes</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1528841</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1528841</v>
      </c>
      <c r="D92" s="2" t="str">
        <f t="shared" si="0"/>
        <v>Error?</v>
      </c>
      <c r="G92" s="1962">
        <v>102640600</v>
      </c>
    </row>
    <row r="93" spans="1:7" ht="15" x14ac:dyDescent="0.25">
      <c r="A93" s="5">
        <v>32</v>
      </c>
      <c r="B93" s="1890">
        <f>'Assets-Liab 5-6'!C41</f>
        <v>1528841</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367995</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367995</v>
      </c>
      <c r="D123" s="2" t="str">
        <f t="shared" si="0"/>
        <v>Error?</v>
      </c>
      <c r="G123" s="1962">
        <v>203000400</v>
      </c>
    </row>
    <row r="124" spans="1:7" ht="15" x14ac:dyDescent="0.25">
      <c r="A124" s="5">
        <v>63</v>
      </c>
      <c r="B124" s="1890">
        <f>'Assets-Liab 5-6'!D41</f>
        <v>367995</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5805</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4953</v>
      </c>
      <c r="D140" s="2" t="str">
        <f t="shared" si="1"/>
        <v>Error?</v>
      </c>
    </row>
    <row r="141" spans="1:7" x14ac:dyDescent="0.2">
      <c r="A141" s="5">
        <v>80</v>
      </c>
      <c r="B141" s="1890">
        <f>'Assets-Liab 5-6'!E41</f>
        <v>5805</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278762</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278762</v>
      </c>
      <c r="D170" s="2" t="str">
        <f t="shared" si="1"/>
        <v>Error?</v>
      </c>
    </row>
    <row r="171" spans="1:4" x14ac:dyDescent="0.2">
      <c r="A171" s="5">
        <v>110</v>
      </c>
      <c r="B171" s="1890">
        <f>'Assets-Liab 5-6'!F41</f>
        <v>278762</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154650</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154650</v>
      </c>
      <c r="D189" s="2" t="str">
        <f t="shared" si="1"/>
        <v>Error?</v>
      </c>
    </row>
    <row r="190" spans="1:4" x14ac:dyDescent="0.2">
      <c r="A190" s="5">
        <v>129</v>
      </c>
      <c r="B190" s="1890">
        <f>'Assets-Liab 5-6'!G41</f>
        <v>154650</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30215</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115000</v>
      </c>
      <c r="C211" s="2" t="s">
        <v>569</v>
      </c>
      <c r="D211" s="2" t="str">
        <f t="shared" si="2"/>
        <v>Error?</v>
      </c>
    </row>
    <row r="212" spans="1:4" x14ac:dyDescent="0.2">
      <c r="A212" s="5">
        <v>151</v>
      </c>
      <c r="B212" s="1890">
        <f>'Assets-Liab 5-6'!H39</f>
        <v>-84785</v>
      </c>
      <c r="D212" s="2" t="str">
        <f t="shared" si="2"/>
        <v>Error?</v>
      </c>
    </row>
    <row r="213" spans="1:4" x14ac:dyDescent="0.2">
      <c r="A213" s="12">
        <v>152</v>
      </c>
      <c r="B213" s="1890">
        <f>'Assets-Liab 5-6'!H41</f>
        <v>30215</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73250</v>
      </c>
      <c r="D273" s="2" t="str">
        <f t="shared" si="3"/>
        <v>Error?</v>
      </c>
    </row>
    <row r="274" spans="1:4" x14ac:dyDescent="0.2">
      <c r="A274" s="5">
        <v>213</v>
      </c>
      <c r="B274" s="1890">
        <f>'Assets-Liab 5-6'!M17</f>
        <v>2251981</v>
      </c>
      <c r="D274" s="2" t="str">
        <f t="shared" si="3"/>
        <v>Error?</v>
      </c>
    </row>
    <row r="275" spans="1:4" x14ac:dyDescent="0.2">
      <c r="A275" s="5">
        <v>214</v>
      </c>
      <c r="B275" s="1890">
        <f>'Assets-Liab 5-6'!M18</f>
        <v>0</v>
      </c>
      <c r="D275" s="2" t="str">
        <f t="shared" si="3"/>
        <v>Error?</v>
      </c>
    </row>
    <row r="276" spans="1:4" x14ac:dyDescent="0.2">
      <c r="A276" s="5">
        <v>215</v>
      </c>
      <c r="B276" s="1890">
        <f>'Assets-Liab 5-6'!M19</f>
        <v>398978</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2724209</v>
      </c>
      <c r="C279" s="2" t="s">
        <v>569</v>
      </c>
      <c r="D279" s="2" t="str">
        <f t="shared" si="3"/>
        <v>Error?</v>
      </c>
    </row>
    <row r="280" spans="1:4" x14ac:dyDescent="0.2">
      <c r="A280" s="5">
        <v>219</v>
      </c>
      <c r="B280" s="1890">
        <f>'Assets-Liab 5-6'!M40</f>
        <v>2724209</v>
      </c>
      <c r="D280" s="2" t="str">
        <f t="shared" si="3"/>
        <v>Error?</v>
      </c>
    </row>
    <row r="281" spans="1:4" x14ac:dyDescent="0.2">
      <c r="A281" s="5">
        <v>220</v>
      </c>
      <c r="B281" s="1890">
        <f>'Assets-Liab 5-6'!M41</f>
        <v>2724209</v>
      </c>
      <c r="C281" s="2" t="s">
        <v>569</v>
      </c>
      <c r="D281" s="2" t="str">
        <f t="shared" si="3"/>
        <v>Error?</v>
      </c>
    </row>
    <row r="282" spans="1:4" x14ac:dyDescent="0.2">
      <c r="A282" s="5">
        <v>221</v>
      </c>
      <c r="B282" s="1890">
        <f>'Assets-Liab 5-6'!N21</f>
        <v>5805</v>
      </c>
      <c r="D282" s="2" t="str">
        <f t="shared" si="3"/>
        <v>Error?</v>
      </c>
    </row>
    <row r="283" spans="1:4" x14ac:dyDescent="0.2">
      <c r="A283" s="5">
        <v>222</v>
      </c>
      <c r="B283" s="1890">
        <f>'Assets-Liab 5-6'!N22</f>
        <v>204195</v>
      </c>
      <c r="D283" s="2" t="str">
        <f t="shared" si="3"/>
        <v>Error?</v>
      </c>
    </row>
    <row r="284" spans="1:4" x14ac:dyDescent="0.2">
      <c r="A284" s="5">
        <v>223</v>
      </c>
      <c r="B284" s="1890">
        <f>'Assets-Liab 5-6'!N23</f>
        <v>210000</v>
      </c>
      <c r="C284" s="2" t="s">
        <v>569</v>
      </c>
      <c r="D284" s="2" t="str">
        <f t="shared" si="3"/>
        <v>Error?</v>
      </c>
    </row>
    <row r="285" spans="1:4" x14ac:dyDescent="0.2">
      <c r="A285" s="5">
        <v>224</v>
      </c>
      <c r="B285" s="1890">
        <f>'Assets-Liab 5-6'!N36</f>
        <v>210000</v>
      </c>
      <c r="D285" s="2" t="str">
        <f t="shared" si="3"/>
        <v>Error?</v>
      </c>
    </row>
    <row r="286" spans="1:4" x14ac:dyDescent="0.2">
      <c r="A286" s="10">
        <v>225</v>
      </c>
      <c r="B286" s="1890"/>
      <c r="D286" s="2" t="str">
        <f t="shared" si="3"/>
        <v>OK</v>
      </c>
    </row>
    <row r="287" spans="1:4" x14ac:dyDescent="0.2">
      <c r="A287" s="5">
        <v>226</v>
      </c>
      <c r="B287" s="1890">
        <f>'Assets-Liab 5-6'!N37</f>
        <v>210000</v>
      </c>
      <c r="C287" s="2" t="s">
        <v>569</v>
      </c>
      <c r="D287" s="2" t="str">
        <f t="shared" si="3"/>
        <v>Error?</v>
      </c>
    </row>
    <row r="288" spans="1:4" x14ac:dyDescent="0.2">
      <c r="A288" s="5">
        <v>227</v>
      </c>
      <c r="B288" s="1890">
        <f>'Assets-Liab 5-6'!N41</f>
        <v>210000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3042</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1322743</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175657</v>
      </c>
      <c r="D718" s="2" t="str">
        <f t="shared" si="10"/>
        <v>Error?</v>
      </c>
    </row>
    <row r="719" spans="1:4" x14ac:dyDescent="0.2">
      <c r="A719" s="5">
        <v>658</v>
      </c>
      <c r="B719" s="1890">
        <f>'Expenditures 15-22'!C15</f>
        <v>1163</v>
      </c>
      <c r="D719" s="2" t="str">
        <f t="shared" si="10"/>
        <v>Error?</v>
      </c>
    </row>
    <row r="720" spans="1:4" x14ac:dyDescent="0.2">
      <c r="A720" s="5">
        <v>659</v>
      </c>
      <c r="B720" s="1890">
        <f>'Expenditures 15-22'!C33</f>
        <v>2370827</v>
      </c>
      <c r="C720" s="2" t="s">
        <v>569</v>
      </c>
      <c r="D720" s="2" t="str">
        <f t="shared" si="10"/>
        <v>Error?</v>
      </c>
    </row>
    <row r="721" spans="1:4" x14ac:dyDescent="0.2">
      <c r="A721" s="5">
        <v>660</v>
      </c>
      <c r="B721" s="1890">
        <f>'Expenditures 15-22'!C36</f>
        <v>29119</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18925</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48044</v>
      </c>
      <c r="C727" s="2" t="s">
        <v>569</v>
      </c>
      <c r="D727" s="2" t="str">
        <f t="shared" si="10"/>
        <v>Error?</v>
      </c>
    </row>
    <row r="728" spans="1:4" x14ac:dyDescent="0.2">
      <c r="A728" s="5">
        <v>667</v>
      </c>
      <c r="B728" s="1890">
        <f>'Expenditures 15-22'!C44</f>
        <v>0</v>
      </c>
      <c r="D728" s="2" t="str">
        <f t="shared" si="10"/>
        <v>Error?</v>
      </c>
    </row>
    <row r="729" spans="1:4" x14ac:dyDescent="0.2">
      <c r="A729" s="5">
        <v>668</v>
      </c>
      <c r="B729" s="1890">
        <f>'Expenditures 15-22'!C45</f>
        <v>11326</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11326</v>
      </c>
      <c r="C731" s="2" t="s">
        <v>569</v>
      </c>
      <c r="D731" s="2" t="str">
        <f t="shared" si="10"/>
        <v>Error?</v>
      </c>
    </row>
    <row r="732" spans="1:4" x14ac:dyDescent="0.2">
      <c r="A732" s="5">
        <v>671</v>
      </c>
      <c r="B732" s="1890">
        <f>'Expenditures 15-22'!C49</f>
        <v>2918</v>
      </c>
      <c r="D732" s="2" t="str">
        <f t="shared" si="10"/>
        <v>Error?</v>
      </c>
    </row>
    <row r="733" spans="1:4" x14ac:dyDescent="0.2">
      <c r="A733" s="5">
        <v>672</v>
      </c>
      <c r="B733" s="1890">
        <f>'Expenditures 15-22'!C50</f>
        <v>60115</v>
      </c>
      <c r="D733" s="2" t="str">
        <f t="shared" si="10"/>
        <v>Error?</v>
      </c>
    </row>
    <row r="734" spans="1:4" x14ac:dyDescent="0.2">
      <c r="A734" s="5">
        <v>673</v>
      </c>
      <c r="B734" s="1890">
        <f>'Expenditures 15-22'!C53</f>
        <v>63033</v>
      </c>
      <c r="C734" s="2" t="s">
        <v>569</v>
      </c>
      <c r="D734" s="2" t="str">
        <f t="shared" si="10"/>
        <v>Error?</v>
      </c>
    </row>
    <row r="735" spans="1:4" x14ac:dyDescent="0.2">
      <c r="A735" s="5">
        <v>674</v>
      </c>
      <c r="B735" s="1890">
        <f>'Expenditures 15-22'!C55</f>
        <v>210322</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210322</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47553</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0</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47553</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380278</v>
      </c>
      <c r="C755" s="2" t="s">
        <v>569</v>
      </c>
      <c r="D755" s="2" t="str">
        <f t="shared" si="10"/>
        <v>Error?</v>
      </c>
    </row>
    <row r="756" spans="1:4" x14ac:dyDescent="0.2">
      <c r="A756" s="5">
        <v>695</v>
      </c>
      <c r="B756" s="1890">
        <f>'Expenditures 15-22'!C75</f>
        <v>4643</v>
      </c>
      <c r="D756" s="2" t="str">
        <f t="shared" si="10"/>
        <v>Error?</v>
      </c>
    </row>
    <row r="757" spans="1:4" x14ac:dyDescent="0.2">
      <c r="A757" s="5">
        <v>696</v>
      </c>
      <c r="B757" s="1890">
        <f>'Expenditures 15-22'!C114</f>
        <v>2755748</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194720</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18027</v>
      </c>
      <c r="D776" s="2" t="str">
        <f t="shared" si="11"/>
        <v>Error?</v>
      </c>
    </row>
    <row r="777" spans="1:4" x14ac:dyDescent="0.2">
      <c r="A777" s="5">
        <v>716</v>
      </c>
      <c r="B777" s="1890">
        <f>'Expenditures 15-22'!D15</f>
        <v>15</v>
      </c>
      <c r="D777" s="2" t="str">
        <f t="shared" si="11"/>
        <v>Error?</v>
      </c>
    </row>
    <row r="778" spans="1:4" x14ac:dyDescent="0.2">
      <c r="A778" s="5">
        <v>717</v>
      </c>
      <c r="B778" s="1890">
        <f>'Expenditures 15-22'!D33</f>
        <v>411164</v>
      </c>
      <c r="C778" s="2" t="s">
        <v>569</v>
      </c>
      <c r="D778" s="2" t="str">
        <f t="shared" si="11"/>
        <v>Error?</v>
      </c>
    </row>
    <row r="779" spans="1:4" x14ac:dyDescent="0.2">
      <c r="A779" s="5">
        <v>718</v>
      </c>
      <c r="B779" s="1890">
        <f>'Expenditures 15-22'!D36</f>
        <v>5339</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4849</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10188</v>
      </c>
      <c r="C785" s="2" t="s">
        <v>569</v>
      </c>
      <c r="D785" s="2" t="str">
        <f t="shared" si="11"/>
        <v>Error?</v>
      </c>
    </row>
    <row r="786" spans="1:4" x14ac:dyDescent="0.2">
      <c r="A786" s="5">
        <v>725</v>
      </c>
      <c r="B786" s="1890">
        <f>'Expenditures 15-22'!D44</f>
        <v>11</v>
      </c>
      <c r="D786" s="2" t="str">
        <f t="shared" si="11"/>
        <v>Error?</v>
      </c>
    </row>
    <row r="787" spans="1:4" x14ac:dyDescent="0.2">
      <c r="A787" s="5">
        <v>726</v>
      </c>
      <c r="B787" s="1890">
        <f>'Expenditures 15-22'!D45</f>
        <v>6240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6251</v>
      </c>
      <c r="C789" s="2" t="s">
        <v>569</v>
      </c>
      <c r="D789" s="2" t="str">
        <f t="shared" si="11"/>
        <v>Error?</v>
      </c>
    </row>
    <row r="790" spans="1:4" x14ac:dyDescent="0.2">
      <c r="A790" s="5">
        <v>729</v>
      </c>
      <c r="B790" s="1890">
        <f>'Expenditures 15-22'!D49</f>
        <v>27</v>
      </c>
      <c r="D790" s="2" t="str">
        <f t="shared" si="11"/>
        <v>Error?</v>
      </c>
    </row>
    <row r="791" spans="1:4" x14ac:dyDescent="0.2">
      <c r="A791" s="5">
        <v>730</v>
      </c>
      <c r="B791" s="1890">
        <f>'Expenditures 15-22'!D50</f>
        <v>13569</v>
      </c>
      <c r="D791" s="2" t="str">
        <f t="shared" si="11"/>
        <v>Error?</v>
      </c>
    </row>
    <row r="792" spans="1:4" x14ac:dyDescent="0.2">
      <c r="A792" s="5">
        <v>731</v>
      </c>
      <c r="B792" s="1890">
        <f>'Expenditures 15-22'!D53</f>
        <v>13596</v>
      </c>
      <c r="C792" s="2" t="s">
        <v>569</v>
      </c>
      <c r="D792" s="2" t="str">
        <f t="shared" si="11"/>
        <v>Error?</v>
      </c>
    </row>
    <row r="793" spans="1:4" x14ac:dyDescent="0.2">
      <c r="A793" s="5">
        <v>732</v>
      </c>
      <c r="B793" s="1890">
        <f>'Expenditures 15-22'!D55</f>
        <v>48705</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48705</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7722</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7722</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86462</v>
      </c>
      <c r="C813" s="2" t="s">
        <v>569</v>
      </c>
      <c r="D813" s="2" t="str">
        <f t="shared" si="11"/>
        <v>Error?</v>
      </c>
    </row>
    <row r="814" spans="1:4" x14ac:dyDescent="0.2">
      <c r="A814" s="5">
        <v>753</v>
      </c>
      <c r="B814" s="1890">
        <f>'Expenditures 15-22'!D75</f>
        <v>64</v>
      </c>
      <c r="D814" s="2" t="str">
        <f t="shared" si="11"/>
        <v>Error?</v>
      </c>
    </row>
    <row r="815" spans="1:4" x14ac:dyDescent="0.2">
      <c r="A815" s="5">
        <v>754</v>
      </c>
      <c r="B815" s="1890">
        <f>'Expenditures 15-22'!D114</f>
        <v>497690</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0</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1134</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9542</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13504</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94734</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94734</v>
      </c>
      <c r="C843" s="2" t="s">
        <v>569</v>
      </c>
      <c r="D843" s="2" t="str">
        <f t="shared" si="12"/>
        <v>Error?</v>
      </c>
    </row>
    <row r="844" spans="1:4" x14ac:dyDescent="0.2">
      <c r="A844" s="5">
        <v>783</v>
      </c>
      <c r="B844" s="1890">
        <f>'Expenditures 15-22'!E44</f>
        <v>19888</v>
      </c>
      <c r="D844" s="2" t="str">
        <f t="shared" si="12"/>
        <v>Error?</v>
      </c>
    </row>
    <row r="845" spans="1:4" x14ac:dyDescent="0.2">
      <c r="A845" s="5">
        <v>784</v>
      </c>
      <c r="B845" s="1890">
        <f>'Expenditures 15-22'!E45</f>
        <v>92195</v>
      </c>
      <c r="D845" s="2" t="str">
        <f t="shared" si="12"/>
        <v>Error?</v>
      </c>
    </row>
    <row r="846" spans="1:4" x14ac:dyDescent="0.2">
      <c r="A846" s="5">
        <v>785</v>
      </c>
      <c r="B846" s="1890">
        <f>'Expenditures 15-22'!E46</f>
        <v>12941</v>
      </c>
      <c r="D846" s="2" t="str">
        <f t="shared" si="12"/>
        <v>Error?</v>
      </c>
    </row>
    <row r="847" spans="1:4" x14ac:dyDescent="0.2">
      <c r="A847" s="5">
        <v>786</v>
      </c>
      <c r="B847" s="1890">
        <f>'Expenditures 15-22'!E47</f>
        <v>125024</v>
      </c>
      <c r="C847" s="2" t="s">
        <v>569</v>
      </c>
      <c r="D847" s="2" t="str">
        <f t="shared" si="12"/>
        <v>Error?</v>
      </c>
    </row>
    <row r="848" spans="1:4" x14ac:dyDescent="0.2">
      <c r="A848" s="5">
        <v>787</v>
      </c>
      <c r="B848" s="1890">
        <f>'Expenditures 15-22'!E49</f>
        <v>2483</v>
      </c>
      <c r="D848" s="2" t="str">
        <f t="shared" si="12"/>
        <v>Error?</v>
      </c>
    </row>
    <row r="849" spans="1:4" x14ac:dyDescent="0.2">
      <c r="A849" s="5">
        <v>788</v>
      </c>
      <c r="B849" s="1890">
        <f>'Expenditures 15-22'!E50</f>
        <v>480</v>
      </c>
      <c r="D849" s="2" t="str">
        <f t="shared" si="12"/>
        <v>Error?</v>
      </c>
    </row>
    <row r="850" spans="1:4" x14ac:dyDescent="0.2">
      <c r="A850" s="5">
        <v>789</v>
      </c>
      <c r="B850" s="1890">
        <f>'Expenditures 15-22'!E53</f>
        <v>2963</v>
      </c>
      <c r="C850" s="2" t="s">
        <v>569</v>
      </c>
      <c r="D850" s="2" t="str">
        <f t="shared" si="12"/>
        <v>Error?</v>
      </c>
    </row>
    <row r="851" spans="1:4" x14ac:dyDescent="0.2">
      <c r="A851" s="5">
        <v>790</v>
      </c>
      <c r="B851" s="1890">
        <f>'Expenditures 15-22'!E55</f>
        <v>246</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246</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0</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6801</v>
      </c>
      <c r="D857" s="2" t="str">
        <f t="shared" si="12"/>
        <v>Error?</v>
      </c>
    </row>
    <row r="858" spans="1:4" x14ac:dyDescent="0.2">
      <c r="A858" s="5">
        <v>797</v>
      </c>
      <c r="B858" s="1890">
        <f>'Expenditures 15-22'!E63</f>
        <v>131408</v>
      </c>
      <c r="D858" s="2" t="str">
        <f t="shared" si="12"/>
        <v>Error?</v>
      </c>
    </row>
    <row r="859" spans="1:4" x14ac:dyDescent="0.2">
      <c r="A859" s="5">
        <v>798</v>
      </c>
      <c r="B859" s="1890">
        <f>'Expenditures 15-22'!E64</f>
        <v>32152</v>
      </c>
      <c r="D859" s="2" t="str">
        <f t="shared" si="12"/>
        <v>Error?</v>
      </c>
    </row>
    <row r="860" spans="1:4" x14ac:dyDescent="0.2">
      <c r="A860" s="10">
        <v>799</v>
      </c>
      <c r="B860" s="1890"/>
      <c r="D860" s="2" t="str">
        <f t="shared" si="12"/>
        <v>OK</v>
      </c>
    </row>
    <row r="861" spans="1:4" x14ac:dyDescent="0.2">
      <c r="A861" s="5">
        <v>800</v>
      </c>
      <c r="B861" s="1890">
        <f>'Expenditures 15-22'!E65</f>
        <v>170361</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393328</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506121</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21991</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4081</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94049</v>
      </c>
      <c r="C894" s="2" t="s">
        <v>569</v>
      </c>
      <c r="D894" s="2" t="str">
        <f t="shared" si="12"/>
        <v>Error?</v>
      </c>
    </row>
    <row r="895" spans="1:4" x14ac:dyDescent="0.2">
      <c r="A895" s="5">
        <v>834</v>
      </c>
      <c r="B895" s="1890">
        <f>'Expenditures 15-22'!F36</f>
        <v>242</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800</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1042</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87870</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87870</v>
      </c>
      <c r="C905" s="2" t="s">
        <v>569</v>
      </c>
      <c r="D905" s="2" t="str">
        <f t="shared" si="13"/>
        <v>Error?</v>
      </c>
    </row>
    <row r="906" spans="1:4" x14ac:dyDescent="0.2">
      <c r="A906" s="5">
        <v>845</v>
      </c>
      <c r="B906" s="1890">
        <f>'Expenditures 15-22'!F49</f>
        <v>6125</v>
      </c>
      <c r="D906" s="2" t="str">
        <f t="shared" si="13"/>
        <v>Error?</v>
      </c>
    </row>
    <row r="907" spans="1:4" x14ac:dyDescent="0.2">
      <c r="A907" s="5">
        <v>846</v>
      </c>
      <c r="B907" s="1890">
        <f>'Expenditures 15-22'!F50</f>
        <v>0</v>
      </c>
      <c r="D907" s="2" t="str">
        <f t="shared" si="13"/>
        <v>Error?</v>
      </c>
    </row>
    <row r="908" spans="1:4" x14ac:dyDescent="0.2">
      <c r="A908" s="5">
        <v>847</v>
      </c>
      <c r="B908" s="1890">
        <f>'Expenditures 15-22'!F53</f>
        <v>6125</v>
      </c>
      <c r="C908" s="2" t="s">
        <v>569</v>
      </c>
      <c r="D908" s="2" t="str">
        <f t="shared" si="13"/>
        <v>Error?</v>
      </c>
    </row>
    <row r="909" spans="1:4" x14ac:dyDescent="0.2">
      <c r="A909" s="5">
        <v>848</v>
      </c>
      <c r="B909" s="1890">
        <f>'Expenditures 15-22'!F55</f>
        <v>16517</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16517</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54</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5882</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5936</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117490</v>
      </c>
      <c r="C929" s="2" t="s">
        <v>569</v>
      </c>
      <c r="D929" s="2" t="str">
        <f t="shared" si="13"/>
        <v>Error?</v>
      </c>
    </row>
    <row r="930" spans="1:4" x14ac:dyDescent="0.2">
      <c r="A930" s="5">
        <v>869</v>
      </c>
      <c r="B930" s="1890">
        <f>'Expenditures 15-22'!F75</f>
        <v>1998</v>
      </c>
      <c r="D930" s="2" t="str">
        <f t="shared" si="13"/>
        <v>Error?</v>
      </c>
    </row>
    <row r="931" spans="1:4" x14ac:dyDescent="0.2">
      <c r="A931" s="5">
        <v>870</v>
      </c>
      <c r="B931" s="1890">
        <f>'Expenditures 15-22'!F114</f>
        <v>213537</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7263</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13636</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22191</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22191</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22191</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35827</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3810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4182</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3497</v>
      </c>
      <c r="D1022" s="2" t="str">
        <f t="shared" si="14"/>
        <v>Error?</v>
      </c>
    </row>
    <row r="1023" spans="1:4" x14ac:dyDescent="0.2">
      <c r="A1023" s="5">
        <v>962</v>
      </c>
      <c r="B1023" s="1890">
        <f>'Expenditures 15-22'!H50</f>
        <v>372</v>
      </c>
      <c r="D1023" s="2" t="str">
        <f t="shared" ref="D1023:D1086" si="15">IF(ISBLANK(B1023),"OK",IF(A1023-B1023=0,"OK","Error?"))</f>
        <v>Error?</v>
      </c>
    </row>
    <row r="1024" spans="1:4" x14ac:dyDescent="0.2">
      <c r="A1024" s="5">
        <v>963</v>
      </c>
      <c r="B1024" s="1890">
        <f>'Expenditures 15-22'!H53</f>
        <v>3869</v>
      </c>
      <c r="C1024" s="2" t="s">
        <v>569</v>
      </c>
      <c r="D1024" s="2" t="str">
        <f t="shared" si="15"/>
        <v>Error?</v>
      </c>
    </row>
    <row r="1025" spans="1:4" x14ac:dyDescent="0.2">
      <c r="A1025" s="5">
        <v>964</v>
      </c>
      <c r="B1025" s="1890">
        <f>'Expenditures 15-22'!H55</f>
        <v>697</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697</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1893</v>
      </c>
      <c r="D1033" s="2" t="str">
        <f t="shared" si="15"/>
        <v>Error?</v>
      </c>
    </row>
    <row r="1034" spans="1:4" x14ac:dyDescent="0.2">
      <c r="A1034" s="10">
        <v>973</v>
      </c>
      <c r="B1034" s="1890"/>
      <c r="D1034" s="2" t="str">
        <f t="shared" si="15"/>
        <v>OK</v>
      </c>
    </row>
    <row r="1035" spans="1:4" x14ac:dyDescent="0.2">
      <c r="A1035" s="5">
        <v>974</v>
      </c>
      <c r="B1035" s="1890">
        <f>'Expenditures 15-22'!H65</f>
        <v>1893</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6459</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139837</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150478</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1539454</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1134</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218380</v>
      </c>
      <c r="C1106" s="2" t="s">
        <v>569</v>
      </c>
      <c r="D1106" s="2" t="str">
        <f t="shared" si="16"/>
        <v>Error?</v>
      </c>
    </row>
    <row r="1107" spans="1:4" x14ac:dyDescent="0.2">
      <c r="A1107" s="5">
        <v>1046</v>
      </c>
      <c r="B1107" s="1890">
        <f>'Expenditures 15-22'!K15</f>
        <v>1178</v>
      </c>
      <c r="C1107" s="2" t="s">
        <v>569</v>
      </c>
      <c r="D1107" s="2" t="str">
        <f t="shared" si="16"/>
        <v>Error?</v>
      </c>
    </row>
    <row r="1108" spans="1:4" x14ac:dyDescent="0.2">
      <c r="A1108" s="5">
        <v>1047</v>
      </c>
      <c r="B1108" s="1890">
        <f>'Expenditures 15-22'!K33</f>
        <v>2907362</v>
      </c>
      <c r="C1108" s="2" t="s">
        <v>569</v>
      </c>
      <c r="D1108" s="2" t="str">
        <f t="shared" si="16"/>
        <v>Error?</v>
      </c>
    </row>
    <row r="1109" spans="1:4" x14ac:dyDescent="0.2">
      <c r="A1109" s="5">
        <v>1048</v>
      </c>
      <c r="B1109" s="1890">
        <f>'Expenditures 15-22'!K36</f>
        <v>34700</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24574</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94734</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154008</v>
      </c>
      <c r="C1115" s="2" t="s">
        <v>569</v>
      </c>
      <c r="D1115" s="2" t="str">
        <f t="shared" si="16"/>
        <v>Error?</v>
      </c>
    </row>
    <row r="1116" spans="1:4" x14ac:dyDescent="0.2">
      <c r="A1116" s="5">
        <v>1055</v>
      </c>
      <c r="B1116" s="1890">
        <f>'Expenditures 15-22'!K44</f>
        <v>19899</v>
      </c>
      <c r="C1116" s="2" t="s">
        <v>569</v>
      </c>
      <c r="D1116" s="2" t="str">
        <f t="shared" si="16"/>
        <v>Error?</v>
      </c>
    </row>
    <row r="1117" spans="1:4" x14ac:dyDescent="0.2">
      <c r="A1117" s="5">
        <v>1056</v>
      </c>
      <c r="B1117" s="1890">
        <f>'Expenditures 15-22'!K45</f>
        <v>219822</v>
      </c>
      <c r="C1117" s="2" t="s">
        <v>569</v>
      </c>
      <c r="D1117" s="2" t="str">
        <f t="shared" si="16"/>
        <v>Error?</v>
      </c>
    </row>
    <row r="1118" spans="1:4" x14ac:dyDescent="0.2">
      <c r="A1118" s="5">
        <v>1057</v>
      </c>
      <c r="B1118" s="1890">
        <f>'Expenditures 15-22'!K46</f>
        <v>12941</v>
      </c>
      <c r="C1118" s="2" t="s">
        <v>569</v>
      </c>
      <c r="D1118" s="2" t="str">
        <f t="shared" si="16"/>
        <v>Error?</v>
      </c>
    </row>
    <row r="1119" spans="1:4" x14ac:dyDescent="0.2">
      <c r="A1119" s="5">
        <v>1058</v>
      </c>
      <c r="B1119" s="1890">
        <f>'Expenditures 15-22'!K47</f>
        <v>252662</v>
      </c>
      <c r="C1119" s="2" t="s">
        <v>569</v>
      </c>
      <c r="D1119" s="2" t="str">
        <f t="shared" si="16"/>
        <v>Error?</v>
      </c>
    </row>
    <row r="1120" spans="1:4" x14ac:dyDescent="0.2">
      <c r="A1120" s="5">
        <v>1059</v>
      </c>
      <c r="B1120" s="1890">
        <f>'Expenditures 15-22'!K49</f>
        <v>15050</v>
      </c>
      <c r="C1120" s="2" t="s">
        <v>569</v>
      </c>
      <c r="D1120" s="2" t="str">
        <f t="shared" si="16"/>
        <v>Error?</v>
      </c>
    </row>
    <row r="1121" spans="1:4" x14ac:dyDescent="0.2">
      <c r="A1121" s="5">
        <v>1060</v>
      </c>
      <c r="B1121" s="1890">
        <f>'Expenditures 15-22'!K50</f>
        <v>74536</v>
      </c>
      <c r="C1121" s="2" t="s">
        <v>569</v>
      </c>
      <c r="D1121" s="2" t="str">
        <f t="shared" si="16"/>
        <v>Error?</v>
      </c>
    </row>
    <row r="1122" spans="1:4" x14ac:dyDescent="0.2">
      <c r="A1122" s="5">
        <v>1061</v>
      </c>
      <c r="B1122" s="1890">
        <f>'Expenditures 15-22'!K53</f>
        <v>89586</v>
      </c>
      <c r="C1122" s="2" t="s">
        <v>569</v>
      </c>
      <c r="D1122" s="2" t="str">
        <f t="shared" si="16"/>
        <v>Error?</v>
      </c>
    </row>
    <row r="1123" spans="1:4" x14ac:dyDescent="0.2">
      <c r="A1123" s="5">
        <v>1062</v>
      </c>
      <c r="B1123" s="1890">
        <f>'Expenditures 15-22'!K55</f>
        <v>276487</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276487</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55329</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6801</v>
      </c>
      <c r="C1129" s="2" t="s">
        <v>569</v>
      </c>
      <c r="D1129" s="2" t="str">
        <f t="shared" si="16"/>
        <v>Error?</v>
      </c>
    </row>
    <row r="1130" spans="1:4" x14ac:dyDescent="0.2">
      <c r="A1130" s="5">
        <v>1069</v>
      </c>
      <c r="B1130" s="1890">
        <f>'Expenditures 15-22'!K63</f>
        <v>137290</v>
      </c>
      <c r="C1130" s="2" t="s">
        <v>569</v>
      </c>
      <c r="D1130" s="2" t="str">
        <f t="shared" si="16"/>
        <v>Error?</v>
      </c>
    </row>
    <row r="1131" spans="1:4" x14ac:dyDescent="0.2">
      <c r="A1131" s="5">
        <v>1070</v>
      </c>
      <c r="B1131" s="1890">
        <f>'Expenditures 15-22'!K64</f>
        <v>34045</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233465</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1006208</v>
      </c>
      <c r="C1143" s="2" t="s">
        <v>569</v>
      </c>
      <c r="D1143" s="2" t="str">
        <f t="shared" si="16"/>
        <v>Error?</v>
      </c>
    </row>
    <row r="1144" spans="1:4" x14ac:dyDescent="0.2">
      <c r="A1144" s="5">
        <v>1083</v>
      </c>
      <c r="B1144" s="1890">
        <f>'Expenditures 15-22'!K75</f>
        <v>6705</v>
      </c>
      <c r="C1144" s="2" t="s">
        <v>569</v>
      </c>
      <c r="D1144" s="2" t="str">
        <f t="shared" si="16"/>
        <v>Error?</v>
      </c>
    </row>
    <row r="1145" spans="1:4" x14ac:dyDescent="0.2">
      <c r="A1145" s="5">
        <v>1084</v>
      </c>
      <c r="B1145" s="1890">
        <f>'Expenditures 15-22'!K102</f>
        <v>239126</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4159401</v>
      </c>
      <c r="C1152" s="2" t="s">
        <v>569</v>
      </c>
      <c r="D1152" s="2" t="str">
        <f t="shared" si="17"/>
        <v>Error?</v>
      </c>
    </row>
    <row r="1153" spans="1:4" x14ac:dyDescent="0.2">
      <c r="A1153" s="5">
        <v>1092</v>
      </c>
      <c r="B1153" s="1890">
        <f>'Expenditures 15-22'!K115</f>
        <v>360093</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191634</v>
      </c>
      <c r="D1221" s="2" t="str">
        <f t="shared" si="18"/>
        <v>Error?</v>
      </c>
    </row>
    <row r="1222" spans="1:4" x14ac:dyDescent="0.2">
      <c r="A1222" s="10">
        <v>1161</v>
      </c>
      <c r="B1222" s="1890"/>
      <c r="D1222" s="2" t="str">
        <f t="shared" si="18"/>
        <v>OK</v>
      </c>
    </row>
    <row r="1223" spans="1:4" x14ac:dyDescent="0.2">
      <c r="A1223" s="5">
        <v>1162</v>
      </c>
      <c r="B1223" s="1890">
        <f>'Expenditures 15-22'!C127</f>
        <v>191634</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191634</v>
      </c>
      <c r="C1225" s="2" t="s">
        <v>569</v>
      </c>
      <c r="D1225" s="2" t="str">
        <f t="shared" si="18"/>
        <v>Error?</v>
      </c>
    </row>
    <row r="1226" spans="1:4" x14ac:dyDescent="0.2">
      <c r="A1226" s="5">
        <v>1165</v>
      </c>
      <c r="B1226" s="1890">
        <f>'Expenditures 15-22'!C151</f>
        <v>191634</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31385</v>
      </c>
      <c r="D1229" s="2" t="str">
        <f t="shared" si="18"/>
        <v>Error?</v>
      </c>
    </row>
    <row r="1230" spans="1:4" x14ac:dyDescent="0.2">
      <c r="A1230" s="10">
        <v>1169</v>
      </c>
      <c r="B1230" s="1890"/>
      <c r="D1230" s="2" t="str">
        <f t="shared" si="18"/>
        <v>OK</v>
      </c>
    </row>
    <row r="1231" spans="1:4" x14ac:dyDescent="0.2">
      <c r="A1231" s="5">
        <v>1170</v>
      </c>
      <c r="B1231" s="1890">
        <f>'Expenditures 15-22'!D127</f>
        <v>31385</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31385</v>
      </c>
      <c r="C1233" s="2" t="s">
        <v>569</v>
      </c>
      <c r="D1233" s="2" t="str">
        <f t="shared" si="18"/>
        <v>Error?</v>
      </c>
    </row>
    <row r="1234" spans="1:4" x14ac:dyDescent="0.2">
      <c r="A1234" s="5">
        <v>1173</v>
      </c>
      <c r="B1234" s="1890">
        <f>'Expenditures 15-22'!D151</f>
        <v>31385</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59148</v>
      </c>
      <c r="D1237" s="2" t="str">
        <f t="shared" si="18"/>
        <v>Error?</v>
      </c>
    </row>
    <row r="1238" spans="1:4" x14ac:dyDescent="0.2">
      <c r="A1238" s="10">
        <v>1177</v>
      </c>
      <c r="B1238" s="1890"/>
      <c r="D1238" s="2" t="str">
        <f t="shared" si="18"/>
        <v>OK</v>
      </c>
    </row>
    <row r="1239" spans="1:4" x14ac:dyDescent="0.2">
      <c r="A1239" s="5">
        <v>1178</v>
      </c>
      <c r="B1239" s="1890">
        <f>'Expenditures 15-22'!E127</f>
        <v>59148</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59148</v>
      </c>
      <c r="C1241" s="2" t="s">
        <v>569</v>
      </c>
      <c r="D1241" s="2" t="str">
        <f t="shared" si="18"/>
        <v>Error?</v>
      </c>
    </row>
    <row r="1242" spans="1:4" x14ac:dyDescent="0.2">
      <c r="A1242" s="5">
        <v>1181</v>
      </c>
      <c r="B1242" s="1890">
        <f>'Expenditures 15-22'!E151</f>
        <v>59148</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123366</v>
      </c>
      <c r="D1245" s="2" t="str">
        <f t="shared" si="18"/>
        <v>Error?</v>
      </c>
    </row>
    <row r="1246" spans="1:4" x14ac:dyDescent="0.2">
      <c r="A1246" s="10">
        <v>1185</v>
      </c>
      <c r="B1246" s="1890"/>
      <c r="D1246" s="2" t="str">
        <f t="shared" si="18"/>
        <v>OK</v>
      </c>
    </row>
    <row r="1247" spans="1:4" x14ac:dyDescent="0.2">
      <c r="A1247" s="5">
        <v>1186</v>
      </c>
      <c r="B1247" s="1890">
        <f>'Expenditures 15-22'!F127</f>
        <v>123366</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123366</v>
      </c>
      <c r="C1249" s="2" t="s">
        <v>569</v>
      </c>
      <c r="D1249" s="2" t="str">
        <f t="shared" si="18"/>
        <v>Error?</v>
      </c>
    </row>
    <row r="1250" spans="1:4" x14ac:dyDescent="0.2">
      <c r="A1250" s="5">
        <v>1189</v>
      </c>
      <c r="B1250" s="1890">
        <f>'Expenditures 15-22'!F151</f>
        <v>123366</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250000</v>
      </c>
      <c r="D1252" s="2" t="str">
        <f t="shared" si="18"/>
        <v>Error?</v>
      </c>
    </row>
    <row r="1253" spans="1:4" x14ac:dyDescent="0.2">
      <c r="A1253" s="5">
        <v>1192</v>
      </c>
      <c r="B1253" s="1890">
        <f>'Expenditures 15-22'!G124</f>
        <v>57594</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307594</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307594</v>
      </c>
      <c r="C1258" s="2" t="s">
        <v>569</v>
      </c>
      <c r="D1258" s="2" t="str">
        <f t="shared" si="18"/>
        <v>Error?</v>
      </c>
    </row>
    <row r="1259" spans="1:4" x14ac:dyDescent="0.2">
      <c r="A1259" s="5">
        <v>1198</v>
      </c>
      <c r="B1259" s="1890">
        <f>'Expenditures 15-22'!G151</f>
        <v>307594</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350</v>
      </c>
      <c r="D1270" s="2" t="str">
        <f t="shared" si="18"/>
        <v>Error?</v>
      </c>
    </row>
    <row r="1271" spans="1:4" x14ac:dyDescent="0.2">
      <c r="A1271" s="10">
        <v>1210</v>
      </c>
      <c r="B1271" s="1890"/>
      <c r="D1271" s="2" t="str">
        <f t="shared" si="18"/>
        <v>OK</v>
      </c>
    </row>
    <row r="1272" spans="1:4" x14ac:dyDescent="0.2">
      <c r="A1272" s="5">
        <v>1211</v>
      </c>
      <c r="B1272" s="1890">
        <f>'Expenditures 15-22'!H149</f>
        <v>350</v>
      </c>
      <c r="C1272" s="2" t="s">
        <v>569</v>
      </c>
      <c r="D1272" s="2" t="str">
        <f t="shared" si="18"/>
        <v>Error?</v>
      </c>
    </row>
    <row r="1273" spans="1:4" x14ac:dyDescent="0.2">
      <c r="A1273" s="5">
        <v>1212</v>
      </c>
      <c r="B1273" s="1890">
        <f>'Expenditures 15-22'!H151</f>
        <v>350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250000</v>
      </c>
      <c r="C1275" s="2" t="s">
        <v>569</v>
      </c>
      <c r="D1275" s="2" t="str">
        <f t="shared" si="18"/>
        <v>Error?</v>
      </c>
    </row>
    <row r="1276" spans="1:4" x14ac:dyDescent="0.2">
      <c r="A1276" s="5">
        <v>1215</v>
      </c>
      <c r="B1276" s="1890">
        <f>'Expenditures 15-22'!K124</f>
        <v>463127</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713127</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713127</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350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350</v>
      </c>
      <c r="C1287" s="2" t="s">
        <v>569</v>
      </c>
      <c r="D1287" s="2" t="str">
        <f t="shared" si="19"/>
        <v>Error?</v>
      </c>
    </row>
    <row r="1288" spans="1:4" x14ac:dyDescent="0.2">
      <c r="A1288" s="5">
        <v>1227</v>
      </c>
      <c r="B1288" s="1890">
        <f>'Expenditures 15-22'!K151</f>
        <v>713477</v>
      </c>
      <c r="C1288" s="2" t="s">
        <v>569</v>
      </c>
      <c r="D1288" s="2" t="str">
        <f t="shared" si="19"/>
        <v>Error?</v>
      </c>
    </row>
    <row r="1289" spans="1:4" x14ac:dyDescent="0.2">
      <c r="A1289" s="5">
        <v>1228</v>
      </c>
      <c r="B1289" s="1890">
        <f>'Expenditures 15-22'!K152</f>
        <v>-347777</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8443</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205000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213443</v>
      </c>
      <c r="C1317" s="2" t="s">
        <v>569</v>
      </c>
      <c r="D1317" s="2" t="str">
        <f t="shared" si="19"/>
        <v>Error?</v>
      </c>
    </row>
    <row r="1318" spans="1:4" x14ac:dyDescent="0.2">
      <c r="A1318" s="5">
        <v>1257</v>
      </c>
      <c r="B1318" s="1890">
        <f>'Expenditures 15-22'!H174</f>
        <v>213443</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8443</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205000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213443</v>
      </c>
      <c r="C1331" s="2" t="s">
        <v>569</v>
      </c>
      <c r="D1331" s="2" t="str">
        <f t="shared" si="19"/>
        <v>Error?</v>
      </c>
    </row>
    <row r="1332" spans="1:4" x14ac:dyDescent="0.2">
      <c r="A1332" s="5">
        <v>1271</v>
      </c>
      <c r="B1332" s="1890">
        <f>'Expenditures 15-22'!K174</f>
        <v>213443</v>
      </c>
      <c r="C1332" s="2" t="s">
        <v>569</v>
      </c>
      <c r="D1332" s="2" t="str">
        <f t="shared" si="19"/>
        <v>Error?</v>
      </c>
    </row>
    <row r="1333" spans="1:4" x14ac:dyDescent="0.2">
      <c r="A1333" s="5">
        <v>1272</v>
      </c>
      <c r="B1333" s="1890">
        <f>'Expenditures 15-22'!K175</f>
        <v>3175</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2085</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2085</v>
      </c>
      <c r="C1339" s="2" t="s">
        <v>569</v>
      </c>
      <c r="D1339" s="2" t="str">
        <f t="shared" si="19"/>
        <v>Error?</v>
      </c>
    </row>
    <row r="1340" spans="1:4" x14ac:dyDescent="0.2">
      <c r="A1340" s="5">
        <v>1279</v>
      </c>
      <c r="B1340" s="1890">
        <f>'Expenditures 15-22'!C210</f>
        <v>2085</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185453</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185453</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185453</v>
      </c>
      <c r="C1353" s="2" t="s">
        <v>569</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569</v>
      </c>
      <c r="D1358" s="2" t="str">
        <f t="shared" si="20"/>
        <v>Error?</v>
      </c>
    </row>
    <row r="1359" spans="1:4" x14ac:dyDescent="0.2">
      <c r="A1359" s="5">
        <v>1298</v>
      </c>
      <c r="B1359" s="1890">
        <f>'Expenditures 15-22'!F210</f>
        <v>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187538</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187538</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187538</v>
      </c>
      <c r="C1388" s="2" t="s">
        <v>569</v>
      </c>
      <c r="D1388" s="2" t="str">
        <f t="shared" si="20"/>
        <v>Error?</v>
      </c>
    </row>
    <row r="1389" spans="1:4" x14ac:dyDescent="0.2">
      <c r="A1389" s="5">
        <v>1328</v>
      </c>
      <c r="B1389" s="1890">
        <f>'Expenditures 15-22'!K211</f>
        <v>154709</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4288</v>
      </c>
      <c r="D1408" s="2" t="str">
        <f t="shared" si="21"/>
        <v>Error?</v>
      </c>
    </row>
    <row r="1409" spans="1:4" x14ac:dyDescent="0.2">
      <c r="A1409" s="5">
        <v>1348</v>
      </c>
      <c r="B1409" s="1890">
        <f>'Expenditures 15-22'!D224</f>
        <v>45</v>
      </c>
      <c r="D1409" s="2" t="str">
        <f t="shared" si="21"/>
        <v>Error?</v>
      </c>
    </row>
    <row r="1410" spans="1:4" x14ac:dyDescent="0.2">
      <c r="A1410" s="5">
        <v>1349</v>
      </c>
      <c r="B1410" s="1890">
        <f>'Expenditures 15-22'!D229</f>
        <v>79265</v>
      </c>
      <c r="C1410" s="2" t="s">
        <v>569</v>
      </c>
      <c r="D1410" s="2" t="str">
        <f t="shared" si="21"/>
        <v>Error?</v>
      </c>
    </row>
    <row r="1411" spans="1:4" x14ac:dyDescent="0.2">
      <c r="A1411" s="5">
        <v>1350</v>
      </c>
      <c r="B1411" s="1890">
        <f>'Expenditures 15-22'!D232</f>
        <v>405</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3018</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3423</v>
      </c>
      <c r="C1417" s="2" t="s">
        <v>569</v>
      </c>
      <c r="D1417" s="2" t="str">
        <f t="shared" si="21"/>
        <v>Error?</v>
      </c>
    </row>
    <row r="1418" spans="1:4" x14ac:dyDescent="0.2">
      <c r="A1418" s="5">
        <v>1357</v>
      </c>
      <c r="B1418" s="1890">
        <f>'Expenditures 15-22'!D240</f>
        <v>72</v>
      </c>
      <c r="D1418" s="2" t="str">
        <f t="shared" si="21"/>
        <v>Error?</v>
      </c>
    </row>
    <row r="1419" spans="1:4" x14ac:dyDescent="0.2">
      <c r="A1419" s="5">
        <v>1358</v>
      </c>
      <c r="B1419" s="1890">
        <f>'Expenditures 15-22'!D241</f>
        <v>11207</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11279</v>
      </c>
      <c r="C1421" s="2" t="s">
        <v>569</v>
      </c>
      <c r="D1421" s="2" t="str">
        <f t="shared" si="21"/>
        <v>Error?</v>
      </c>
    </row>
    <row r="1422" spans="1:4" x14ac:dyDescent="0.2">
      <c r="A1422" s="5">
        <v>1361</v>
      </c>
      <c r="B1422" s="1890">
        <f>'Expenditures 15-22'!D245</f>
        <v>223</v>
      </c>
      <c r="D1422" s="2" t="str">
        <f t="shared" si="21"/>
        <v>Error?</v>
      </c>
    </row>
    <row r="1423" spans="1:4" x14ac:dyDescent="0.2">
      <c r="A1423" s="5">
        <v>1362</v>
      </c>
      <c r="B1423" s="1890">
        <f>'Expenditures 15-22'!D246</f>
        <v>902</v>
      </c>
      <c r="D1423" s="2" t="str">
        <f t="shared" si="21"/>
        <v>Error?</v>
      </c>
    </row>
    <row r="1424" spans="1:4" x14ac:dyDescent="0.2">
      <c r="A1424" s="5">
        <v>1363</v>
      </c>
      <c r="B1424" s="1890">
        <f>'Expenditures 15-22'!D257</f>
        <v>1125</v>
      </c>
      <c r="C1424" s="2" t="s">
        <v>569</v>
      </c>
      <c r="D1424" s="2" t="str">
        <f t="shared" si="21"/>
        <v>Error?</v>
      </c>
    </row>
    <row r="1425" spans="1:4" x14ac:dyDescent="0.2">
      <c r="A1425" s="5">
        <v>1364</v>
      </c>
      <c r="B1425" s="1890">
        <f>'Expenditures 15-22'!D259</f>
        <v>11119</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11119</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7457</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27469</v>
      </c>
      <c r="D1431" s="2" t="str">
        <f t="shared" si="21"/>
        <v>Error?</v>
      </c>
    </row>
    <row r="1432" spans="1:4" x14ac:dyDescent="0.2">
      <c r="A1432" s="5">
        <v>1371</v>
      </c>
      <c r="B1432" s="1890">
        <f>'Expenditures 15-22'!D267</f>
        <v>0</v>
      </c>
      <c r="D1432" s="2" t="str">
        <f t="shared" si="21"/>
        <v>Error?</v>
      </c>
    </row>
    <row r="1433" spans="1:4" x14ac:dyDescent="0.2">
      <c r="A1433" s="5">
        <v>1372</v>
      </c>
      <c r="B1433" s="1890">
        <f>'Expenditures 15-22'!D268</f>
        <v>0</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34926</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61872</v>
      </c>
      <c r="C1446" s="2" t="s">
        <v>569</v>
      </c>
      <c r="D1446" s="2" t="str">
        <f t="shared" si="21"/>
        <v>Error?</v>
      </c>
    </row>
    <row r="1447" spans="1:4" x14ac:dyDescent="0.2">
      <c r="A1447" s="5">
        <v>1386</v>
      </c>
      <c r="B1447" s="1890">
        <f>'Expenditures 15-22'!D280</f>
        <v>125</v>
      </c>
      <c r="D1447" s="2" t="str">
        <f t="shared" si="21"/>
        <v>Error?</v>
      </c>
    </row>
    <row r="1448" spans="1:4" x14ac:dyDescent="0.2">
      <c r="A1448" s="5">
        <v>1387</v>
      </c>
      <c r="B1448" s="1890">
        <f>'Expenditures 15-22'!D295</f>
        <v>141262</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4288</v>
      </c>
      <c r="C1472" s="2" t="s">
        <v>569</v>
      </c>
      <c r="D1472" s="2" t="str">
        <f t="shared" si="22"/>
        <v>Error?</v>
      </c>
    </row>
    <row r="1473" spans="1:4" x14ac:dyDescent="0.2">
      <c r="A1473" s="5">
        <v>1412</v>
      </c>
      <c r="B1473" s="1890">
        <f>'Expenditures 15-22'!K224</f>
        <v>45</v>
      </c>
      <c r="C1473" s="2" t="s">
        <v>569</v>
      </c>
      <c r="D1473" s="2" t="str">
        <f t="shared" si="22"/>
        <v>Error?</v>
      </c>
    </row>
    <row r="1474" spans="1:4" x14ac:dyDescent="0.2">
      <c r="A1474" s="5">
        <v>1413</v>
      </c>
      <c r="B1474" s="1890">
        <f>'Expenditures 15-22'!K229</f>
        <v>79265</v>
      </c>
      <c r="C1474" s="2" t="s">
        <v>569</v>
      </c>
      <c r="D1474" s="2" t="str">
        <f t="shared" si="22"/>
        <v>Error?</v>
      </c>
    </row>
    <row r="1475" spans="1:4" x14ac:dyDescent="0.2">
      <c r="A1475" s="5">
        <v>1414</v>
      </c>
      <c r="B1475" s="1890">
        <f>'Expenditures 15-22'!K232</f>
        <v>405</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3018</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3423</v>
      </c>
      <c r="C1481" s="2" t="s">
        <v>569</v>
      </c>
      <c r="D1481" s="2" t="str">
        <f t="shared" si="22"/>
        <v>Error?</v>
      </c>
    </row>
    <row r="1482" spans="1:4" x14ac:dyDescent="0.2">
      <c r="A1482" s="5">
        <v>1421</v>
      </c>
      <c r="B1482" s="1890">
        <f>'Expenditures 15-22'!K240</f>
        <v>72</v>
      </c>
      <c r="C1482" s="2" t="s">
        <v>569</v>
      </c>
      <c r="D1482" s="2" t="str">
        <f t="shared" si="22"/>
        <v>Error?</v>
      </c>
    </row>
    <row r="1483" spans="1:4" x14ac:dyDescent="0.2">
      <c r="A1483" s="5">
        <v>1422</v>
      </c>
      <c r="B1483" s="1890">
        <f>'Expenditures 15-22'!K241</f>
        <v>11207</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11279</v>
      </c>
      <c r="C1485" s="2" t="s">
        <v>569</v>
      </c>
      <c r="D1485" s="2" t="str">
        <f t="shared" si="22"/>
        <v>Error?</v>
      </c>
    </row>
    <row r="1486" spans="1:4" x14ac:dyDescent="0.2">
      <c r="A1486" s="5">
        <v>1425</v>
      </c>
      <c r="B1486" s="1890">
        <f>'Expenditures 15-22'!K245</f>
        <v>223</v>
      </c>
      <c r="C1486" s="2" t="s">
        <v>569</v>
      </c>
      <c r="D1486" s="2" t="str">
        <f t="shared" si="22"/>
        <v>Error?</v>
      </c>
    </row>
    <row r="1487" spans="1:4" x14ac:dyDescent="0.2">
      <c r="A1487" s="5">
        <v>1426</v>
      </c>
      <c r="B1487" s="1890">
        <f>'Expenditures 15-22'!K246</f>
        <v>902</v>
      </c>
      <c r="C1487" s="2" t="s">
        <v>569</v>
      </c>
      <c r="D1487" s="2" t="str">
        <f t="shared" si="22"/>
        <v>Error?</v>
      </c>
    </row>
    <row r="1488" spans="1:4" x14ac:dyDescent="0.2">
      <c r="A1488" s="5">
        <v>1427</v>
      </c>
      <c r="B1488" s="1890">
        <f>'Expenditures 15-22'!K257</f>
        <v>1125</v>
      </c>
      <c r="C1488" s="2" t="s">
        <v>569</v>
      </c>
      <c r="D1488" s="2" t="str">
        <f t="shared" si="22"/>
        <v>Error?</v>
      </c>
    </row>
    <row r="1489" spans="1:4" x14ac:dyDescent="0.2">
      <c r="A1489" s="5">
        <v>1428</v>
      </c>
      <c r="B1489" s="1890">
        <f>'Expenditures 15-22'!K259</f>
        <v>11119</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11119</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7457</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27469</v>
      </c>
      <c r="C1495" s="2" t="s">
        <v>569</v>
      </c>
      <c r="D1495" s="2" t="str">
        <f t="shared" si="22"/>
        <v>Error?</v>
      </c>
    </row>
    <row r="1496" spans="1:4" x14ac:dyDescent="0.2">
      <c r="A1496" s="5">
        <v>1435</v>
      </c>
      <c r="B1496" s="1890">
        <f>'Expenditures 15-22'!K267</f>
        <v>0</v>
      </c>
      <c r="C1496" s="2" t="s">
        <v>569</v>
      </c>
      <c r="D1496" s="2" t="str">
        <f t="shared" si="22"/>
        <v>Error?</v>
      </c>
    </row>
    <row r="1497" spans="1:4" x14ac:dyDescent="0.2">
      <c r="A1497" s="5">
        <v>1436</v>
      </c>
      <c r="B1497" s="1890">
        <f>'Expenditures 15-22'!K268</f>
        <v>0</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34926</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61872</v>
      </c>
      <c r="C1510" s="2" t="s">
        <v>569</v>
      </c>
      <c r="D1510" s="2" t="str">
        <f t="shared" si="22"/>
        <v>Error?</v>
      </c>
    </row>
    <row r="1511" spans="1:4" x14ac:dyDescent="0.2">
      <c r="A1511" s="5">
        <v>1450</v>
      </c>
      <c r="B1511" s="1890">
        <f>'Expenditures 15-22'!K280</f>
        <v>125</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141262</v>
      </c>
      <c r="C1517" s="2" t="s">
        <v>569</v>
      </c>
      <c r="D1517" s="2" t="str">
        <f t="shared" si="22"/>
        <v>Error?</v>
      </c>
    </row>
    <row r="1518" spans="1:4" x14ac:dyDescent="0.2">
      <c r="A1518" s="5">
        <v>1457</v>
      </c>
      <c r="B1518" s="1890">
        <f>'Expenditures 15-22'!K296</f>
        <v>-33419</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-4130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-4130</v>
      </c>
      <c r="C1535" s="2" t="s">
        <v>569</v>
      </c>
      <c r="D1535" s="2" t="str">
        <f t="shared" ref="D1535:D1598" si="23">IF(ISBLANK(B1535),"OK",IF(A1535-B1535=0,"OK","Error?"))</f>
        <v>Error?</v>
      </c>
    </row>
    <row r="1536" spans="1:4" x14ac:dyDescent="0.2">
      <c r="A1536" s="5">
        <v>1475</v>
      </c>
      <c r="B1536" s="1890">
        <f>'Expenditures 15-22'!E312</f>
        <v>-4130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505993</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505993</v>
      </c>
      <c r="C1547" s="2" t="s">
        <v>569</v>
      </c>
      <c r="D1547" s="2" t="str">
        <f t="shared" si="23"/>
        <v>Error?</v>
      </c>
    </row>
    <row r="1548" spans="1:4" x14ac:dyDescent="0.2">
      <c r="A1548" s="5">
        <v>1487</v>
      </c>
      <c r="B1548" s="1890">
        <f>'Expenditures 15-22'!G312</f>
        <v>505993</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501863</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501863</v>
      </c>
      <c r="C1559" s="2" t="s">
        <v>569</v>
      </c>
      <c r="D1559" s="2" t="str">
        <f t="shared" si="23"/>
        <v>Error?</v>
      </c>
    </row>
    <row r="1560" spans="1:4" x14ac:dyDescent="0.2">
      <c r="A1560" s="5">
        <v>1499</v>
      </c>
      <c r="B1560" s="1890">
        <f>'Expenditures 15-22'!K312</f>
        <v>501863</v>
      </c>
      <c r="C1560" s="2" t="s">
        <v>569</v>
      </c>
      <c r="D1560" s="2" t="str">
        <f t="shared" si="23"/>
        <v>Error?</v>
      </c>
    </row>
    <row r="1561" spans="1:4" x14ac:dyDescent="0.2">
      <c r="A1561" s="5">
        <v>1500</v>
      </c>
      <c r="B1561" s="1890">
        <f>'Expenditures 15-22'!K313</f>
        <v>-216109</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1165706</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1528841</v>
      </c>
      <c r="C1630" s="2" t="s">
        <v>569</v>
      </c>
      <c r="D1630" s="2" t="str">
        <f t="shared" si="24"/>
        <v>Error?</v>
      </c>
    </row>
    <row r="1631" spans="1:4" x14ac:dyDescent="0.2">
      <c r="A1631" s="5">
        <v>1570</v>
      </c>
      <c r="B1631" s="1890">
        <f>'Acct Summary 7-8'!D79</f>
        <v>465772</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367995</v>
      </c>
      <c r="C1644" s="2" t="s">
        <v>569</v>
      </c>
      <c r="D1644" s="2" t="str">
        <f t="shared" si="24"/>
        <v>Error?</v>
      </c>
    </row>
    <row r="1645" spans="1:4" x14ac:dyDescent="0.2">
      <c r="A1645" s="5">
        <v>1584</v>
      </c>
      <c r="B1645" s="1890">
        <f>'Acct Summary 7-8'!E79</f>
        <v>2630</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5805</v>
      </c>
      <c r="C1658" s="2" t="s">
        <v>569</v>
      </c>
      <c r="D1658" s="2" t="str">
        <f t="shared" si="24"/>
        <v>Error?</v>
      </c>
    </row>
    <row r="1659" spans="1:4" x14ac:dyDescent="0.2">
      <c r="A1659" s="5">
        <v>1598</v>
      </c>
      <c r="B1659" s="1890">
        <f>'Acct Summary 7-8'!F79</f>
        <v>374053</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278762</v>
      </c>
      <c r="C1672" s="2" t="s">
        <v>569</v>
      </c>
      <c r="D1672" s="2" t="str">
        <f t="shared" si="25"/>
        <v>Error?</v>
      </c>
    </row>
    <row r="1673" spans="1:4" x14ac:dyDescent="0.2">
      <c r="A1673" s="5">
        <v>1612</v>
      </c>
      <c r="B1673" s="1890">
        <f>'Acct Summary 7-8'!G79</f>
        <v>188069</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154650</v>
      </c>
      <c r="C1686" s="2" t="s">
        <v>569</v>
      </c>
      <c r="D1686" s="2" t="str">
        <f t="shared" si="25"/>
        <v>Error?</v>
      </c>
    </row>
    <row r="1687" spans="1:4" x14ac:dyDescent="0.2">
      <c r="A1687" s="5">
        <v>1626</v>
      </c>
      <c r="B1687" s="1890">
        <f>'Acct Summary 7-8'!H79</f>
        <v>131324</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-84785</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2849033</v>
      </c>
      <c r="C1744" s="2" t="s">
        <v>569</v>
      </c>
      <c r="D1744" s="2" t="str">
        <f t="shared" si="26"/>
        <v>Error?</v>
      </c>
    </row>
    <row r="1745" spans="1:5" x14ac:dyDescent="0.2">
      <c r="A1745" s="5">
        <v>1684</v>
      </c>
      <c r="B1745" s="1890">
        <f>'Tax Sched 23'!B5</f>
        <v>299265</v>
      </c>
      <c r="C1745" s="2" t="s">
        <v>569</v>
      </c>
      <c r="D1745" s="2" t="str">
        <f t="shared" si="26"/>
        <v>Error?</v>
      </c>
    </row>
    <row r="1746" spans="1:5" x14ac:dyDescent="0.2">
      <c r="A1746" s="5">
        <v>1685</v>
      </c>
      <c r="B1746" s="1890">
        <f>'Tax Sched 23'!B6</f>
        <v>216343</v>
      </c>
      <c r="C1746" s="2" t="s">
        <v>569</v>
      </c>
      <c r="D1746" s="2" t="str">
        <f t="shared" si="26"/>
        <v>Error?</v>
      </c>
    </row>
    <row r="1747" spans="1:5" x14ac:dyDescent="0.2">
      <c r="A1747" s="5">
        <v>1686</v>
      </c>
      <c r="B1747" s="1890">
        <f>'Tax Sched 23'!B7</f>
        <v>143648</v>
      </c>
      <c r="C1747" s="2" t="s">
        <v>569</v>
      </c>
      <c r="D1747" s="2" t="str">
        <f t="shared" si="26"/>
        <v>Error?</v>
      </c>
    </row>
    <row r="1748" spans="1:5" x14ac:dyDescent="0.2">
      <c r="A1748" s="5">
        <v>1687</v>
      </c>
      <c r="B1748" s="1890">
        <f>'Tax Sched 23'!B8</f>
        <v>50689</v>
      </c>
      <c r="C1748" s="2" t="s">
        <v>569</v>
      </c>
      <c r="D1748" s="2" t="str">
        <f t="shared" si="26"/>
        <v>Error?</v>
      </c>
    </row>
    <row r="1749" spans="1:5" x14ac:dyDescent="0.2">
      <c r="A1749" s="5">
        <v>1688</v>
      </c>
      <c r="B1749" s="1890">
        <f>'Tax Sched 23'!B10</f>
        <v>59851</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229123</v>
      </c>
      <c r="C1752" s="2" t="s">
        <v>569</v>
      </c>
      <c r="D1752" s="2" t="str">
        <f t="shared" si="26"/>
        <v>Error?</v>
      </c>
    </row>
    <row r="1753" spans="1:5" x14ac:dyDescent="0.2">
      <c r="A1753" s="5">
        <v>1692</v>
      </c>
      <c r="B1753" s="1890">
        <f>'Tax Sched 23'!B12</f>
        <v>0</v>
      </c>
      <c r="C1753" s="2" t="s">
        <v>569</v>
      </c>
      <c r="D1753" s="2" t="str">
        <f t="shared" si="26"/>
        <v>Error?</v>
      </c>
    </row>
    <row r="1754" spans="1:5" x14ac:dyDescent="0.2">
      <c r="A1754" s="5">
        <v>1693</v>
      </c>
      <c r="B1754" s="1890">
        <f>'Tax Sched 23'!B14</f>
        <v>23940</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3922581</v>
      </c>
      <c r="C1759" s="2" t="s">
        <v>569</v>
      </c>
      <c r="D1759" s="2" t="str">
        <f t="shared" si="26"/>
        <v>Error?</v>
      </c>
    </row>
    <row r="1760" spans="1:5" x14ac:dyDescent="0.2">
      <c r="A1760" s="5">
        <v>1699</v>
      </c>
      <c r="B1760" s="1890">
        <f>'Tax Sched 23'!D4</f>
        <v>2849033</v>
      </c>
      <c r="C1760" s="2" t="s">
        <v>569</v>
      </c>
      <c r="D1760" s="2" t="str">
        <f t="shared" si="26"/>
        <v>Error?</v>
      </c>
    </row>
    <row r="1761" spans="1:7" x14ac:dyDescent="0.2">
      <c r="A1761" s="5">
        <v>1700</v>
      </c>
      <c r="B1761" s="1890">
        <f>'Tax Sched 23'!D5</f>
        <v>299265</v>
      </c>
      <c r="C1761" s="2" t="s">
        <v>569</v>
      </c>
      <c r="D1761" s="2" t="str">
        <f t="shared" si="26"/>
        <v>Error?</v>
      </c>
    </row>
    <row r="1762" spans="1:7" s="8" customFormat="1" x14ac:dyDescent="0.2">
      <c r="A1762" s="5">
        <v>1701</v>
      </c>
      <c r="B1762" s="1890">
        <f>'Tax Sched 23'!D6</f>
        <v>216343</v>
      </c>
      <c r="C1762" s="2" t="s">
        <v>569</v>
      </c>
      <c r="D1762" s="2" t="str">
        <f t="shared" si="26"/>
        <v>Error?</v>
      </c>
      <c r="E1762" s="9"/>
      <c r="G1762"/>
    </row>
    <row r="1763" spans="1:7" x14ac:dyDescent="0.2">
      <c r="A1763" s="5">
        <v>1702</v>
      </c>
      <c r="B1763" s="1890">
        <f>'Tax Sched 23'!D7</f>
        <v>143648</v>
      </c>
      <c r="C1763" s="2" t="s">
        <v>569</v>
      </c>
      <c r="D1763" s="2" t="str">
        <f t="shared" si="26"/>
        <v>Error?</v>
      </c>
    </row>
    <row r="1764" spans="1:7" x14ac:dyDescent="0.2">
      <c r="A1764" s="5">
        <v>1703</v>
      </c>
      <c r="B1764" s="1890">
        <f>'Tax Sched 23'!D8</f>
        <v>50689</v>
      </c>
      <c r="C1764" s="2" t="s">
        <v>569</v>
      </c>
      <c r="D1764" s="2" t="str">
        <f t="shared" si="26"/>
        <v>Error?</v>
      </c>
    </row>
    <row r="1765" spans="1:7" x14ac:dyDescent="0.2">
      <c r="A1765" s="5">
        <v>1704</v>
      </c>
      <c r="B1765" s="1890">
        <f>'Tax Sched 23'!D10</f>
        <v>59851</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229123</v>
      </c>
      <c r="C1768" s="2" t="s">
        <v>569</v>
      </c>
      <c r="D1768" s="2" t="str">
        <f t="shared" si="26"/>
        <v>Error?</v>
      </c>
    </row>
    <row r="1769" spans="1:7" x14ac:dyDescent="0.2">
      <c r="A1769" s="5">
        <v>1708</v>
      </c>
      <c r="B1769" s="1890">
        <f>'Tax Sched 23'!D12</f>
        <v>0</v>
      </c>
      <c r="C1769" s="2" t="s">
        <v>569</v>
      </c>
      <c r="D1769" s="2" t="str">
        <f t="shared" si="26"/>
        <v>Error?</v>
      </c>
    </row>
    <row r="1770" spans="1:7" x14ac:dyDescent="0.2">
      <c r="A1770" s="5">
        <v>1709</v>
      </c>
      <c r="B1770" s="1890">
        <f>'Tax Sched 23'!D14</f>
        <v>23940</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3922581</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3014374</v>
      </c>
      <c r="C1792" s="2" t="s">
        <v>569</v>
      </c>
      <c r="D1792" s="2" t="str">
        <f t="shared" si="27"/>
        <v>Error?</v>
      </c>
    </row>
    <row r="1793" spans="1:4" x14ac:dyDescent="0.2">
      <c r="A1793" s="5">
        <v>1732</v>
      </c>
      <c r="B1793" s="1890">
        <f>'Tax Sched 23'!F5</f>
        <v>316636</v>
      </c>
      <c r="C1793" s="2" t="s">
        <v>569</v>
      </c>
      <c r="D1793" s="2" t="str">
        <f t="shared" si="27"/>
        <v>Error?</v>
      </c>
    </row>
    <row r="1794" spans="1:4" x14ac:dyDescent="0.2">
      <c r="A1794" s="5">
        <v>1733</v>
      </c>
      <c r="B1794" s="1890">
        <f>'Tax Sched 23'!F6</f>
        <v>213628</v>
      </c>
      <c r="C1794" s="2" t="s">
        <v>569</v>
      </c>
      <c r="D1794" s="2" t="str">
        <f t="shared" si="27"/>
        <v>Error?</v>
      </c>
    </row>
    <row r="1795" spans="1:4" x14ac:dyDescent="0.2">
      <c r="A1795" s="5">
        <v>1734</v>
      </c>
      <c r="B1795" s="1890">
        <f>'Tax Sched 23'!F7</f>
        <v>151985</v>
      </c>
      <c r="C1795" s="2" t="s">
        <v>569</v>
      </c>
      <c r="D1795" s="2" t="str">
        <f t="shared" si="27"/>
        <v>Error?</v>
      </c>
    </row>
    <row r="1796" spans="1:4" x14ac:dyDescent="0.2">
      <c r="A1796" s="5">
        <v>1735</v>
      </c>
      <c r="B1796" s="1890">
        <f>'Tax Sched 23'!F8</f>
        <v>50164</v>
      </c>
      <c r="C1796" s="2" t="s">
        <v>569</v>
      </c>
      <c r="D1796" s="2" t="str">
        <f t="shared" si="27"/>
        <v>Error?</v>
      </c>
    </row>
    <row r="1797" spans="1:4" x14ac:dyDescent="0.2">
      <c r="A1797" s="5">
        <v>1736</v>
      </c>
      <c r="B1797" s="1890">
        <f>'Tax Sched 23'!F10</f>
        <v>63327</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135434</v>
      </c>
      <c r="C1800" s="2" t="s">
        <v>569</v>
      </c>
      <c r="D1800" s="2" t="str">
        <f t="shared" si="27"/>
        <v>Error?</v>
      </c>
    </row>
    <row r="1801" spans="1:4" x14ac:dyDescent="0.2">
      <c r="A1801" s="5">
        <v>1740</v>
      </c>
      <c r="B1801" s="1890">
        <f>'Tax Sched 23'!F12</f>
        <v>0</v>
      </c>
      <c r="C1801" s="2" t="s">
        <v>569</v>
      </c>
      <c r="D1801" s="2" t="str">
        <f t="shared" si="27"/>
        <v>Error?</v>
      </c>
    </row>
    <row r="1802" spans="1:4" x14ac:dyDescent="0.2">
      <c r="A1802" s="5">
        <v>1741</v>
      </c>
      <c r="B1802" s="1890">
        <f>'Tax Sched 23'!F14</f>
        <v>25331</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4021043</v>
      </c>
      <c r="C1807" s="2" t="s">
        <v>569</v>
      </c>
      <c r="D1807" s="2" t="str">
        <f t="shared" si="27"/>
        <v>Error?</v>
      </c>
    </row>
    <row r="1808" spans="1:4" x14ac:dyDescent="0.2">
      <c r="A1808" s="5">
        <v>1747</v>
      </c>
      <c r="B1808" s="1890">
        <f>'Tax Sched 23'!E4</f>
        <v>3014374</v>
      </c>
      <c r="D1808" s="2" t="str">
        <f t="shared" si="27"/>
        <v>Error?</v>
      </c>
    </row>
    <row r="1809" spans="1:4" x14ac:dyDescent="0.2">
      <c r="A1809" s="5">
        <v>1748</v>
      </c>
      <c r="B1809" s="1890">
        <f>'Tax Sched 23'!E5</f>
        <v>316636</v>
      </c>
      <c r="D1809" s="2" t="str">
        <f t="shared" si="27"/>
        <v>Error?</v>
      </c>
    </row>
    <row r="1810" spans="1:4" x14ac:dyDescent="0.2">
      <c r="A1810" s="5">
        <v>1749</v>
      </c>
      <c r="B1810" s="1890">
        <f>'Tax Sched 23'!E6</f>
        <v>213628</v>
      </c>
      <c r="D1810" s="2" t="str">
        <f t="shared" si="27"/>
        <v>Error?</v>
      </c>
    </row>
    <row r="1811" spans="1:4" x14ac:dyDescent="0.2">
      <c r="A1811" s="5">
        <v>1750</v>
      </c>
      <c r="B1811" s="1890">
        <f>'Tax Sched 23'!E7</f>
        <v>151985</v>
      </c>
      <c r="D1811" s="2" t="str">
        <f t="shared" si="27"/>
        <v>Error?</v>
      </c>
    </row>
    <row r="1812" spans="1:4" x14ac:dyDescent="0.2">
      <c r="A1812" s="5">
        <v>1751</v>
      </c>
      <c r="B1812" s="1890">
        <f>'Tax Sched 23'!E8</f>
        <v>50164</v>
      </c>
      <c r="D1812" s="2" t="str">
        <f t="shared" si="27"/>
        <v>Error?</v>
      </c>
    </row>
    <row r="1813" spans="1:4" x14ac:dyDescent="0.2">
      <c r="A1813" s="5">
        <v>1752</v>
      </c>
      <c r="B1813" s="1890">
        <f>'Tax Sched 23'!E10</f>
        <v>63327</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135434</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25331</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4021043</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415000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23940</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23940</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23940</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73250</v>
      </c>
      <c r="D2008" s="2" t="str">
        <f t="shared" si="30"/>
        <v>Error?</v>
      </c>
    </row>
    <row r="2009" spans="1:4" x14ac:dyDescent="0.2">
      <c r="A2009" s="5">
        <v>1948</v>
      </c>
      <c r="B2009" s="1890">
        <f>'Cap Outlay Deprec 26'!C8</f>
        <v>2512924</v>
      </c>
      <c r="D2009" s="2" t="str">
        <f t="shared" si="30"/>
        <v>Error?</v>
      </c>
    </row>
    <row r="2010" spans="1:4" x14ac:dyDescent="0.2">
      <c r="A2010" s="5">
        <v>1949</v>
      </c>
      <c r="B2010" s="1890">
        <f>'Cap Outlay Deprec 26'!C10</f>
        <v>770099</v>
      </c>
      <c r="D2010" s="2" t="str">
        <f t="shared" si="30"/>
        <v>Error?</v>
      </c>
    </row>
    <row r="2011" spans="1:4" x14ac:dyDescent="0.2">
      <c r="A2011" s="5">
        <v>1950</v>
      </c>
      <c r="B2011" s="1890">
        <f>'Cap Outlay Deprec 26'!C12</f>
        <v>704763</v>
      </c>
      <c r="D2011" s="2" t="str">
        <f t="shared" si="30"/>
        <v>Error?</v>
      </c>
    </row>
    <row r="2012" spans="1:4" x14ac:dyDescent="0.2">
      <c r="A2012" s="5">
        <v>1951</v>
      </c>
      <c r="B2012" s="1890">
        <f>'Cap Outlay Deprec 26'!C13</f>
        <v>0</v>
      </c>
      <c r="D2012" s="2" t="str">
        <f t="shared" si="30"/>
        <v>Error?</v>
      </c>
    </row>
    <row r="2013" spans="1:4" x14ac:dyDescent="0.2">
      <c r="A2013" s="5">
        <v>1952</v>
      </c>
      <c r="B2013" s="1890">
        <f>'Cap Outlay Deprec 26'!C16</f>
        <v>4061036</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820387</v>
      </c>
      <c r="D2016" s="2" t="str">
        <f t="shared" si="30"/>
        <v>Error?</v>
      </c>
    </row>
    <row r="2017" spans="1:4" x14ac:dyDescent="0.2">
      <c r="A2017" s="5">
        <v>1956</v>
      </c>
      <c r="B2017" s="1890">
        <f>'Cap Outlay Deprec 26'!D12</f>
        <v>35827</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856214</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93794</v>
      </c>
      <c r="D2022" s="2" t="str">
        <f t="shared" si="30"/>
        <v>Error?</v>
      </c>
    </row>
    <row r="2023" spans="1:4" x14ac:dyDescent="0.2">
      <c r="A2023" s="5">
        <v>1962</v>
      </c>
      <c r="B2023" s="1890">
        <f>'Cap Outlay Deprec 26'!E12</f>
        <v>5194</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98988</v>
      </c>
      <c r="C2025" s="2" t="s">
        <v>569</v>
      </c>
      <c r="D2025" s="2" t="str">
        <f t="shared" si="30"/>
        <v>Error?</v>
      </c>
    </row>
    <row r="2026" spans="1:4" x14ac:dyDescent="0.2">
      <c r="A2026" s="5">
        <v>1965</v>
      </c>
      <c r="B2026" s="1890">
        <f>'Cap Outlay Deprec 26'!F5</f>
        <v>73250</v>
      </c>
      <c r="C2026" s="2" t="s">
        <v>569</v>
      </c>
      <c r="D2026" s="2" t="str">
        <f t="shared" si="30"/>
        <v>Error?</v>
      </c>
    </row>
    <row r="2027" spans="1:4" x14ac:dyDescent="0.2">
      <c r="A2027" s="5">
        <v>1966</v>
      </c>
      <c r="B2027" s="1890">
        <f>'Cap Outlay Deprec 26'!F8</f>
        <v>2512924</v>
      </c>
      <c r="C2027" s="2" t="s">
        <v>569</v>
      </c>
      <c r="D2027" s="2" t="str">
        <f t="shared" si="30"/>
        <v>Error?</v>
      </c>
    </row>
    <row r="2028" spans="1:4" x14ac:dyDescent="0.2">
      <c r="A2028" s="5">
        <v>1967</v>
      </c>
      <c r="B2028" s="1890">
        <f>'Cap Outlay Deprec 26'!F10</f>
        <v>1496692</v>
      </c>
      <c r="C2028" s="2" t="s">
        <v>569</v>
      </c>
      <c r="D2028" s="2" t="str">
        <f t="shared" si="30"/>
        <v>Error?</v>
      </c>
    </row>
    <row r="2029" spans="1:4" x14ac:dyDescent="0.2">
      <c r="A2029" s="5">
        <v>1968</v>
      </c>
      <c r="B2029" s="1890">
        <f>'Cap Outlay Deprec 26'!F12</f>
        <v>735396</v>
      </c>
      <c r="C2029" s="2" t="s">
        <v>569</v>
      </c>
      <c r="D2029" s="2" t="str">
        <f t="shared" si="30"/>
        <v>Error?</v>
      </c>
    </row>
    <row r="2030" spans="1:4" x14ac:dyDescent="0.2">
      <c r="A2030" s="5">
        <v>1969</v>
      </c>
      <c r="B2030" s="1890">
        <f>'Cap Outlay Deprec 26'!F13</f>
        <v>0</v>
      </c>
      <c r="C2030" s="2" t="s">
        <v>569</v>
      </c>
      <c r="D2030" s="2" t="str">
        <f t="shared" si="30"/>
        <v>Error?</v>
      </c>
    </row>
    <row r="2031" spans="1:4" x14ac:dyDescent="0.2">
      <c r="A2031" s="5">
        <v>1970</v>
      </c>
      <c r="B2031" s="1890">
        <f>'Cap Outlay Deprec 26'!F16</f>
        <v>4818262</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1667641</v>
      </c>
      <c r="D2033" s="2" t="str">
        <f t="shared" si="30"/>
        <v>Error?</v>
      </c>
    </row>
    <row r="2034" spans="1:4" x14ac:dyDescent="0.2">
      <c r="A2034" s="5">
        <v>1973</v>
      </c>
      <c r="B2034" s="1890">
        <f>'Cap Outlay Deprec 26'!H10</f>
        <v>116165</v>
      </c>
      <c r="D2034" s="2" t="str">
        <f t="shared" si="30"/>
        <v>Error?</v>
      </c>
    </row>
    <row r="2035" spans="1:4" x14ac:dyDescent="0.2">
      <c r="A2035" s="5">
        <v>1974</v>
      </c>
      <c r="B2035" s="1890">
        <f>'Cap Outlay Deprec 26'!H12</f>
        <v>271531</v>
      </c>
      <c r="D2035" s="2" t="str">
        <f t="shared" si="30"/>
        <v>Error?</v>
      </c>
    </row>
    <row r="2036" spans="1:4" x14ac:dyDescent="0.2">
      <c r="A2036" s="5">
        <v>1975</v>
      </c>
      <c r="B2036" s="1890">
        <f>'Cap Outlay Deprec 26'!H13</f>
        <v>0</v>
      </c>
      <c r="D2036" s="2" t="str">
        <f t="shared" si="30"/>
        <v>Error?</v>
      </c>
    </row>
    <row r="2037" spans="1:4" x14ac:dyDescent="0.2">
      <c r="A2037" s="5">
        <v>1976</v>
      </c>
      <c r="B2037" s="1890">
        <f>'Cap Outlay Deprec 26'!H16</f>
        <v>2055337</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50259</v>
      </c>
      <c r="D2039" s="2" t="str">
        <f t="shared" si="30"/>
        <v>Error?</v>
      </c>
    </row>
    <row r="2040" spans="1:4" x14ac:dyDescent="0.2">
      <c r="A2040" s="5">
        <v>1979</v>
      </c>
      <c r="B2040" s="1890">
        <f>'Cap Outlay Deprec 26'!I10</f>
        <v>17364</v>
      </c>
      <c r="D2040" s="2" t="str">
        <f t="shared" si="30"/>
        <v>Error?</v>
      </c>
    </row>
    <row r="2041" spans="1:4" x14ac:dyDescent="0.2">
      <c r="A2041" s="5">
        <v>1980</v>
      </c>
      <c r="B2041" s="1890">
        <f>'Cap Outlay Deprec 26'!I12</f>
        <v>70081</v>
      </c>
      <c r="D2041" s="2" t="str">
        <f t="shared" si="30"/>
        <v>Error?</v>
      </c>
    </row>
    <row r="2042" spans="1:4" x14ac:dyDescent="0.2">
      <c r="A2042" s="5">
        <v>1981</v>
      </c>
      <c r="B2042" s="1890">
        <f>'Cap Outlay Deprec 26'!I13</f>
        <v>0</v>
      </c>
      <c r="D2042" s="2" t="str">
        <f t="shared" si="30"/>
        <v>Error?</v>
      </c>
    </row>
    <row r="2043" spans="1:4" x14ac:dyDescent="0.2">
      <c r="A2043" s="5">
        <v>1982</v>
      </c>
      <c r="B2043" s="1890">
        <f>'Cap Outlay Deprec 26'!I16</f>
        <v>137704</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93794</v>
      </c>
      <c r="D2046" s="2" t="str">
        <f t="shared" si="30"/>
        <v>Error?</v>
      </c>
    </row>
    <row r="2047" spans="1:4" x14ac:dyDescent="0.2">
      <c r="A2047" s="5">
        <v>1986</v>
      </c>
      <c r="B2047" s="1890">
        <f>'Cap Outlay Deprec 26'!J12</f>
        <v>5194</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98988</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1717900</v>
      </c>
      <c r="C2051" s="2" t="s">
        <v>569</v>
      </c>
      <c r="D2051" s="2" t="str">
        <f t="shared" si="31"/>
        <v>Error?</v>
      </c>
    </row>
    <row r="2052" spans="1:4" x14ac:dyDescent="0.2">
      <c r="A2052" s="5">
        <v>1991</v>
      </c>
      <c r="B2052" s="1890">
        <f>'Cap Outlay Deprec 26'!K10</f>
        <v>39735</v>
      </c>
      <c r="C2052" s="2" t="s">
        <v>569</v>
      </c>
      <c r="D2052" s="2" t="str">
        <f t="shared" si="31"/>
        <v>Error?</v>
      </c>
    </row>
    <row r="2053" spans="1:4" x14ac:dyDescent="0.2">
      <c r="A2053" s="5">
        <v>1992</v>
      </c>
      <c r="B2053" s="1890">
        <f>'Cap Outlay Deprec 26'!K12</f>
        <v>336418</v>
      </c>
      <c r="C2053" s="2" t="s">
        <v>569</v>
      </c>
      <c r="D2053" s="2" t="str">
        <f t="shared" si="31"/>
        <v>Error?</v>
      </c>
    </row>
    <row r="2054" spans="1:4" x14ac:dyDescent="0.2">
      <c r="A2054" s="5">
        <v>1993</v>
      </c>
      <c r="B2054" s="1890">
        <f>'Cap Outlay Deprec 26'!K13</f>
        <v>0</v>
      </c>
      <c r="C2054" s="2" t="s">
        <v>569</v>
      </c>
      <c r="D2054" s="2" t="str">
        <f t="shared" si="31"/>
        <v>Error?</v>
      </c>
    </row>
    <row r="2055" spans="1:4" x14ac:dyDescent="0.2">
      <c r="A2055" s="5">
        <v>1994</v>
      </c>
      <c r="B2055" s="1890">
        <f>'Cap Outlay Deprec 26'!K16</f>
        <v>2094053</v>
      </c>
      <c r="C2055" s="2" t="s">
        <v>569</v>
      </c>
      <c r="D2055" s="2" t="str">
        <f t="shared" si="31"/>
        <v>Error?</v>
      </c>
    </row>
    <row r="2056" spans="1:4" x14ac:dyDescent="0.2">
      <c r="A2056" s="5">
        <v>1995</v>
      </c>
      <c r="B2056" s="1890">
        <f>'Cap Outlay Deprec 26'!L5</f>
        <v>73250</v>
      </c>
      <c r="C2056" s="2" t="s">
        <v>569</v>
      </c>
      <c r="D2056" s="2" t="str">
        <f t="shared" si="31"/>
        <v>Error?</v>
      </c>
    </row>
    <row r="2057" spans="1:4" x14ac:dyDescent="0.2">
      <c r="A2057" s="5">
        <v>1996</v>
      </c>
      <c r="B2057" s="1890">
        <f>'Cap Outlay Deprec 26'!L8</f>
        <v>795024</v>
      </c>
      <c r="C2057" s="2" t="s">
        <v>569</v>
      </c>
      <c r="D2057" s="2" t="str">
        <f t="shared" si="31"/>
        <v>Error?</v>
      </c>
    </row>
    <row r="2058" spans="1:4" x14ac:dyDescent="0.2">
      <c r="A2058" s="5">
        <v>1997</v>
      </c>
      <c r="B2058" s="1890">
        <f>'Cap Outlay Deprec 26'!L10</f>
        <v>1456957</v>
      </c>
      <c r="C2058" s="2" t="s">
        <v>569</v>
      </c>
      <c r="D2058" s="2" t="str">
        <f t="shared" si="31"/>
        <v>Error?</v>
      </c>
    </row>
    <row r="2059" spans="1:4" x14ac:dyDescent="0.2">
      <c r="A2059" s="5">
        <v>1998</v>
      </c>
      <c r="B2059" s="1890">
        <f>'Cap Outlay Deprec 26'!L12</f>
        <v>398978</v>
      </c>
      <c r="C2059" s="2" t="s">
        <v>569</v>
      </c>
      <c r="D2059" s="2" t="str">
        <f t="shared" si="31"/>
        <v>Error?</v>
      </c>
    </row>
    <row r="2060" spans="1:4" x14ac:dyDescent="0.2">
      <c r="A2060" s="5">
        <v>1999</v>
      </c>
      <c r="B2060" s="1890">
        <f>'Cap Outlay Deprec 26'!L13</f>
        <v>0</v>
      </c>
      <c r="C2060" s="2" t="s">
        <v>569</v>
      </c>
      <c r="D2060" s="2" t="str">
        <f t="shared" si="31"/>
        <v>Error?</v>
      </c>
    </row>
    <row r="2061" spans="1:4" x14ac:dyDescent="0.2">
      <c r="A2061" s="5">
        <v>2000</v>
      </c>
      <c r="B2061" s="1890">
        <f>'Cap Outlay Deprec 26'!L16</f>
        <v>2724209</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99289</v>
      </c>
      <c r="C2088" s="2" t="s">
        <v>569</v>
      </c>
      <c r="D2088" s="2" t="str">
        <f t="shared" si="31"/>
        <v>Error?</v>
      </c>
    </row>
    <row r="2089" spans="1:4" x14ac:dyDescent="0.2">
      <c r="A2089" s="5">
        <v>2028</v>
      </c>
      <c r="B2089" s="1890">
        <f>'Expenditures 15-22'!K92</f>
        <v>139837</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3042</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852</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3154040</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1113138</v>
      </c>
      <c r="C2553" s="2" t="s">
        <v>569</v>
      </c>
      <c r="D2553" s="2" t="str">
        <f t="shared" si="38"/>
        <v>Error?</v>
      </c>
    </row>
    <row r="2554" spans="1:4" x14ac:dyDescent="0.2">
      <c r="A2554" s="5">
        <v>2493</v>
      </c>
      <c r="B2554" s="1890">
        <f>'Acct Summary 7-8'!C7</f>
        <v>252316</v>
      </c>
      <c r="C2554" s="2" t="s">
        <v>569</v>
      </c>
      <c r="D2554" s="2" t="str">
        <f t="shared" si="38"/>
        <v>Error?</v>
      </c>
    </row>
    <row r="2555" spans="1:4" x14ac:dyDescent="0.2">
      <c r="A2555" s="5">
        <v>2494</v>
      </c>
      <c r="B2555" s="1890">
        <f>'Acct Summary 7-8'!C8</f>
        <v>4519494</v>
      </c>
      <c r="C2555" s="2" t="s">
        <v>569</v>
      </c>
      <c r="D2555" s="2" t="str">
        <f t="shared" si="38"/>
        <v>Error?</v>
      </c>
    </row>
    <row r="2556" spans="1:4" x14ac:dyDescent="0.2">
      <c r="A2556" s="5">
        <v>2495</v>
      </c>
      <c r="B2556" s="1890">
        <f>'Acct Summary 7-8'!C12</f>
        <v>2907362</v>
      </c>
      <c r="C2556" s="2" t="s">
        <v>569</v>
      </c>
      <c r="D2556" s="2" t="str">
        <f t="shared" si="38"/>
        <v>Error?</v>
      </c>
    </row>
    <row r="2557" spans="1:4" x14ac:dyDescent="0.2">
      <c r="A2557" s="5">
        <v>2496</v>
      </c>
      <c r="B2557" s="1890">
        <f>'Acct Summary 7-8'!C13</f>
        <v>1006208</v>
      </c>
      <c r="C2557" s="2" t="s">
        <v>569</v>
      </c>
      <c r="D2557" s="2" t="str">
        <f t="shared" si="38"/>
        <v>Error?</v>
      </c>
    </row>
    <row r="2558" spans="1:4" x14ac:dyDescent="0.2">
      <c r="A2558" s="5">
        <v>2497</v>
      </c>
      <c r="B2558" s="1890">
        <f>'Acct Summary 7-8'!C14</f>
        <v>6705</v>
      </c>
      <c r="C2558" s="2" t="s">
        <v>569</v>
      </c>
      <c r="D2558" s="2" t="str">
        <f t="shared" si="38"/>
        <v>Error?</v>
      </c>
    </row>
    <row r="2559" spans="1:4" x14ac:dyDescent="0.2">
      <c r="A2559" s="5">
        <v>2498</v>
      </c>
      <c r="B2559" s="1890">
        <f>'Acct Summary 7-8'!C15</f>
        <v>239126</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4159401</v>
      </c>
      <c r="C2561" s="2" t="s">
        <v>569</v>
      </c>
      <c r="D2561" s="2" t="str">
        <f t="shared" si="39"/>
        <v>Error?</v>
      </c>
    </row>
    <row r="2562" spans="1:4" x14ac:dyDescent="0.2">
      <c r="A2562" s="5">
        <v>2501</v>
      </c>
      <c r="B2562" s="1890">
        <f>'Acct Summary 7-8'!C20</f>
        <v>360093</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315700</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50000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365700</v>
      </c>
      <c r="C2568" s="2" t="s">
        <v>569</v>
      </c>
      <c r="D2568" s="2" t="str">
        <f t="shared" si="39"/>
        <v>Error?</v>
      </c>
    </row>
    <row r="2569" spans="1:4" x14ac:dyDescent="0.2">
      <c r="A2569" s="5">
        <v>2508</v>
      </c>
      <c r="B2569" s="1890">
        <f>'Acct Summary 7-8'!D13</f>
        <v>713127</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350</v>
      </c>
      <c r="C2572" s="2" t="s">
        <v>569</v>
      </c>
      <c r="D2572" s="2" t="str">
        <f t="shared" si="39"/>
        <v>Error?</v>
      </c>
    </row>
    <row r="2573" spans="1:4" x14ac:dyDescent="0.2">
      <c r="A2573" s="5">
        <v>2512</v>
      </c>
      <c r="B2573" s="1890">
        <f>'Acct Summary 7-8'!D17</f>
        <v>713477</v>
      </c>
      <c r="C2573" s="2" t="s">
        <v>569</v>
      </c>
      <c r="D2573" s="2" t="str">
        <f t="shared" si="39"/>
        <v>Error?</v>
      </c>
    </row>
    <row r="2574" spans="1:4" x14ac:dyDescent="0.2">
      <c r="A2574" s="5">
        <v>2513</v>
      </c>
      <c r="B2574" s="1890">
        <f>'Acct Summary 7-8'!D20</f>
        <v>-347777</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280858</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61389</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342247</v>
      </c>
      <c r="C2595" s="2" t="s">
        <v>569</v>
      </c>
      <c r="D2595" s="2" t="str">
        <f t="shared" si="39"/>
        <v>Error?</v>
      </c>
    </row>
    <row r="2596" spans="1:4" x14ac:dyDescent="0.2">
      <c r="A2596" s="5">
        <v>2535</v>
      </c>
      <c r="B2596" s="1890">
        <f>'Acct Summary 7-8'!F13</f>
        <v>187538</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187538</v>
      </c>
      <c r="C2600" s="2" t="s">
        <v>569</v>
      </c>
      <c r="D2600" s="2" t="str">
        <f t="shared" si="39"/>
        <v>Error?</v>
      </c>
    </row>
    <row r="2601" spans="1:4" x14ac:dyDescent="0.2">
      <c r="A2601" s="5">
        <v>2540</v>
      </c>
      <c r="B2601" s="1890">
        <f>'Acct Summary 7-8'!F20</f>
        <v>154709</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107843</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107843</v>
      </c>
      <c r="C2606" s="2" t="s">
        <v>569</v>
      </c>
      <c r="D2606" s="2" t="str">
        <f t="shared" si="39"/>
        <v>Error?</v>
      </c>
    </row>
    <row r="2607" spans="1:4" x14ac:dyDescent="0.2">
      <c r="A2607" s="5">
        <v>2546</v>
      </c>
      <c r="B2607" s="1890">
        <f>'Acct Summary 7-8'!G12</f>
        <v>79265</v>
      </c>
      <c r="C2607" s="2" t="s">
        <v>569</v>
      </c>
      <c r="D2607" s="2" t="str">
        <f t="shared" si="39"/>
        <v>Error?</v>
      </c>
    </row>
    <row r="2608" spans="1:4" x14ac:dyDescent="0.2">
      <c r="A2608" s="5">
        <v>2547</v>
      </c>
      <c r="B2608" s="1890">
        <f>'Acct Summary 7-8'!G13</f>
        <v>61872</v>
      </c>
      <c r="C2608" s="2" t="s">
        <v>569</v>
      </c>
      <c r="D2608" s="2" t="str">
        <f t="shared" si="39"/>
        <v>Error?</v>
      </c>
    </row>
    <row r="2609" spans="1:4" x14ac:dyDescent="0.2">
      <c r="A2609" s="5">
        <v>2548</v>
      </c>
      <c r="B2609" s="1890">
        <f>'Acct Summary 7-8'!G14</f>
        <v>125</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141262</v>
      </c>
      <c r="C2612" s="2" t="s">
        <v>569</v>
      </c>
      <c r="D2612" s="2" t="str">
        <f t="shared" si="39"/>
        <v>Error?</v>
      </c>
    </row>
    <row r="2613" spans="1:4" x14ac:dyDescent="0.2">
      <c r="A2613" s="5">
        <v>2552</v>
      </c>
      <c r="B2613" s="1890">
        <f>'Acct Summary 7-8'!G20</f>
        <v>-33419</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216618</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216618</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213443</v>
      </c>
      <c r="C2634" s="2" t="s">
        <v>569</v>
      </c>
      <c r="D2634" s="2" t="str">
        <f t="shared" si="40"/>
        <v>Error?</v>
      </c>
    </row>
    <row r="2635" spans="1:4" x14ac:dyDescent="0.2">
      <c r="A2635" s="5">
        <v>2574</v>
      </c>
      <c r="B2635" s="1890">
        <f>'Acct Summary 7-8'!E17</f>
        <v>213443</v>
      </c>
      <c r="C2635" s="2" t="s">
        <v>569</v>
      </c>
      <c r="D2635" s="2" t="str">
        <f t="shared" si="40"/>
        <v>Error?</v>
      </c>
    </row>
    <row r="2636" spans="1:4" x14ac:dyDescent="0.2">
      <c r="A2636" s="5">
        <v>2575</v>
      </c>
      <c r="B2636" s="1890">
        <f>'Acct Summary 7-8'!E20</f>
        <v>3175</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285754</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285754</v>
      </c>
      <c r="C2658" s="2" t="s">
        <v>569</v>
      </c>
      <c r="D2658" s="2" t="str">
        <f t="shared" si="40"/>
        <v>Error?</v>
      </c>
    </row>
    <row r="2659" spans="1:4" x14ac:dyDescent="0.2">
      <c r="A2659" s="5">
        <v>2598</v>
      </c>
      <c r="B2659" s="1890">
        <f>'Acct Summary 7-8'!H13</f>
        <v>501863</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501863</v>
      </c>
      <c r="C2661" s="2" t="s">
        <v>569</v>
      </c>
      <c r="D2661" s="2" t="str">
        <f t="shared" si="40"/>
        <v>Error?</v>
      </c>
    </row>
    <row r="2662" spans="1:4" x14ac:dyDescent="0.2">
      <c r="A2662" s="5">
        <v>2601</v>
      </c>
      <c r="B2662" s="1890">
        <f>'Acct Summary 7-8'!H20</f>
        <v>-216109</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99289</v>
      </c>
      <c r="C2789" s="2" t="s">
        <v>569</v>
      </c>
      <c r="D2789" s="2" t="str">
        <f t="shared" si="42"/>
        <v>Error?</v>
      </c>
    </row>
    <row r="2790" spans="1:4" x14ac:dyDescent="0.2">
      <c r="A2790" s="5">
        <v>2729</v>
      </c>
      <c r="B2790" s="1890">
        <f>'Expenditures 15-22'!E102</f>
        <v>99289</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1143966</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59143</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1143966</v>
      </c>
      <c r="D2912" s="2" t="str">
        <f t="shared" si="44"/>
        <v>Error?</v>
      </c>
    </row>
    <row r="2913" spans="1:4" x14ac:dyDescent="0.2">
      <c r="A2913" s="5">
        <v>2852</v>
      </c>
      <c r="B2913" s="1890">
        <f>'Assets-Liab 5-6'!I41</f>
        <v>1143966</v>
      </c>
      <c r="C2913" s="2" t="s">
        <v>569</v>
      </c>
      <c r="D2913" s="2" t="str">
        <f t="shared" si="44"/>
        <v>Error?</v>
      </c>
    </row>
    <row r="2914" spans="1:4" x14ac:dyDescent="0.2">
      <c r="A2914" s="5">
        <v>2853</v>
      </c>
      <c r="B2914" s="1890">
        <f>'Assets-Liab 5-6'!L33</f>
        <v>59143</v>
      </c>
      <c r="D2914" s="2" t="str">
        <f t="shared" si="44"/>
        <v>Error?</v>
      </c>
    </row>
    <row r="2915" spans="1:4" x14ac:dyDescent="0.2">
      <c r="A2915" s="10">
        <v>2854</v>
      </c>
      <c r="B2915" s="1890"/>
      <c r="D2915" s="2" t="str">
        <f t="shared" si="44"/>
        <v>OK</v>
      </c>
    </row>
    <row r="2916" spans="1:4" x14ac:dyDescent="0.2">
      <c r="A2916" s="5">
        <v>2855</v>
      </c>
      <c r="B2916" s="1890">
        <f>'Assets-Liab 5-6'!L34</f>
        <v>59143</v>
      </c>
      <c r="C2916" s="2" t="s">
        <v>569</v>
      </c>
      <c r="D2916" s="2" t="str">
        <f t="shared" si="44"/>
        <v>Error?</v>
      </c>
    </row>
    <row r="2917" spans="1:4" x14ac:dyDescent="0.2">
      <c r="A2917" s="5">
        <v>2856</v>
      </c>
      <c r="B2917" s="1890">
        <f>'Assets-Liab 5-6'!L41</f>
        <v>59143</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99289</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99289</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62915</v>
      </c>
      <c r="D3055" s="2" t="str">
        <f t="shared" si="46"/>
        <v>Error?</v>
      </c>
    </row>
    <row r="3056" spans="1:4" x14ac:dyDescent="0.2">
      <c r="A3056" s="5">
        <v>2995</v>
      </c>
      <c r="B3056" s="1890">
        <f>'Expenditures 15-22'!D10</f>
        <v>18318</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42192</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123425</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1322</v>
      </c>
      <c r="D3064" s="2" t="str">
        <f t="shared" si="46"/>
        <v>Error?</v>
      </c>
    </row>
    <row r="3065" spans="1:4" x14ac:dyDescent="0.2">
      <c r="A3065" s="5">
        <v>3004</v>
      </c>
      <c r="B3065" s="1890">
        <f>'Expenditures 15-22'!K219</f>
        <v>1322</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62893</v>
      </c>
      <c r="C3225" s="2" t="s">
        <v>569</v>
      </c>
      <c r="D3225" s="2" t="str">
        <f t="shared" si="49"/>
        <v>Error?</v>
      </c>
    </row>
    <row r="3226" spans="1:4" x14ac:dyDescent="0.2">
      <c r="A3226" s="5">
        <v>3165</v>
      </c>
      <c r="B3226" s="1890">
        <f>'Acct Summary 7-8'!I8</f>
        <v>62893</v>
      </c>
      <c r="C3226" s="2" t="s">
        <v>569</v>
      </c>
      <c r="D3226" s="2" t="str">
        <f t="shared" si="49"/>
        <v>Error?</v>
      </c>
    </row>
    <row r="3227" spans="1:4" x14ac:dyDescent="0.2">
      <c r="A3227" s="5">
        <v>3166</v>
      </c>
      <c r="B3227" s="1890">
        <f>'Acct Summary 7-8'!I20</f>
        <v>62893</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3042</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3042</v>
      </c>
      <c r="C3232" s="2" t="s">
        <v>569</v>
      </c>
      <c r="D3232" s="2" t="str">
        <f t="shared" si="49"/>
        <v>Error?</v>
      </c>
    </row>
    <row r="3233" spans="1:4" x14ac:dyDescent="0.2">
      <c r="A3233" s="5">
        <v>3172</v>
      </c>
      <c r="B3233" s="1890">
        <f>'Acct Summary 7-8'!C78</f>
        <v>363135</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250000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250000</v>
      </c>
      <c r="C3238" s="2" t="s">
        <v>569</v>
      </c>
      <c r="D3238" s="2" t="str">
        <f t="shared" si="49"/>
        <v>Error?</v>
      </c>
    </row>
    <row r="3239" spans="1:4" x14ac:dyDescent="0.2">
      <c r="A3239" s="5">
        <v>3178</v>
      </c>
      <c r="B3239" s="1890">
        <f>'Acct Summary 7-8'!D78</f>
        <v>-97777</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250000</v>
      </c>
      <c r="C3254" s="2" t="s">
        <v>569</v>
      </c>
      <c r="D3254" s="2" t="str">
        <f t="shared" si="49"/>
        <v>Error?</v>
      </c>
    </row>
    <row r="3255" spans="1:4" x14ac:dyDescent="0.2">
      <c r="A3255" s="5">
        <v>3194</v>
      </c>
      <c r="B3255" s="1890">
        <f>'Acct Summary 7-8'!F77</f>
        <v>-250000</v>
      </c>
      <c r="C3255" s="2" t="s">
        <v>569</v>
      </c>
      <c r="D3255" s="2" t="str">
        <f t="shared" si="49"/>
        <v>Error?</v>
      </c>
    </row>
    <row r="3256" spans="1:4" x14ac:dyDescent="0.2">
      <c r="A3256" s="5">
        <v>3195</v>
      </c>
      <c r="B3256" s="1890">
        <f>'Acct Summary 7-8'!F78</f>
        <v>-95291</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-33419</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3175</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-216109</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3042</v>
      </c>
      <c r="C3318" s="2" t="s">
        <v>569</v>
      </c>
      <c r="D3318" s="2" t="str">
        <f t="shared" si="50"/>
        <v>Error?</v>
      </c>
    </row>
    <row r="3319" spans="1:4" x14ac:dyDescent="0.2">
      <c r="A3319" s="5">
        <v>3258</v>
      </c>
      <c r="B3319" s="1890">
        <f>'Acct Summary 7-8'!I77</f>
        <v>-3042</v>
      </c>
      <c r="C3319" s="2" t="s">
        <v>569</v>
      </c>
      <c r="D3319" s="2" t="str">
        <f t="shared" si="50"/>
        <v>Error?</v>
      </c>
    </row>
    <row r="3320" spans="1:4" x14ac:dyDescent="0.2">
      <c r="A3320" s="5">
        <v>3259</v>
      </c>
      <c r="B3320" s="1890">
        <f>'Acct Summary 7-8'!I78</f>
        <v>59851</v>
      </c>
      <c r="C3320" s="2" t="s">
        <v>569</v>
      </c>
      <c r="D3320" s="2" t="str">
        <f t="shared" si="50"/>
        <v>Error?</v>
      </c>
    </row>
    <row r="3321" spans="1:4" x14ac:dyDescent="0.2">
      <c r="A3321" s="5">
        <v>3260</v>
      </c>
      <c r="B3321" s="1890">
        <f>'Acct Summary 7-8'!I79</f>
        <v>1084115</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1143966</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615668</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138623</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2635</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756926</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20684</v>
      </c>
      <c r="D3387" s="2" t="str">
        <f t="shared" si="51"/>
        <v>Error?</v>
      </c>
    </row>
    <row r="3388" spans="1:4" x14ac:dyDescent="0.2">
      <c r="A3388" s="5">
        <v>3327</v>
      </c>
      <c r="B3388" s="1890">
        <f>'Expenditures 15-22'!D217</f>
        <v>43730</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20684</v>
      </c>
      <c r="C3390" s="2" t="s">
        <v>569</v>
      </c>
      <c r="D3390" s="2" t="str">
        <f t="shared" si="51"/>
        <v>Error?</v>
      </c>
    </row>
    <row r="3391" spans="1:4" x14ac:dyDescent="0.2">
      <c r="A3391" s="5">
        <v>3330</v>
      </c>
      <c r="B3391" s="1890">
        <f>'Expenditures 15-22'!K217</f>
        <v>43730</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1528841</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367995</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5805</v>
      </c>
      <c r="D3417" s="2" t="str">
        <f t="shared" si="52"/>
        <v>Error?</v>
      </c>
    </row>
    <row r="3418" spans="1:4" x14ac:dyDescent="0.2">
      <c r="A3418" s="10">
        <v>3357</v>
      </c>
      <c r="B3418" s="1890"/>
      <c r="D3418" s="2" t="str">
        <f t="shared" si="52"/>
        <v>OK</v>
      </c>
    </row>
    <row r="3419" spans="1:4" x14ac:dyDescent="0.2">
      <c r="A3419" s="5">
        <v>3358</v>
      </c>
      <c r="B3419" s="1890">
        <f>'Assets-Liab 5-6'!F4</f>
        <v>278762</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154650</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30215</v>
      </c>
      <c r="D3425" s="2" t="str">
        <f t="shared" si="52"/>
        <v>Error?</v>
      </c>
    </row>
    <row r="3426" spans="1:4" x14ac:dyDescent="0.2">
      <c r="A3426" s="10">
        <v>3365</v>
      </c>
      <c r="B3426" s="1890"/>
      <c r="D3426" s="2" t="str">
        <f t="shared" si="52"/>
        <v>OK</v>
      </c>
    </row>
    <row r="3427" spans="1:4" x14ac:dyDescent="0.2">
      <c r="A3427" s="5">
        <v>3366</v>
      </c>
      <c r="B3427" s="1890">
        <f>'Assets-Liab 5-6'!I4</f>
        <v>1028966</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59143</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50689</v>
      </c>
      <c r="C3446" s="2" t="s">
        <v>569</v>
      </c>
      <c r="D3446" s="2" t="str">
        <f t="shared" si="52"/>
        <v>Error?</v>
      </c>
    </row>
    <row r="3447" spans="1:4" x14ac:dyDescent="0.2">
      <c r="A3447" s="5">
        <v>3386</v>
      </c>
      <c r="B3447" s="1890">
        <f>'Tax Sched 23'!D16</f>
        <v>50689</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50164</v>
      </c>
      <c r="C3449" s="2" t="s">
        <v>569</v>
      </c>
      <c r="D3449" s="2" t="str">
        <f t="shared" si="52"/>
        <v>Error?</v>
      </c>
    </row>
    <row r="3450" spans="1:4" x14ac:dyDescent="0.2">
      <c r="A3450" s="5">
        <v>3389</v>
      </c>
      <c r="B3450" s="1890">
        <f>'Tax Sched 23'!E16</f>
        <v>50164</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0</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0</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0</v>
      </c>
      <c r="D3567" s="2" t="str">
        <f t="shared" si="54"/>
        <v>Error?</v>
      </c>
    </row>
    <row r="3568" spans="1:4" x14ac:dyDescent="0.2">
      <c r="A3568" s="5">
        <v>3507</v>
      </c>
      <c r="B3568" s="1890">
        <f>'Assets-Liab 5-6'!K41</f>
        <v>0</v>
      </c>
      <c r="C3568" s="2" t="s">
        <v>569</v>
      </c>
      <c r="D3568" s="2" t="str">
        <f t="shared" si="54"/>
        <v>Error?</v>
      </c>
    </row>
    <row r="3569" spans="1:4" x14ac:dyDescent="0.2">
      <c r="A3569" s="5">
        <v>3508</v>
      </c>
      <c r="B3569" s="1890">
        <f>'Acct Summary 7-8'!K4</f>
        <v>0</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0</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0</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0</v>
      </c>
      <c r="C3588" s="2" t="s">
        <v>569</v>
      </c>
      <c r="D3588" s="2" t="str">
        <f t="shared" si="55"/>
        <v>Error?</v>
      </c>
    </row>
    <row r="3589" spans="1:4" x14ac:dyDescent="0.2">
      <c r="A3589" s="5">
        <v>3528</v>
      </c>
      <c r="B3589" s="1890">
        <f>'Acct Summary 7-8'!K79</f>
        <v>0</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0</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0</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1860396</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6379890</v>
      </c>
      <c r="C4122" s="2" t="s">
        <v>569</v>
      </c>
      <c r="D4122" s="2" t="str">
        <f t="shared" si="63"/>
        <v>Error?</v>
      </c>
    </row>
    <row r="4123" spans="1:4" x14ac:dyDescent="0.2">
      <c r="A4123" s="5">
        <v>4062</v>
      </c>
      <c r="B4123" s="1890">
        <f>'Acct Summary 7-8'!D10</f>
        <v>365700</v>
      </c>
      <c r="C4123" s="2" t="s">
        <v>569</v>
      </c>
      <c r="D4123" s="2" t="str">
        <f t="shared" si="63"/>
        <v>Error?</v>
      </c>
    </row>
    <row r="4124" spans="1:4" x14ac:dyDescent="0.2">
      <c r="A4124" s="5">
        <v>4063</v>
      </c>
      <c r="B4124" s="1890">
        <f>'Acct Summary 7-8'!E10</f>
        <v>216618</v>
      </c>
      <c r="C4124" s="2" t="s">
        <v>569</v>
      </c>
      <c r="D4124" s="2" t="str">
        <f t="shared" si="63"/>
        <v>Error?</v>
      </c>
    </row>
    <row r="4125" spans="1:4" x14ac:dyDescent="0.2">
      <c r="A4125" s="5">
        <v>4064</v>
      </c>
      <c r="B4125" s="1890">
        <f>'Acct Summary 7-8'!F10</f>
        <v>342247</v>
      </c>
      <c r="C4125" s="2" t="s">
        <v>569</v>
      </c>
      <c r="D4125" s="2" t="str">
        <f t="shared" si="63"/>
        <v>Error?</v>
      </c>
    </row>
    <row r="4126" spans="1:4" x14ac:dyDescent="0.2">
      <c r="A4126" s="5">
        <v>4065</v>
      </c>
      <c r="B4126" s="1890">
        <f>'Acct Summary 7-8'!G10</f>
        <v>107843</v>
      </c>
      <c r="C4126" s="2" t="s">
        <v>569</v>
      </c>
      <c r="D4126" s="2" t="str">
        <f t="shared" si="63"/>
        <v>Error?</v>
      </c>
    </row>
    <row r="4127" spans="1:4" x14ac:dyDescent="0.2">
      <c r="A4127" s="5">
        <v>4066</v>
      </c>
      <c r="B4127" s="1890">
        <f>'Acct Summary 7-8'!H10</f>
        <v>285754</v>
      </c>
      <c r="C4127" s="2" t="s">
        <v>569</v>
      </c>
      <c r="D4127" s="2" t="str">
        <f t="shared" si="63"/>
        <v>Error?</v>
      </c>
    </row>
    <row r="4128" spans="1:4" x14ac:dyDescent="0.2">
      <c r="A4128" s="5">
        <v>4067</v>
      </c>
      <c r="B4128" s="1890">
        <f>'Acct Summary 7-8'!I10</f>
        <v>62893</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0</v>
      </c>
      <c r="C4130" s="2" t="s">
        <v>569</v>
      </c>
      <c r="D4130" s="2" t="str">
        <f t="shared" si="63"/>
        <v>Error?</v>
      </c>
    </row>
    <row r="4131" spans="1:4" x14ac:dyDescent="0.2">
      <c r="A4131" s="5">
        <v>4070</v>
      </c>
      <c r="B4131" s="1890">
        <f>'Acct Summary 7-8'!C18</f>
        <v>1860396</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6019797</v>
      </c>
      <c r="C4136" s="2" t="s">
        <v>569</v>
      </c>
      <c r="D4136" s="2" t="str">
        <f t="shared" si="63"/>
        <v>Error?</v>
      </c>
    </row>
    <row r="4137" spans="1:4" x14ac:dyDescent="0.2">
      <c r="A4137" s="5">
        <v>4076</v>
      </c>
      <c r="B4137" s="1890">
        <f>'Acct Summary 7-8'!D19</f>
        <v>713477</v>
      </c>
      <c r="C4137" s="2" t="s">
        <v>569</v>
      </c>
      <c r="D4137" s="2" t="str">
        <f t="shared" si="63"/>
        <v>Error?</v>
      </c>
    </row>
    <row r="4138" spans="1:4" x14ac:dyDescent="0.2">
      <c r="A4138" s="5">
        <v>4077</v>
      </c>
      <c r="B4138" s="1890">
        <f>'Acct Summary 7-8'!E19</f>
        <v>213443</v>
      </c>
      <c r="C4138" s="2" t="s">
        <v>569</v>
      </c>
      <c r="D4138" s="2" t="str">
        <f t="shared" si="63"/>
        <v>Error?</v>
      </c>
    </row>
    <row r="4139" spans="1:4" x14ac:dyDescent="0.2">
      <c r="A4139" s="5">
        <v>4078</v>
      </c>
      <c r="B4139" s="1890">
        <f>'Acct Summary 7-8'!F19</f>
        <v>187538</v>
      </c>
      <c r="C4139" s="2" t="s">
        <v>569</v>
      </c>
      <c r="D4139" s="2" t="str">
        <f t="shared" si="63"/>
        <v>Error?</v>
      </c>
    </row>
    <row r="4140" spans="1:4" x14ac:dyDescent="0.2">
      <c r="A4140" s="5">
        <v>4079</v>
      </c>
      <c r="B4140" s="1890">
        <f>'Acct Summary 7-8'!G19</f>
        <v>141262</v>
      </c>
      <c r="C4140" s="2" t="s">
        <v>569</v>
      </c>
      <c r="D4140" s="2" t="str">
        <f t="shared" si="63"/>
        <v>Error?</v>
      </c>
    </row>
    <row r="4141" spans="1:4" x14ac:dyDescent="0.2">
      <c r="A4141" s="5">
        <v>4080</v>
      </c>
      <c r="B4141" s="1890">
        <f>'Acct Summary 7-8'!H19</f>
        <v>501863</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210000</v>
      </c>
      <c r="C4171" s="2" t="s">
        <v>569</v>
      </c>
      <c r="D4171" s="2" t="str">
        <f t="shared" si="64"/>
        <v>Error?</v>
      </c>
    </row>
    <row r="4172" spans="1:4" x14ac:dyDescent="0.2">
      <c r="A4172" s="5">
        <v>4111</v>
      </c>
      <c r="B4172" s="1890">
        <f>'Short-Term Long-Term Debt 24'!J49</f>
        <v>204195</v>
      </c>
      <c r="C4172" s="2" t="s">
        <v>569</v>
      </c>
      <c r="D4172" s="2" t="str">
        <f t="shared" si="64"/>
        <v>Error?</v>
      </c>
    </row>
    <row r="4173" spans="1:4" x14ac:dyDescent="0.2">
      <c r="A4173" s="5">
        <v>4112</v>
      </c>
      <c r="B4173" s="1890">
        <f>'Short-Term Long-Term Debt 24'!H49</f>
        <v>205000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2380</v>
      </c>
      <c r="C4265" s="2" t="s">
        <v>569</v>
      </c>
      <c r="D4265" s="2" t="str">
        <f t="shared" si="65"/>
        <v>Error?</v>
      </c>
      <c r="E4265" s="125"/>
    </row>
    <row r="4266" spans="1:5" x14ac:dyDescent="0.2">
      <c r="A4266" s="12">
        <v>4205</v>
      </c>
      <c r="B4266" s="1890">
        <f>('FP Info 3'!F10)*100000</f>
        <v>250</v>
      </c>
      <c r="C4266" s="2" t="s">
        <v>569</v>
      </c>
      <c r="D4266" s="2" t="str">
        <f t="shared" si="65"/>
        <v>Error?</v>
      </c>
      <c r="E4266" s="125"/>
    </row>
    <row r="4267" spans="1:5" x14ac:dyDescent="0.2">
      <c r="A4267" s="12">
        <v>4206</v>
      </c>
      <c r="B4267" s="1890">
        <f>('FP Info 3'!H10)*100000</f>
        <v>119.99999999999999</v>
      </c>
      <c r="C4267" s="2" t="s">
        <v>569</v>
      </c>
      <c r="D4267" s="2" t="str">
        <f t="shared" si="65"/>
        <v>Error?</v>
      </c>
      <c r="E4267" s="125"/>
    </row>
    <row r="4268" spans="1:5" x14ac:dyDescent="0.2">
      <c r="A4268" s="12">
        <v>4207</v>
      </c>
      <c r="B4268" s="1890">
        <f>('FP Info 3'!J10)*100000</f>
        <v>2750</v>
      </c>
      <c r="C4268" s="2" t="s">
        <v>569</v>
      </c>
      <c r="D4268" s="2" t="str">
        <f t="shared" si="65"/>
        <v>Error?</v>
      </c>
    </row>
    <row r="4269" spans="1:5" x14ac:dyDescent="0.2">
      <c r="A4269" s="12">
        <v>4208</v>
      </c>
      <c r="B4269" s="1890">
        <f>'FP Info 3'!J16</f>
        <v>3319564</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50000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5166</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8916</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0</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750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126148700</v>
      </c>
      <c r="D4995" s="2" t="str">
        <f t="shared" si="77"/>
        <v>Error?</v>
      </c>
    </row>
    <row r="4996" spans="1:4" x14ac:dyDescent="0.2">
      <c r="A4996" s="12">
        <v>4935</v>
      </c>
      <c r="B4996" s="1890">
        <f>'FP Info 3'!H31</f>
        <v>8704260.3000000007</v>
      </c>
      <c r="D4996" s="2" t="str">
        <f t="shared" si="77"/>
        <v>Error?</v>
      </c>
    </row>
    <row r="4997" spans="1:4" x14ac:dyDescent="0.2">
      <c r="A4997" s="12">
        <v>4936</v>
      </c>
      <c r="B4997" s="1890">
        <f>'FP Info 3'!H37</f>
        <v>210000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250000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250000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2849033</v>
      </c>
      <c r="D5061" s="2" t="str">
        <f t="shared" si="78"/>
        <v>Error?</v>
      </c>
    </row>
    <row r="5062" spans="1:4" x14ac:dyDescent="0.2">
      <c r="A5062" s="10">
        <v>5001</v>
      </c>
      <c r="B5062" s="1890"/>
      <c r="D5062" s="2" t="str">
        <f t="shared" si="78"/>
        <v>OK</v>
      </c>
    </row>
    <row r="5063" spans="1:4" x14ac:dyDescent="0.2">
      <c r="A5063" s="5">
        <v>5002</v>
      </c>
      <c r="B5063" s="1890">
        <f>'Revenues 9-14'!C7</f>
        <v>23940</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2872973</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0</v>
      </c>
      <c r="D5069" s="2" t="str">
        <f t="shared" si="78"/>
        <v>Error?</v>
      </c>
    </row>
    <row r="5070" spans="1:4" x14ac:dyDescent="0.2">
      <c r="A5070" s="5">
        <v>5009</v>
      </c>
      <c r="B5070" s="1890">
        <f>'Revenues 9-14'!C17</f>
        <v>94070</v>
      </c>
      <c r="D5070" s="2" t="str">
        <f t="shared" si="78"/>
        <v>Error?</v>
      </c>
    </row>
    <row r="5071" spans="1:4" x14ac:dyDescent="0.2">
      <c r="A5071" s="5">
        <v>5010</v>
      </c>
      <c r="B5071" s="1890">
        <f>'Revenues 9-14'!C18</f>
        <v>94070</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58890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58890</v>
      </c>
      <c r="C5087" s="2" t="s">
        <v>569</v>
      </c>
      <c r="D5087" s="2" t="str">
        <f t="shared" si="78"/>
        <v>Error?</v>
      </c>
    </row>
    <row r="5088" spans="1:4" x14ac:dyDescent="0.2">
      <c r="A5088" s="5">
        <v>5027</v>
      </c>
      <c r="B5088" s="1890">
        <f>'Revenues 9-14'!C65</f>
        <v>15804</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15804</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42952</v>
      </c>
      <c r="C5096" s="2" t="s">
        <v>569</v>
      </c>
      <c r="D5096" s="2" t="str">
        <f t="shared" si="78"/>
        <v>Error?</v>
      </c>
    </row>
    <row r="5097" spans="1:4" x14ac:dyDescent="0.2">
      <c r="A5097" s="5">
        <v>5036</v>
      </c>
      <c r="B5097" s="1890">
        <f>'Revenues 9-14'!C77</f>
        <v>2379</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2379</v>
      </c>
      <c r="C5102" s="2" t="s">
        <v>569</v>
      </c>
      <c r="D5102" s="2" t="str">
        <f t="shared" si="78"/>
        <v>Error?</v>
      </c>
    </row>
    <row r="5103" spans="1:4" x14ac:dyDescent="0.2">
      <c r="A5103" s="5">
        <v>5042</v>
      </c>
      <c r="B5103" s="1890">
        <f>'Revenues 9-14'!C84</f>
        <v>30250</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2765</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33015</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33957</v>
      </c>
      <c r="D5119" s="2" t="str">
        <f t="shared" ref="D5119:D5182" si="79">IF(ISBLANK(B5119),"OK",IF(A5119-B5119=0,"OK","Error?"))</f>
        <v>Error?</v>
      </c>
    </row>
    <row r="5120" spans="1:4" x14ac:dyDescent="0.2">
      <c r="A5120" s="5">
        <v>5059</v>
      </c>
      <c r="B5120" s="1890">
        <f>'Revenues 9-14'!C108</f>
        <v>33957</v>
      </c>
      <c r="C5120" s="2" t="s">
        <v>569</v>
      </c>
      <c r="D5120" s="2" t="str">
        <f t="shared" si="79"/>
        <v>Error?</v>
      </c>
    </row>
    <row r="5121" spans="1:4" x14ac:dyDescent="0.2">
      <c r="A5121" s="5">
        <v>5060</v>
      </c>
      <c r="B5121" s="1890">
        <f>'Revenues 9-14'!C109</f>
        <v>3154040</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814796</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814796</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74082</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74082</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1613</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221897</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298342</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1113138</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73568</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37152</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110720</v>
      </c>
      <c r="C5246" s="2" t="s">
        <v>569</v>
      </c>
      <c r="D5246" s="2" t="str">
        <f t="shared" si="80"/>
        <v>Error?</v>
      </c>
    </row>
    <row r="5247" spans="1:4" x14ac:dyDescent="0.2">
      <c r="A5247" s="5">
        <v>5186</v>
      </c>
      <c r="B5247" s="1890">
        <f>'Revenues 9-14'!C200</f>
        <v>102927</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102927</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0</v>
      </c>
      <c r="D5278" s="2" t="str">
        <f t="shared" si="81"/>
        <v>Error?</v>
      </c>
    </row>
    <row r="5279" spans="1:4" x14ac:dyDescent="0.2">
      <c r="A5279" s="5">
        <v>5218</v>
      </c>
      <c r="B5279" s="1890">
        <f>'Revenues 9-14'!C214</f>
        <v>7409</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7409</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17178</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252316</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252316</v>
      </c>
      <c r="C5326" s="2" t="s">
        <v>569</v>
      </c>
      <c r="D5326" s="2" t="str">
        <f t="shared" si="82"/>
        <v>Error?</v>
      </c>
    </row>
    <row r="5327" spans="1:5" x14ac:dyDescent="0.2">
      <c r="A5327" s="5">
        <v>5266</v>
      </c>
      <c r="B5327" s="1890">
        <f>'Revenues 9-14'!C268</f>
        <v>4519494</v>
      </c>
      <c r="C5327" s="2" t="s">
        <v>569</v>
      </c>
      <c r="D5327" s="2" t="str">
        <f t="shared" si="82"/>
        <v>Error?</v>
      </c>
    </row>
    <row r="5328" spans="1:5" x14ac:dyDescent="0.2">
      <c r="A5328" s="5">
        <v>5267</v>
      </c>
      <c r="B5328" s="1890">
        <f>'Revenues 9-14'!D5</f>
        <v>299265</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299265</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14322</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14322</v>
      </c>
      <c r="C5339" s="2" t="s">
        <v>569</v>
      </c>
      <c r="D5339" s="2" t="str">
        <f t="shared" si="82"/>
        <v>Error?</v>
      </c>
    </row>
    <row r="5340" spans="1:4" x14ac:dyDescent="0.2">
      <c r="A5340" s="5">
        <v>5279</v>
      </c>
      <c r="B5340" s="1890">
        <f>'Revenues 9-14'!D65</f>
        <v>1838</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1838</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275</v>
      </c>
      <c r="D5354" s="2" t="str">
        <f t="shared" si="82"/>
        <v>Error?</v>
      </c>
    </row>
    <row r="5355" spans="1:4" x14ac:dyDescent="0.2">
      <c r="A5355" s="5">
        <v>5294</v>
      </c>
      <c r="B5355" s="1890">
        <f>'Revenues 9-14'!D108</f>
        <v>275</v>
      </c>
      <c r="C5355" s="2" t="s">
        <v>569</v>
      </c>
      <c r="D5355" s="2" t="str">
        <f t="shared" si="82"/>
        <v>Error?</v>
      </c>
    </row>
    <row r="5356" spans="1:4" x14ac:dyDescent="0.2">
      <c r="A5356" s="5">
        <v>5295</v>
      </c>
      <c r="B5356" s="1890">
        <f>'Revenues 9-14'!D109</f>
        <v>315700</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50000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365700</v>
      </c>
      <c r="C5508" s="2" t="s">
        <v>569</v>
      </c>
      <c r="D5508" s="2" t="str">
        <f t="shared" si="85"/>
        <v>Error?</v>
      </c>
    </row>
    <row r="5509" spans="1:4" x14ac:dyDescent="0.2">
      <c r="A5509" s="5">
        <v>5448</v>
      </c>
      <c r="B5509" s="1890">
        <f>'Revenues 9-14'!E5</f>
        <v>216343</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216343</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275</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275</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216618</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216618</v>
      </c>
      <c r="C5552" s="2" t="s">
        <v>569</v>
      </c>
      <c r="D5552" s="2" t="str">
        <f t="shared" si="85"/>
        <v>Error?</v>
      </c>
    </row>
    <row r="5553" spans="1:4" x14ac:dyDescent="0.2">
      <c r="A5553" s="5">
        <v>5492</v>
      </c>
      <c r="B5553" s="1890">
        <f>'Revenues 9-14'!F5</f>
        <v>143648</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143648</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135000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135000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2210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2210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280858</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3634</v>
      </c>
      <c r="D5615" s="2" t="str">
        <f t="shared" si="86"/>
        <v>Error?</v>
      </c>
    </row>
    <row r="5616" spans="1:4" x14ac:dyDescent="0.2">
      <c r="A5616" s="10">
        <v>5555</v>
      </c>
      <c r="B5616" s="1890"/>
      <c r="D5616" s="2" t="str">
        <f t="shared" si="86"/>
        <v>OK</v>
      </c>
    </row>
    <row r="5617" spans="1:5" x14ac:dyDescent="0.2">
      <c r="A5617" s="5">
        <v>5556</v>
      </c>
      <c r="B5617" s="1890">
        <f>'Revenues 9-14'!F153</f>
        <v>57755</v>
      </c>
      <c r="D5617" s="2" t="str">
        <f t="shared" si="86"/>
        <v>Error?</v>
      </c>
    </row>
    <row r="5618" spans="1:5" x14ac:dyDescent="0.2">
      <c r="A5618" s="5">
        <v>5557</v>
      </c>
      <c r="B5618" s="1890">
        <f>'Revenues 9-14'!F155</f>
        <v>61389</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61389</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61389</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342247</v>
      </c>
      <c r="C5720" s="2" t="s">
        <v>569</v>
      </c>
      <c r="D5720" s="2" t="str">
        <f t="shared" si="88"/>
        <v>Error?</v>
      </c>
    </row>
    <row r="5721" spans="1:4" x14ac:dyDescent="0.2">
      <c r="A5721" s="5">
        <v>5660</v>
      </c>
      <c r="B5721" s="1890">
        <f>'Revenues 9-14'!G5</f>
        <v>50689</v>
      </c>
      <c r="D5721" s="2" t="str">
        <f t="shared" si="88"/>
        <v>Error?</v>
      </c>
    </row>
    <row r="5722" spans="1:4" x14ac:dyDescent="0.2">
      <c r="A5722" s="5">
        <v>5661</v>
      </c>
      <c r="B5722" s="1890">
        <f>'Revenues 9-14'!G7</f>
        <v>0</v>
      </c>
      <c r="D5722" s="2" t="str">
        <f t="shared" si="88"/>
        <v>Error?</v>
      </c>
    </row>
    <row r="5723" spans="1:4" x14ac:dyDescent="0.2">
      <c r="A5723" s="5">
        <v>5662</v>
      </c>
      <c r="B5723" s="1890">
        <f>'Revenues 9-14'!G8</f>
        <v>50689</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101378</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5000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5000</v>
      </c>
      <c r="C5730" s="2" t="s">
        <v>569</v>
      </c>
      <c r="D5730" s="2" t="str">
        <f t="shared" si="88"/>
        <v>Error?</v>
      </c>
    </row>
    <row r="5731" spans="1:4" x14ac:dyDescent="0.2">
      <c r="A5731" s="5">
        <v>5670</v>
      </c>
      <c r="B5731" s="1890">
        <f>'Revenues 9-14'!G65</f>
        <v>1465</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1465</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107843</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25963</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25963</v>
      </c>
      <c r="C5878" s="2" t="s">
        <v>569</v>
      </c>
      <c r="D5878" s="2" t="str">
        <f t="shared" si="90"/>
        <v>Error?</v>
      </c>
    </row>
    <row r="5879" spans="1:4" x14ac:dyDescent="0.2">
      <c r="A5879" s="5">
        <v>5818</v>
      </c>
      <c r="B5879" s="1890">
        <f>'Revenues 9-14'!H65</f>
        <v>204</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204</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259587</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285754</v>
      </c>
      <c r="C5915" s="2" t="s">
        <v>569</v>
      </c>
      <c r="D5915" s="2" t="str">
        <f t="shared" si="91"/>
        <v>Error?</v>
      </c>
    </row>
    <row r="5916" spans="1:4" x14ac:dyDescent="0.2">
      <c r="A5916" s="5">
        <v>5855</v>
      </c>
      <c r="B5916" s="1890">
        <f>'Revenues 9-14'!I5</f>
        <v>59851</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59851</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3042</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3042</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62893</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0</v>
      </c>
      <c r="C6023" s="2" t="s">
        <v>569</v>
      </c>
      <c r="D6023" s="2" t="str">
        <f t="shared" si="93"/>
        <v>Error?</v>
      </c>
    </row>
    <row r="6024" spans="1:5" x14ac:dyDescent="0.2">
      <c r="A6024" s="5">
        <v>5963</v>
      </c>
      <c r="B6024" s="1890">
        <f>'Revenues 9-14'!G109</f>
        <v>107843</v>
      </c>
      <c r="C6024" s="2" t="s">
        <v>569</v>
      </c>
      <c r="D6024" s="2" t="str">
        <f t="shared" si="93"/>
        <v>Error?</v>
      </c>
    </row>
    <row r="6025" spans="1:5" x14ac:dyDescent="0.2">
      <c r="A6025" s="5">
        <v>5964</v>
      </c>
      <c r="B6025" s="1890">
        <f>'Revenues 9-14'!H109</f>
        <v>285754</v>
      </c>
      <c r="C6025" s="2" t="s">
        <v>569</v>
      </c>
      <c r="D6025" s="2" t="str">
        <f t="shared" si="93"/>
        <v>Error?</v>
      </c>
    </row>
    <row r="6026" spans="1:5" x14ac:dyDescent="0.2">
      <c r="A6026" s="5">
        <v>5965</v>
      </c>
      <c r="B6026" s="1890">
        <f>'Revenues 9-14'!I109</f>
        <v>62893</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0</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42952</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11830</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477.6</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115000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463374</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115000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463374</v>
      </c>
      <c r="D6215" s="2" t="str">
        <f t="shared" si="96"/>
        <v>Error?</v>
      </c>
      <c r="E6215" s="2" t="s">
        <v>189</v>
      </c>
    </row>
    <row r="6216" spans="1:5" x14ac:dyDescent="0.2">
      <c r="A6216">
        <v>6155</v>
      </c>
      <c r="B6216" s="1890">
        <f>'Assets-Liab 5-6'!J41</f>
        <v>463374</v>
      </c>
      <c r="D6216" s="2" t="str">
        <f t="shared" si="96"/>
        <v>Error?</v>
      </c>
      <c r="E6216" s="2" t="s">
        <v>189</v>
      </c>
    </row>
    <row r="6217" spans="1:5" x14ac:dyDescent="0.2">
      <c r="A6217">
        <v>6156</v>
      </c>
      <c r="B6217" s="1890">
        <f>'Assets-Liab 5-6'!J4</f>
        <v>463374</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235722</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235722</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235722</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66434</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66434</v>
      </c>
      <c r="D6229" s="2" t="str">
        <f t="shared" si="96"/>
        <v>Error?</v>
      </c>
      <c r="E6229" s="2" t="s">
        <v>189</v>
      </c>
    </row>
    <row r="6230" spans="1:5" x14ac:dyDescent="0.2">
      <c r="A6230">
        <v>6169</v>
      </c>
      <c r="B6230" s="1890">
        <f>'Acct Summary 7-8'!J20</f>
        <v>169288</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169288</v>
      </c>
      <c r="D6263" s="2" t="str">
        <f t="shared" si="96"/>
        <v>Error?</v>
      </c>
      <c r="E6263" s="2" t="s">
        <v>189</v>
      </c>
    </row>
    <row r="6264" spans="1:5" x14ac:dyDescent="0.2">
      <c r="A6264">
        <v>6203</v>
      </c>
      <c r="B6264" s="1890">
        <f>'Acct Summary 7-8'!J79</f>
        <v>294086</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463374</v>
      </c>
      <c r="D6266" s="2" t="str">
        <f t="shared" si="96"/>
        <v>Error?</v>
      </c>
      <c r="E6266" s="2" t="s">
        <v>189</v>
      </c>
    </row>
    <row r="6267" spans="1:5" x14ac:dyDescent="0.2">
      <c r="A6267">
        <v>6206</v>
      </c>
      <c r="B6267" s="1890">
        <f>'Acct Summary 7-8'!C82</f>
        <v>363135</v>
      </c>
      <c r="D6267" s="2" t="str">
        <f t="shared" si="96"/>
        <v>Error?</v>
      </c>
      <c r="E6267" s="2" t="s">
        <v>189</v>
      </c>
    </row>
    <row r="6268" spans="1:5" x14ac:dyDescent="0.2">
      <c r="A6268">
        <v>6207</v>
      </c>
      <c r="B6268" s="1890">
        <f>'Acct Summary 7-8'!D82</f>
        <v>-97777</v>
      </c>
      <c r="D6268" s="2" t="str">
        <f t="shared" si="96"/>
        <v>Error?</v>
      </c>
      <c r="E6268" s="2" t="s">
        <v>189</v>
      </c>
    </row>
    <row r="6269" spans="1:5" x14ac:dyDescent="0.2">
      <c r="A6269">
        <v>6208</v>
      </c>
      <c r="B6269" s="1890">
        <f>'Acct Summary 7-8'!E82</f>
        <v>3175</v>
      </c>
      <c r="D6269" s="2" t="str">
        <f t="shared" si="96"/>
        <v>Error?</v>
      </c>
      <c r="E6269" s="2" t="s">
        <v>189</v>
      </c>
    </row>
    <row r="6270" spans="1:5" x14ac:dyDescent="0.2">
      <c r="A6270">
        <v>6209</v>
      </c>
      <c r="B6270" s="1890">
        <f>'Acct Summary 7-8'!F82</f>
        <v>-95291</v>
      </c>
      <c r="D6270" s="2" t="str">
        <f t="shared" si="96"/>
        <v>Error?</v>
      </c>
      <c r="E6270" s="2" t="s">
        <v>189</v>
      </c>
    </row>
    <row r="6271" spans="1:5" x14ac:dyDescent="0.2">
      <c r="A6271">
        <v>6210</v>
      </c>
      <c r="B6271" s="1890">
        <f>'Acct Summary 7-8'!G82</f>
        <v>-33419</v>
      </c>
      <c r="D6271" s="2" t="str">
        <f t="shared" ref="D6271:D6334" si="97">IF(ISBLANK(B6271),"OK",IF(A6271-B6271=0,"OK","Error?"))</f>
        <v>Error?</v>
      </c>
      <c r="E6271" s="2" t="s">
        <v>189</v>
      </c>
    </row>
    <row r="6272" spans="1:5" x14ac:dyDescent="0.2">
      <c r="A6272">
        <v>6211</v>
      </c>
      <c r="B6272" s="1890">
        <f>'Acct Summary 7-8'!H82</f>
        <v>-216109</v>
      </c>
      <c r="D6272" s="2" t="str">
        <f t="shared" si="97"/>
        <v>Error?</v>
      </c>
      <c r="E6272" s="2" t="s">
        <v>189</v>
      </c>
    </row>
    <row r="6273" spans="1:5" x14ac:dyDescent="0.2">
      <c r="A6273">
        <v>6212</v>
      </c>
      <c r="B6273" s="1890">
        <f>'Acct Summary 7-8'!I82</f>
        <v>59851</v>
      </c>
      <c r="D6273" s="2" t="str">
        <f t="shared" si="97"/>
        <v>Error?</v>
      </c>
      <c r="E6273" s="2" t="s">
        <v>189</v>
      </c>
    </row>
    <row r="6274" spans="1:5" x14ac:dyDescent="0.2">
      <c r="A6274">
        <v>6213</v>
      </c>
      <c r="B6274" s="1890">
        <f>'Acct Summary 7-8'!J82</f>
        <v>169288</v>
      </c>
      <c r="D6274" s="2" t="str">
        <f t="shared" si="97"/>
        <v>Error?</v>
      </c>
      <c r="E6274" s="2" t="s">
        <v>189</v>
      </c>
    </row>
    <row r="6275" spans="1:5" x14ac:dyDescent="0.2">
      <c r="A6275">
        <v>6214</v>
      </c>
      <c r="B6275" s="1890">
        <f>'Acct Summary 7-8'!K82</f>
        <v>0</v>
      </c>
      <c r="D6275" s="2" t="str">
        <f t="shared" si="97"/>
        <v>Error?</v>
      </c>
      <c r="E6275" s="2" t="s">
        <v>189</v>
      </c>
    </row>
    <row r="6276" spans="1:5" x14ac:dyDescent="0.2">
      <c r="A6276">
        <v>6215</v>
      </c>
      <c r="B6276" s="1890">
        <f>'Acct Summary 7-8'!C83</f>
        <v>0.23752306485762745</v>
      </c>
      <c r="D6276" s="2" t="str">
        <f t="shared" si="97"/>
        <v>Error?</v>
      </c>
      <c r="E6276" s="2" t="s">
        <v>189</v>
      </c>
    </row>
    <row r="6277" spans="1:5" x14ac:dyDescent="0.2">
      <c r="A6277">
        <v>6216</v>
      </c>
      <c r="B6277" s="1890">
        <f>'Acct Summary 7-8'!D83</f>
        <v>-0.26570197964646258</v>
      </c>
      <c r="D6277" s="2" t="str">
        <f t="shared" si="97"/>
        <v>Error?</v>
      </c>
      <c r="E6277" s="2" t="s">
        <v>189</v>
      </c>
    </row>
    <row r="6278" spans="1:5" x14ac:dyDescent="0.2">
      <c r="A6278">
        <v>6217</v>
      </c>
      <c r="B6278" s="1890">
        <f>'Acct Summary 7-8'!E83</f>
        <v>0.54694229112833759</v>
      </c>
      <c r="D6278" s="2" t="str">
        <f t="shared" si="97"/>
        <v>Error?</v>
      </c>
      <c r="E6278" s="2" t="s">
        <v>189</v>
      </c>
    </row>
    <row r="6279" spans="1:5" x14ac:dyDescent="0.2">
      <c r="A6279">
        <v>6218</v>
      </c>
      <c r="B6279" s="1890">
        <f>'Acct Summary 7-8'!F83</f>
        <v>-0.341836405248922</v>
      </c>
      <c r="D6279" s="2" t="str">
        <f t="shared" si="97"/>
        <v>Error?</v>
      </c>
      <c r="E6279" s="2" t="s">
        <v>189</v>
      </c>
    </row>
    <row r="6280" spans="1:5" x14ac:dyDescent="0.2">
      <c r="A6280">
        <v>6219</v>
      </c>
      <c r="B6280" s="1890">
        <f>'Acct Summary 7-8'!G83</f>
        <v>-0.2160944067248626</v>
      </c>
      <c r="D6280" s="2" t="str">
        <f t="shared" si="97"/>
        <v>Error?</v>
      </c>
      <c r="E6280" s="2" t="s">
        <v>189</v>
      </c>
    </row>
    <row r="6281" spans="1:5" x14ac:dyDescent="0.2">
      <c r="A6281">
        <v>6220</v>
      </c>
      <c r="B6281" s="1890">
        <f>'Acct Summary 7-8'!H83</f>
        <v>2.5489060564958423</v>
      </c>
      <c r="D6281" s="2" t="str">
        <f t="shared" si="97"/>
        <v>Error?</v>
      </c>
      <c r="E6281" s="2" t="s">
        <v>189</v>
      </c>
    </row>
    <row r="6282" spans="1:5" x14ac:dyDescent="0.2">
      <c r="A6282">
        <v>6221</v>
      </c>
      <c r="B6282" s="1890">
        <f>'Acct Summary 7-8'!I83</f>
        <v>5.2318862623539512E-2</v>
      </c>
      <c r="D6282" s="2" t="str">
        <f t="shared" si="97"/>
        <v>Error?</v>
      </c>
      <c r="E6282" s="2" t="s">
        <v>189</v>
      </c>
    </row>
    <row r="6283" spans="1:5" x14ac:dyDescent="0.2">
      <c r="A6283">
        <v>6222</v>
      </c>
      <c r="B6283" s="1890">
        <f>'Acct Summary 7-8'!J83</f>
        <v>0.36533771855995373</v>
      </c>
      <c r="D6283" s="2" t="str">
        <f t="shared" si="97"/>
        <v>Error?</v>
      </c>
      <c r="E6283" s="2" t="s">
        <v>189</v>
      </c>
    </row>
    <row r="6284" spans="1:5" x14ac:dyDescent="0.2">
      <c r="A6284">
        <v>6223</v>
      </c>
      <c r="B6284" s="1890" t="e">
        <f>'Acct Summary 7-8'!K83</f>
        <v>#DIV/0!</v>
      </c>
      <c r="D6284" s="2" t="e">
        <f t="shared" si="97"/>
        <v>#DIV/0!</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229123</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229123</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2989</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2989</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3610</v>
      </c>
      <c r="D6350" s="2" t="str">
        <f t="shared" si="98"/>
        <v>Error?</v>
      </c>
      <c r="E6350" s="2" t="s">
        <v>189</v>
      </c>
    </row>
    <row r="6351" spans="1:5" x14ac:dyDescent="0.2">
      <c r="A6351">
        <v>6290</v>
      </c>
      <c r="B6351" s="1890">
        <f>'Revenues 9-14'!J108</f>
        <v>3610</v>
      </c>
      <c r="D6351" s="2" t="str">
        <f t="shared" si="98"/>
        <v>Error?</v>
      </c>
      <c r="E6351" s="2" t="s">
        <v>189</v>
      </c>
    </row>
    <row r="6352" spans="1:5" x14ac:dyDescent="0.2">
      <c r="A6352">
        <v>6291</v>
      </c>
      <c r="B6352" s="1890">
        <f>'Revenues 9-14'!J109</f>
        <v>235722</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130550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195799</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71066</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139837</v>
      </c>
      <c r="D6983" s="2" t="str">
        <f t="shared" si="108"/>
        <v>Error?</v>
      </c>
    </row>
    <row r="6984" spans="1:4" x14ac:dyDescent="0.2">
      <c r="A6984">
        <v>6923</v>
      </c>
      <c r="B6984" s="1890">
        <f>'Expenditures 15-22'!K86</f>
        <v>139837</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139837</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66434</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350</v>
      </c>
      <c r="D7047" s="2" t="str">
        <f t="shared" si="109"/>
        <v>Error?</v>
      </c>
    </row>
    <row r="7048" spans="1:5" x14ac:dyDescent="0.2">
      <c r="A7048">
        <v>6987</v>
      </c>
      <c r="B7048" s="1890">
        <f>'Expenditures 15-22'!K147</f>
        <v>350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235722</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6061</v>
      </c>
      <c r="D7073" s="2" t="str">
        <f t="shared" si="109"/>
        <v>Error?</v>
      </c>
    </row>
    <row r="7074" spans="1:4" x14ac:dyDescent="0.2">
      <c r="A7074">
        <v>7013</v>
      </c>
      <c r="B7074" s="1890">
        <f>'Expenditures 15-22'!K216</f>
        <v>6061</v>
      </c>
      <c r="D7074" s="2" t="str">
        <f t="shared" si="109"/>
        <v>Error?</v>
      </c>
    </row>
    <row r="7075" spans="1:4" x14ac:dyDescent="0.2">
      <c r="A7075">
        <v>7014</v>
      </c>
      <c r="B7075" s="1890">
        <f>'Expenditures 15-22'!D218</f>
        <v>3135</v>
      </c>
      <c r="D7075" s="2" t="str">
        <f t="shared" si="109"/>
        <v>Error?</v>
      </c>
    </row>
    <row r="7076" spans="1:4" x14ac:dyDescent="0.2">
      <c r="A7076">
        <v>7015</v>
      </c>
      <c r="B7076" s="1890">
        <f>'Expenditures 15-22'!K218</f>
        <v>3135</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10900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10900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3022</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3022</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16065</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16065</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11230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11230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694</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694</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66434</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66434</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66434</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66434</v>
      </c>
      <c r="D7224" s="2" t="str">
        <f t="shared" si="111"/>
        <v>Error?</v>
      </c>
    </row>
    <row r="7225" spans="1:4" x14ac:dyDescent="0.2">
      <c r="A7225">
        <v>7164</v>
      </c>
      <c r="B7225" s="1890">
        <f>'Expenditures 15-22'!K343</f>
        <v>169288</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32868</v>
      </c>
      <c r="D7246" s="2" t="str">
        <f t="shared" si="112"/>
        <v>Error?</v>
      </c>
    </row>
    <row r="7247" spans="1:4" x14ac:dyDescent="0.2">
      <c r="A7247">
        <f t="shared" si="113"/>
        <v>7186</v>
      </c>
      <c r="B7247" s="1890">
        <f>'Expenditures 15-22'!E7</f>
        <v>2828</v>
      </c>
      <c r="D7247" s="2" t="str">
        <f t="shared" si="112"/>
        <v>Error?</v>
      </c>
    </row>
    <row r="7248" spans="1:4" x14ac:dyDescent="0.2">
      <c r="A7248">
        <f t="shared" si="113"/>
        <v>7187</v>
      </c>
      <c r="B7248" s="1890">
        <f>'Expenditures 15-22'!F7</f>
        <v>22808</v>
      </c>
      <c r="D7248" s="2" t="str">
        <f t="shared" si="112"/>
        <v>Error?</v>
      </c>
    </row>
    <row r="7249" spans="1:4" x14ac:dyDescent="0.2">
      <c r="A7249">
        <f t="shared" si="113"/>
        <v>7188</v>
      </c>
      <c r="B7249" s="1890">
        <f>'Expenditures 15-22'!G7</f>
        <v>6373</v>
      </c>
      <c r="D7249" s="2" t="str">
        <f t="shared" si="112"/>
        <v>Error?</v>
      </c>
    </row>
    <row r="7250" spans="1:4" x14ac:dyDescent="0.2">
      <c r="A7250">
        <f t="shared" si="113"/>
        <v>7189</v>
      </c>
      <c r="B7250" s="1890">
        <f>'Expenditures 15-22'!H7</f>
        <v>372</v>
      </c>
      <c r="D7250" s="2" t="str">
        <f t="shared" si="112"/>
        <v>Error?</v>
      </c>
    </row>
    <row r="7251" spans="1:4" x14ac:dyDescent="0.2">
      <c r="A7251">
        <f t="shared" si="113"/>
        <v>7190</v>
      </c>
      <c r="B7251" s="1890">
        <f>'Expenditures 15-22'!C9</f>
        <v>62131</v>
      </c>
      <c r="D7251" s="2" t="str">
        <f t="shared" si="112"/>
        <v>Error?</v>
      </c>
    </row>
    <row r="7252" spans="1:4" x14ac:dyDescent="0.2">
      <c r="A7252">
        <f t="shared" si="113"/>
        <v>7191</v>
      </c>
      <c r="B7252" s="1890">
        <f>'Expenditures 15-22'!D9</f>
        <v>8593</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342</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137704</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24065</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24065</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458</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458</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196866</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259587</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259587</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23940</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755993</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755993</v>
      </c>
      <c r="D7730" s="2" t="str">
        <f t="shared" si="126"/>
        <v>Error?</v>
      </c>
      <c r="E7730" s="2" t="s">
        <v>822</v>
      </c>
    </row>
    <row r="7731" spans="1:6" x14ac:dyDescent="0.2">
      <c r="A7731">
        <v>7670</v>
      </c>
      <c r="B7731" s="1890">
        <f>'Revenues 9-14'!H103</f>
        <v>259587</v>
      </c>
      <c r="D7731" s="2" t="str">
        <f t="shared" si="126"/>
        <v>Error?</v>
      </c>
      <c r="E7731" s="2" t="s">
        <v>822</v>
      </c>
    </row>
    <row r="7732" spans="1:6" x14ac:dyDescent="0.2">
      <c r="A7732">
        <v>7671</v>
      </c>
      <c r="B7732" s="1890">
        <f>'Rest Tax Levies-Tort Im 25'!J24</f>
        <v>-299540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-299540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1000000</v>
      </c>
      <c r="D7817" s="2" t="str">
        <f t="shared" si="128"/>
        <v>Error?</v>
      </c>
      <c r="E7817" s="4" t="s">
        <v>1969</v>
      </c>
    </row>
    <row r="7818" spans="1:5" x14ac:dyDescent="0.2">
      <c r="A7818">
        <v>7757</v>
      </c>
      <c r="B7818" s="1890">
        <f>'PCTC-OEPP 27-28'!F172</f>
        <v>171375</v>
      </c>
      <c r="D7818" s="2" t="str">
        <f t="shared" si="128"/>
        <v>Error?</v>
      </c>
      <c r="E7818" s="4" t="s">
        <v>1983</v>
      </c>
    </row>
    <row r="7819" spans="1:5" x14ac:dyDescent="0.2">
      <c r="A7819">
        <v>7758</v>
      </c>
      <c r="B7819" s="1890">
        <f>'PCTC-OEPP 27-28'!F173</f>
        <v>5</v>
      </c>
      <c r="D7819" s="2" t="str">
        <f t="shared" si="128"/>
        <v>Error?</v>
      </c>
      <c r="E7819" s="4" t="s">
        <v>1983</v>
      </c>
    </row>
    <row r="7820" spans="1:5" x14ac:dyDescent="0.2">
      <c r="A7820">
        <v>7759</v>
      </c>
      <c r="B7820" s="1890">
        <f>'ICR Computation 30'!E40</f>
        <v>-106408</v>
      </c>
      <c r="D7820" s="2" t="str">
        <f t="shared" si="128"/>
        <v>Error?</v>
      </c>
    </row>
    <row r="7821" spans="1:5" x14ac:dyDescent="0.2">
      <c r="A7821">
        <v>7760</v>
      </c>
      <c r="B7821" s="1890">
        <f>'ICR Computation 30'!G40</f>
        <v>-106408</v>
      </c>
      <c r="D7821" s="2" t="str">
        <f t="shared" si="128"/>
        <v>Error?</v>
      </c>
    </row>
    <row r="7822" spans="1:5" x14ac:dyDescent="0.2">
      <c r="A7822" s="1">
        <v>7761</v>
      </c>
      <c r="B7822" s="1890">
        <f>'PCTC-OEPP 27-28'!F14</f>
        <v>5481555</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189426</v>
      </c>
      <c r="D7826" s="2" t="str">
        <f t="shared" si="129"/>
        <v>Error?</v>
      </c>
      <c r="E7826" s="4" t="s">
        <v>2001</v>
      </c>
    </row>
    <row r="7827" spans="1:5" x14ac:dyDescent="0.2">
      <c r="A7827">
        <v>7766</v>
      </c>
      <c r="B7827" s="1890">
        <f>'PCTC-OEPP 27-28'!F35</f>
        <v>71066</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1178</v>
      </c>
      <c r="D7830" s="2" t="str">
        <f t="shared" si="129"/>
        <v>Error?</v>
      </c>
      <c r="E7830" s="4" t="s">
        <v>2001</v>
      </c>
    </row>
    <row r="7831" spans="1:5" x14ac:dyDescent="0.2">
      <c r="A7831">
        <v>7770</v>
      </c>
      <c r="B7831" s="1890">
        <f>'PCTC-OEPP 27-28'!F52</f>
        <v>6705</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1065288</v>
      </c>
      <c r="D7834" s="2" t="str">
        <f t="shared" si="129"/>
        <v>Error?</v>
      </c>
      <c r="E7834" s="4" t="s">
        <v>2001</v>
      </c>
    </row>
    <row r="7835" spans="1:5" x14ac:dyDescent="0.2">
      <c r="A7835">
        <v>7774</v>
      </c>
      <c r="B7835" s="1890">
        <f>'PCTC-OEPP 27-28'!F78</f>
        <v>4416267</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9246.7902010050238</v>
      </c>
      <c r="D7837" s="2" t="str">
        <f t="shared" si="129"/>
        <v>Error?</v>
      </c>
      <c r="E7837" s="4" t="s">
        <v>2001</v>
      </c>
    </row>
    <row r="7838" spans="1:5" x14ac:dyDescent="0.2">
      <c r="A7838">
        <v>7777</v>
      </c>
      <c r="B7838" s="1890">
        <f>'PCTC-OEPP 27-28'!F96</f>
        <v>2379</v>
      </c>
      <c r="D7838" s="2" t="str">
        <f t="shared" si="129"/>
        <v>Error?</v>
      </c>
      <c r="E7838" s="4" t="s">
        <v>2001</v>
      </c>
    </row>
    <row r="7839" spans="1:5" x14ac:dyDescent="0.2">
      <c r="A7839">
        <v>7778</v>
      </c>
      <c r="B7839" s="1890">
        <f>'PCTC-OEPP 27-28'!F102</f>
        <v>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74082</v>
      </c>
      <c r="D7842" s="2" t="str">
        <f t="shared" si="129"/>
        <v>Error?</v>
      </c>
      <c r="E7842" s="4" t="s">
        <v>2001</v>
      </c>
    </row>
    <row r="7843" spans="1:5" x14ac:dyDescent="0.2">
      <c r="A7843">
        <v>7782</v>
      </c>
      <c r="B7843" s="1890">
        <f>'PCTC-OEPP 27-28'!F107</f>
        <v>0</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61389</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750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110720</v>
      </c>
      <c r="D7858" s="2" t="str">
        <f t="shared" si="129"/>
        <v>Error?</v>
      </c>
      <c r="E7858" s="4" t="s">
        <v>2001</v>
      </c>
    </row>
    <row r="7859" spans="1:5" x14ac:dyDescent="0.2">
      <c r="A7859">
        <v>7798</v>
      </c>
      <c r="B7859" s="1890">
        <f>'PCTC-OEPP 27-28'!F127</f>
        <v>102927</v>
      </c>
      <c r="D7859" s="2" t="str">
        <f t="shared" si="129"/>
        <v>Error?</v>
      </c>
      <c r="E7859" s="4" t="s">
        <v>2001</v>
      </c>
    </row>
    <row r="7860" spans="1:5" x14ac:dyDescent="0.2">
      <c r="A7860">
        <v>7799</v>
      </c>
      <c r="B7860" s="1890">
        <f>'PCTC-OEPP 27-28'!F128</f>
        <v>0</v>
      </c>
      <c r="D7860" s="2" t="str">
        <f t="shared" si="129"/>
        <v>Error?</v>
      </c>
      <c r="E7860" s="4" t="s">
        <v>2001</v>
      </c>
    </row>
    <row r="7861" spans="1:5" x14ac:dyDescent="0.2">
      <c r="A7861">
        <v>7800</v>
      </c>
      <c r="B7861" s="1890">
        <f>'PCTC-OEPP 27-28'!F129</f>
        <v>0</v>
      </c>
      <c r="D7861" s="2" t="str">
        <f t="shared" si="129"/>
        <v>Error?</v>
      </c>
      <c r="E7861" s="4" t="s">
        <v>2001</v>
      </c>
    </row>
    <row r="7862" spans="1:5" x14ac:dyDescent="0.2">
      <c r="A7862">
        <v>7801</v>
      </c>
      <c r="B7862" s="1890">
        <f>'PCTC-OEPP 27-28'!F130</f>
        <v>7409</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17178</v>
      </c>
      <c r="D7871" s="2" t="str">
        <f t="shared" si="129"/>
        <v>Error?</v>
      </c>
      <c r="E7871" s="4" t="s">
        <v>2001</v>
      </c>
    </row>
    <row r="7872" spans="1:5" x14ac:dyDescent="0.2">
      <c r="A7872">
        <v>7811</v>
      </c>
      <c r="B7872" s="1890">
        <f>'PCTC-OEPP 27-28'!F165</f>
        <v>0</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5166</v>
      </c>
      <c r="D7874" s="2" t="str">
        <f t="shared" si="129"/>
        <v>Error?</v>
      </c>
      <c r="E7874" s="4" t="s">
        <v>2001</v>
      </c>
    </row>
    <row r="7875" spans="1:5" x14ac:dyDescent="0.2">
      <c r="A7875">
        <v>7814</v>
      </c>
      <c r="B7875" s="1890">
        <f>'PCTC-OEPP 27-28'!F170</f>
        <v>8916</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689876</v>
      </c>
      <c r="D7877" s="2" t="str">
        <f t="shared" si="129"/>
        <v>Error?</v>
      </c>
      <c r="E7877" s="4" t="s">
        <v>2001</v>
      </c>
    </row>
    <row r="7878" spans="1:5" x14ac:dyDescent="0.2">
      <c r="A7878">
        <v>7817</v>
      </c>
      <c r="B7878" s="1890">
        <f>'PCTC-OEPP 27-28'!F176</f>
        <v>3726391</v>
      </c>
      <c r="D7878" s="2" t="str">
        <f t="shared" si="129"/>
        <v>Error?</v>
      </c>
      <c r="E7878" s="4" t="s">
        <v>2001</v>
      </c>
    </row>
    <row r="7879" spans="1:5" x14ac:dyDescent="0.2">
      <c r="A7879">
        <v>7818</v>
      </c>
      <c r="B7879" s="1890">
        <f>'PCTC-OEPP 27-28'!F178</f>
        <v>3864095</v>
      </c>
      <c r="D7879" s="2" t="str">
        <f t="shared" si="129"/>
        <v>Error?</v>
      </c>
      <c r="E7879" s="4" t="s">
        <v>2001</v>
      </c>
    </row>
    <row r="7880" spans="1:5" x14ac:dyDescent="0.2">
      <c r="A7880">
        <v>7819</v>
      </c>
      <c r="B7880" s="1890">
        <f>'PCTC-OEPP 27-28'!F180</f>
        <v>8090.651172529313</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65" t="s">
        <v>1183</v>
      </c>
      <c r="B2" s="2465"/>
      <c r="C2" s="2465"/>
      <c r="D2" s="2465"/>
      <c r="E2" s="2465"/>
      <c r="F2" s="2465"/>
      <c r="G2" s="2465"/>
      <c r="H2" s="2465"/>
      <c r="I2" s="2465"/>
      <c r="J2" s="2465"/>
      <c r="K2" s="2465"/>
      <c r="L2" s="2465"/>
    </row>
    <row r="3" spans="1:29" ht="13.5" customHeight="1" x14ac:dyDescent="0.2">
      <c r="A3" s="2451" t="s">
        <v>1182</v>
      </c>
      <c r="B3" s="2451"/>
      <c r="C3" s="2451"/>
      <c r="D3" s="2451"/>
      <c r="E3" s="2451"/>
      <c r="F3" s="2451"/>
      <c r="G3" s="2451"/>
      <c r="H3" s="2451"/>
      <c r="I3" s="2451"/>
      <c r="J3" s="2451"/>
      <c r="K3" s="2451"/>
      <c r="L3" s="2451"/>
    </row>
    <row r="4" spans="1:29" ht="13.5" customHeight="1" x14ac:dyDescent="0.2">
      <c r="A4" s="2482" t="str">
        <f>"Year Ending June 30, "&amp;'AFR20'!E2</f>
        <v>Year Ending June 30, 2020</v>
      </c>
      <c r="B4" s="2483"/>
      <c r="C4" s="2483"/>
      <c r="D4" s="2483"/>
      <c r="E4" s="2483"/>
      <c r="F4" s="2483"/>
      <c r="G4" s="2483"/>
      <c r="H4" s="2483"/>
      <c r="I4" s="2483"/>
      <c r="J4" s="2483"/>
      <c r="K4" s="2483"/>
      <c r="L4" s="2483"/>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7" customHeight="1" x14ac:dyDescent="0.2">
      <c r="A7" s="2445" t="str">
        <f>COVER!A17</f>
        <v xml:space="preserve">  Dwight Common SD 232</v>
      </c>
      <c r="B7" s="2446"/>
      <c r="C7" s="2446"/>
      <c r="D7" s="2484"/>
      <c r="E7" s="2485">
        <f>COVER!A13</f>
        <v>17053232002</v>
      </c>
      <c r="F7" s="2486"/>
      <c r="G7" s="2452" t="str">
        <f>COVER!T23</f>
        <v>066-004023</v>
      </c>
      <c r="H7" s="2453"/>
      <c r="I7" s="2453"/>
      <c r="J7" s="2453"/>
      <c r="K7" s="2453"/>
      <c r="L7" s="2454"/>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55"/>
      <c r="B9" s="2456"/>
      <c r="C9" s="2456"/>
      <c r="D9" s="2456"/>
      <c r="E9" s="2456"/>
      <c r="F9" s="2457"/>
      <c r="G9" s="2458" t="str">
        <f>COVER!T13</f>
        <v>Wipfli LLP</v>
      </c>
      <c r="H9" s="2459"/>
      <c r="I9" s="2459"/>
      <c r="J9" s="2459"/>
      <c r="K9" s="2459"/>
      <c r="L9" s="2460"/>
    </row>
    <row r="10" spans="1:29" ht="13.5" customHeight="1" x14ac:dyDescent="0.2">
      <c r="A10" s="2442" t="str">
        <f>COVER!A38</f>
        <v>Dr. Richard Jancek</v>
      </c>
      <c r="B10" s="2443"/>
      <c r="C10" s="2443"/>
      <c r="D10" s="2443"/>
      <c r="E10" s="2443"/>
      <c r="F10" s="2444"/>
      <c r="G10" s="2458" t="str">
        <f>COVER!T17</f>
        <v>403 East 3rd Street</v>
      </c>
      <c r="H10" s="2471"/>
      <c r="I10" s="2471"/>
      <c r="J10" s="2471"/>
      <c r="K10" s="2471"/>
      <c r="L10" s="2472"/>
    </row>
    <row r="11" spans="1:29" ht="13.5" customHeight="1" x14ac:dyDescent="0.2">
      <c r="A11" s="1008" t="s">
        <v>1505</v>
      </c>
      <c r="B11" s="1009"/>
      <c r="C11" s="1010"/>
      <c r="D11" s="1015"/>
      <c r="E11" s="1010"/>
      <c r="F11" s="1014"/>
      <c r="G11" s="2458" t="str">
        <f>COVER!T19</f>
        <v>Sterling</v>
      </c>
      <c r="H11" s="2471"/>
      <c r="I11" s="2471"/>
      <c r="J11" s="2471"/>
      <c r="K11" s="2471"/>
      <c r="L11" s="2472"/>
    </row>
    <row r="12" spans="1:29" ht="13.5" customHeight="1" x14ac:dyDescent="0.2">
      <c r="A12" s="2476" t="s">
        <v>1504</v>
      </c>
      <c r="B12" s="2477"/>
      <c r="C12" s="2477"/>
      <c r="D12" s="2477"/>
      <c r="E12" s="2477"/>
      <c r="F12" s="2478"/>
      <c r="G12" s="2473"/>
      <c r="H12" s="2474"/>
      <c r="I12" s="2474"/>
      <c r="J12" s="2474"/>
      <c r="K12" s="2474"/>
      <c r="L12" s="2475"/>
    </row>
    <row r="13" spans="1:29" ht="13.5" customHeight="1" x14ac:dyDescent="0.2">
      <c r="A13" s="2458"/>
      <c r="B13" s="2471"/>
      <c r="C13" s="2471"/>
      <c r="D13" s="2471"/>
      <c r="E13" s="2471"/>
      <c r="F13" s="2472"/>
      <c r="G13" s="2466" t="s">
        <v>1506</v>
      </c>
      <c r="H13" s="2467"/>
      <c r="I13" s="2479" t="str">
        <f>COVER!T25</f>
        <v>mschueler@wipfli.com</v>
      </c>
      <c r="J13" s="2480"/>
      <c r="K13" s="2480"/>
      <c r="L13" s="2481"/>
    </row>
    <row r="14" spans="1:29" ht="13.5" customHeight="1" x14ac:dyDescent="0.2">
      <c r="A14" s="2458" t="str">
        <f>COVER!A19</f>
        <v>801 S Franklin St</v>
      </c>
      <c r="B14" s="2471"/>
      <c r="C14" s="2471"/>
      <c r="D14" s="2471"/>
      <c r="E14" s="2471"/>
      <c r="F14" s="2472"/>
      <c r="G14" s="1019" t="s">
        <v>1177</v>
      </c>
      <c r="H14" s="1017"/>
      <c r="I14" s="1017"/>
      <c r="J14" s="1017"/>
      <c r="K14" s="1017"/>
      <c r="L14" s="1018"/>
    </row>
    <row r="15" spans="1:29" ht="13.5" customHeight="1" x14ac:dyDescent="0.2">
      <c r="A15" s="2458" t="str">
        <f>COVER!A21</f>
        <v>Dwight</v>
      </c>
      <c r="B15" s="2471"/>
      <c r="C15" s="2471"/>
      <c r="D15" s="2471"/>
      <c r="E15" s="2471"/>
      <c r="F15" s="2472"/>
      <c r="G15" s="2468" t="str">
        <f>COVER!T15</f>
        <v>Matthew Schueler</v>
      </c>
      <c r="H15" s="2469"/>
      <c r="I15" s="2469"/>
      <c r="J15" s="2469"/>
      <c r="K15" s="2469"/>
      <c r="L15" s="2470"/>
    </row>
    <row r="16" spans="1:29" ht="12.2" customHeight="1" x14ac:dyDescent="0.2">
      <c r="A16" s="2448">
        <f>COVER!A25</f>
        <v>60420</v>
      </c>
      <c r="B16" s="2449"/>
      <c r="C16" s="2449"/>
      <c r="D16" s="2449"/>
      <c r="E16" s="2449"/>
      <c r="F16" s="2450"/>
      <c r="G16" s="2461"/>
      <c r="H16" s="2462"/>
      <c r="I16" s="2462"/>
      <c r="J16" s="2462"/>
      <c r="K16" s="2462"/>
      <c r="L16" s="2463"/>
    </row>
    <row r="17" spans="1:13" ht="12.2" customHeight="1" x14ac:dyDescent="0.2">
      <c r="A17" s="2464"/>
      <c r="B17" s="2449"/>
      <c r="C17" s="2449"/>
      <c r="D17" s="2449"/>
      <c r="E17" s="2449"/>
      <c r="F17" s="2450"/>
      <c r="G17" s="1019" t="s">
        <v>1176</v>
      </c>
      <c r="H17" s="1017"/>
      <c r="I17" s="1017"/>
      <c r="J17" s="1017"/>
      <c r="K17" s="1021" t="s">
        <v>1175</v>
      </c>
      <c r="L17" s="1014"/>
      <c r="M17" s="1007"/>
    </row>
    <row r="18" spans="1:13" ht="12.2" customHeight="1" x14ac:dyDescent="0.2">
      <c r="A18" s="2442"/>
      <c r="B18" s="2443"/>
      <c r="C18" s="2443"/>
      <c r="D18" s="2443"/>
      <c r="E18" s="2443"/>
      <c r="F18" s="2444"/>
      <c r="G18" s="2445" t="str">
        <f>COVER!T21</f>
        <v>815-626-1277</v>
      </c>
      <c r="H18" s="2446"/>
      <c r="I18" s="2446"/>
      <c r="J18" s="2446"/>
      <c r="K18" s="2445" t="str">
        <f>COVER!X21</f>
        <v>815-626-9118</v>
      </c>
      <c r="L18" s="2447"/>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1999999999999993" customHeight="1" x14ac:dyDescent="0.2">
      <c r="B25" s="1027" t="s">
        <v>1161</v>
      </c>
      <c r="C25" s="1028"/>
    </row>
    <row r="26" spans="1:13" s="1022" customFormat="1" ht="12.2" customHeight="1" x14ac:dyDescent="0.2">
      <c r="B26" s="1025"/>
      <c r="C26" s="1026" t="s">
        <v>1680</v>
      </c>
    </row>
    <row r="27" spans="1:13" s="1022" customFormat="1" ht="9.1999999999999993" customHeight="1" x14ac:dyDescent="0.2">
      <c r="B27" s="1027"/>
      <c r="C27" s="1026"/>
    </row>
    <row r="28" spans="1:13" s="1022" customFormat="1" ht="12.2" customHeight="1" x14ac:dyDescent="0.2">
      <c r="A28" s="1029"/>
      <c r="B28" s="1025"/>
      <c r="C28" s="1026" t="s">
        <v>1681</v>
      </c>
    </row>
    <row r="29" spans="1:13" s="1022" customFormat="1" ht="9.1999999999999993" customHeight="1" x14ac:dyDescent="0.2">
      <c r="A29" s="1029"/>
      <c r="B29" s="1027"/>
      <c r="C29" s="1026"/>
    </row>
    <row r="30" spans="1:13" s="1022" customFormat="1" ht="12.2" customHeight="1" x14ac:dyDescent="0.2">
      <c r="B30" s="1025"/>
      <c r="C30" s="1026" t="s">
        <v>1548</v>
      </c>
      <c r="D30" s="1020"/>
      <c r="E30" s="1020"/>
    </row>
    <row r="31" spans="1:13" s="1022" customFormat="1" ht="9.1999999999999993"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1999999999999993"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1999999999999993" customHeight="1" x14ac:dyDescent="0.2">
      <c r="B37" s="1027"/>
      <c r="C37" s="1030"/>
    </row>
    <row r="38" spans="1:8" s="1022" customFormat="1" ht="12.2" customHeight="1" x14ac:dyDescent="0.2">
      <c r="B38" s="1025"/>
      <c r="C38" s="1026" t="s">
        <v>1552</v>
      </c>
    </row>
    <row r="39" spans="1:8" ht="9.1999999999999993" customHeight="1" x14ac:dyDescent="0.2">
      <c r="B39" s="1027"/>
      <c r="C39" s="1030"/>
    </row>
    <row r="40" spans="1:8" s="1022" customFormat="1" ht="13.5" customHeight="1" x14ac:dyDescent="0.2">
      <c r="B40" s="1025"/>
      <c r="C40" s="1026" t="s">
        <v>1553</v>
      </c>
    </row>
    <row r="41" spans="1:8" ht="9.1999999999999993"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3.1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1999999999999993" customHeight="1" x14ac:dyDescent="0.2"/>
    <row r="48" spans="1:8" ht="12.2" customHeight="1" x14ac:dyDescent="0.2">
      <c r="B48" s="1591"/>
      <c r="C48" s="1034" t="s">
        <v>1555</v>
      </c>
    </row>
    <row r="49" spans="1:12" ht="9.1999999999999993"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9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7" sqref="B7"/>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7" t="str">
        <f>'Single Audit Cover'!A7</f>
        <v xml:space="preserve">  Dwight Common SD 232</v>
      </c>
      <c r="B1" s="2488"/>
      <c r="C1" s="2488"/>
      <c r="D1" s="2488"/>
    </row>
    <row r="2" spans="1:11" s="1036" customFormat="1" ht="12.75" x14ac:dyDescent="0.2">
      <c r="A2" s="2489">
        <f>'Single Audit Cover'!E7</f>
        <v>17053232002</v>
      </c>
      <c r="B2" s="2490"/>
      <c r="C2" s="2490"/>
      <c r="D2" s="2490"/>
    </row>
    <row r="3" spans="1:11" s="1036" customFormat="1" ht="12.75" x14ac:dyDescent="0.2">
      <c r="A3" s="2487" t="s">
        <v>1499</v>
      </c>
      <c r="B3" s="2488"/>
      <c r="C3" s="2488"/>
      <c r="D3" s="2488"/>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B7" sqref="B7"/>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92" t="str">
        <f>'Single Audit Cover'!A7</f>
        <v xml:space="preserve">  Dwight Common SD 232</v>
      </c>
      <c r="B1" s="2492"/>
      <c r="C1" s="2492"/>
      <c r="D1" s="2492"/>
      <c r="E1" s="2492"/>
    </row>
    <row r="2" spans="1:5" x14ac:dyDescent="0.2">
      <c r="A2" s="2493">
        <f>'Single Audit Cover'!E7</f>
        <v>17053232002</v>
      </c>
      <c r="B2" s="2493"/>
      <c r="C2" s="2493"/>
      <c r="D2" s="2493"/>
      <c r="E2" s="2493"/>
    </row>
    <row r="3" spans="1:5" ht="4.5" customHeight="1" x14ac:dyDescent="0.2"/>
    <row r="4" spans="1:5" x14ac:dyDescent="0.2">
      <c r="A4" s="2492" t="s">
        <v>1236</v>
      </c>
      <c r="B4" s="2492"/>
      <c r="C4" s="2492"/>
      <c r="D4" s="2492"/>
      <c r="E4" s="2492"/>
    </row>
    <row r="5" spans="1:5" x14ac:dyDescent="0.2">
      <c r="A5" s="2495" t="str">
        <f>'Single Audit Cover'!A4</f>
        <v>Year Ending June 30, 2020</v>
      </c>
      <c r="B5" s="2495"/>
      <c r="C5" s="2495"/>
      <c r="D5" s="2495"/>
      <c r="E5" s="2495"/>
    </row>
    <row r="6" spans="1:5" x14ac:dyDescent="0.2">
      <c r="A6" s="2492" t="s">
        <v>1235</v>
      </c>
      <c r="B6" s="2492"/>
      <c r="C6" s="2492"/>
      <c r="D6" s="2492"/>
      <c r="E6" s="2492"/>
    </row>
    <row r="8" spans="1:5" x14ac:dyDescent="0.2">
      <c r="A8" s="1081" t="s">
        <v>1234</v>
      </c>
    </row>
    <row r="10" spans="1:5" x14ac:dyDescent="0.2">
      <c r="A10" s="1082" t="s">
        <v>1233</v>
      </c>
      <c r="B10" s="1083" t="s">
        <v>1232</v>
      </c>
      <c r="C10" s="1083"/>
      <c r="D10" s="1084">
        <f>SUM('Acct Summary 7-8'!C7:K7)</f>
        <v>252316</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11830</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-8916</v>
      </c>
    </row>
    <row r="19" spans="1:4" ht="13.5" thickBot="1" x14ac:dyDescent="0.25">
      <c r="A19" s="1086" t="s">
        <v>1226</v>
      </c>
      <c r="D19" s="1087">
        <f>SUM(D10:D17)</f>
        <v>255230</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94"/>
      <c r="B24" s="2494"/>
      <c r="D24" s="1089"/>
    </row>
    <row r="25" spans="1:4" x14ac:dyDescent="0.2">
      <c r="A25" s="2491"/>
      <c r="B25" s="2491"/>
      <c r="D25" s="1089"/>
    </row>
    <row r="26" spans="1:4" x14ac:dyDescent="0.2">
      <c r="A26" s="2491"/>
      <c r="B26" s="2491"/>
      <c r="D26" s="1089"/>
    </row>
    <row r="27" spans="1:4" x14ac:dyDescent="0.2">
      <c r="A27" s="2491"/>
      <c r="B27" s="2491"/>
      <c r="D27" s="1089"/>
    </row>
    <row r="28" spans="1:4" x14ac:dyDescent="0.2">
      <c r="A28" s="2491"/>
      <c r="B28" s="2491"/>
      <c r="D28" s="1089"/>
    </row>
    <row r="29" spans="1:4" x14ac:dyDescent="0.2">
      <c r="A29" s="2491"/>
      <c r="B29" s="2491"/>
      <c r="D29" s="1089"/>
    </row>
    <row r="30" spans="1:4" x14ac:dyDescent="0.2">
      <c r="A30" s="2491"/>
      <c r="B30" s="2491"/>
      <c r="D30" s="1089"/>
    </row>
    <row r="32" spans="1:4" x14ac:dyDescent="0.2">
      <c r="A32" s="1081" t="s">
        <v>1224</v>
      </c>
      <c r="D32" s="1084">
        <f>SUM(D19:D30)</f>
        <v>255230</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91"/>
      <c r="B40" s="2491"/>
      <c r="D40" s="1089"/>
    </row>
    <row r="41" spans="1:4" x14ac:dyDescent="0.2">
      <c r="A41" s="2491"/>
      <c r="B41" s="2491"/>
      <c r="D41" s="1092"/>
    </row>
    <row r="42" spans="1:4" x14ac:dyDescent="0.2">
      <c r="A42" s="2491"/>
      <c r="B42" s="2491"/>
      <c r="D42" s="1092"/>
    </row>
    <row r="43" spans="1:4" x14ac:dyDescent="0.2">
      <c r="A43" s="2491"/>
      <c r="B43" s="2491"/>
      <c r="D43" s="1092"/>
    </row>
    <row r="44" spans="1:4" x14ac:dyDescent="0.2">
      <c r="A44" s="2491"/>
      <c r="B44" s="2491"/>
      <c r="D44" s="1092"/>
    </row>
    <row r="45" spans="1:4" x14ac:dyDescent="0.2">
      <c r="A45" s="2491"/>
      <c r="B45" s="2491"/>
      <c r="D45" s="1092"/>
    </row>
    <row r="47" spans="1:4" x14ac:dyDescent="0.2">
      <c r="B47" s="1093" t="s">
        <v>1218</v>
      </c>
      <c r="C47" s="1093"/>
      <c r="D47" s="1094">
        <f>SUM(D35:D45)</f>
        <v>0</v>
      </c>
    </row>
    <row r="49" spans="2:4" x14ac:dyDescent="0.2">
      <c r="B49" s="1093" t="s">
        <v>1217</v>
      </c>
      <c r="C49" s="1093"/>
      <c r="D49" s="1094">
        <f>D32-D47</f>
        <v>255230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A29" sqref="A29:XFD29"/>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51" t="str">
        <f>'Single Audit Cover'!A7</f>
        <v xml:space="preserve">  Dwight Common SD 232</v>
      </c>
      <c r="C1" s="2496"/>
      <c r="D1" s="2496"/>
      <c r="E1" s="2496"/>
      <c r="F1" s="2496"/>
      <c r="G1" s="2496"/>
      <c r="H1" s="2496"/>
      <c r="I1" s="2496"/>
      <c r="J1" s="2496"/>
      <c r="K1" s="2496"/>
      <c r="L1" s="2496"/>
      <c r="M1" s="2496"/>
    </row>
    <row r="2" spans="2:14" ht="15" x14ac:dyDescent="0.2">
      <c r="B2" s="2497">
        <f>'Single Audit Cover'!E7</f>
        <v>17053232002</v>
      </c>
      <c r="C2" s="2497"/>
      <c r="D2" s="2497"/>
      <c r="E2" s="2497"/>
      <c r="F2" s="2497"/>
      <c r="G2" s="2497"/>
      <c r="H2" s="2497"/>
      <c r="I2" s="2497"/>
      <c r="J2" s="2497"/>
      <c r="K2" s="2497"/>
      <c r="L2" s="2497"/>
      <c r="M2" s="2497"/>
      <c r="N2" s="1123"/>
    </row>
    <row r="3" spans="2:14" ht="15" x14ac:dyDescent="0.2">
      <c r="B3" s="2498" t="s">
        <v>1210</v>
      </c>
      <c r="C3" s="2498"/>
      <c r="D3" s="2498"/>
      <c r="E3" s="2498"/>
      <c r="F3" s="2498"/>
      <c r="G3" s="2498"/>
      <c r="H3" s="2498"/>
      <c r="I3" s="2498"/>
      <c r="J3" s="2498"/>
      <c r="K3" s="2498"/>
      <c r="L3" s="2498"/>
      <c r="M3" s="2498"/>
      <c r="N3" s="1123"/>
    </row>
    <row r="4" spans="2:14" ht="15" x14ac:dyDescent="0.2">
      <c r="B4" s="2499" t="str">
        <f>'Single Audit Cover'!A4</f>
        <v>Year Ending June 30, 2020</v>
      </c>
      <c r="C4" s="2499"/>
      <c r="D4" s="2499"/>
      <c r="E4" s="2499"/>
      <c r="F4" s="2499"/>
      <c r="G4" s="2499"/>
      <c r="H4" s="2499"/>
      <c r="I4" s="2499"/>
      <c r="J4" s="2499"/>
      <c r="K4" s="2499"/>
      <c r="L4" s="2499"/>
      <c r="M4" s="2499"/>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25" customHeight="1" x14ac:dyDescent="0.2">
      <c r="B11" s="1158"/>
      <c r="C11" s="1879"/>
      <c r="D11" s="1880"/>
      <c r="E11" s="1881"/>
      <c r="F11" s="1881"/>
      <c r="G11" s="1881"/>
      <c r="H11" s="1881"/>
      <c r="I11" s="1881"/>
      <c r="J11" s="1881"/>
      <c r="K11" s="1881"/>
      <c r="L11" s="1881">
        <f>+G11+I11+K11</f>
        <v>0</v>
      </c>
      <c r="M11" s="1881"/>
    </row>
    <row r="12" spans="2:14" ht="20.25" customHeight="1" x14ac:dyDescent="0.2">
      <c r="B12" s="1158"/>
      <c r="C12" s="1882"/>
      <c r="D12" s="1883"/>
      <c r="E12" s="1884"/>
      <c r="F12" s="1884"/>
      <c r="G12" s="1884"/>
      <c r="H12" s="1884"/>
      <c r="I12" s="1884"/>
      <c r="J12" s="1884"/>
      <c r="K12" s="1884"/>
      <c r="L12" s="1881">
        <f t="shared" ref="L12:L27" si="0">+G12+I12+K12</f>
        <v>0</v>
      </c>
      <c r="M12" s="1884"/>
    </row>
    <row r="13" spans="2:14" ht="20.25" customHeight="1" x14ac:dyDescent="0.2">
      <c r="B13" s="1158"/>
      <c r="C13" s="1882"/>
      <c r="D13" s="1883"/>
      <c r="E13" s="1884"/>
      <c r="F13" s="1884"/>
      <c r="G13" s="1884"/>
      <c r="H13" s="1884"/>
      <c r="I13" s="1884"/>
      <c r="J13" s="1884"/>
      <c r="K13" s="1884"/>
      <c r="L13" s="1881">
        <f t="shared" si="0"/>
        <v>0</v>
      </c>
      <c r="M13" s="1884"/>
    </row>
    <row r="14" spans="2:14" ht="20.25" customHeight="1" x14ac:dyDescent="0.2">
      <c r="B14" s="1158"/>
      <c r="C14" s="1882"/>
      <c r="D14" s="1883"/>
      <c r="E14" s="1884"/>
      <c r="F14" s="1884"/>
      <c r="G14" s="1884"/>
      <c r="H14" s="1884"/>
      <c r="I14" s="1884"/>
      <c r="J14" s="1884"/>
      <c r="K14" s="1884"/>
      <c r="L14" s="1881">
        <f t="shared" si="0"/>
        <v>0</v>
      </c>
      <c r="M14" s="1884"/>
    </row>
    <row r="15" spans="2:14" ht="20.25" customHeight="1" x14ac:dyDescent="0.2">
      <c r="B15" s="1158" t="s">
        <v>1161</v>
      </c>
      <c r="C15" s="1882"/>
      <c r="D15" s="1883"/>
      <c r="E15" s="1884"/>
      <c r="F15" s="1884"/>
      <c r="G15" s="1884"/>
      <c r="H15" s="1884"/>
      <c r="I15" s="1884"/>
      <c r="J15" s="1884"/>
      <c r="K15" s="1884"/>
      <c r="L15" s="1881">
        <f t="shared" si="0"/>
        <v>0</v>
      </c>
      <c r="M15" s="1884"/>
    </row>
    <row r="16" spans="2:14" ht="20.25" customHeight="1" x14ac:dyDescent="0.2">
      <c r="B16" s="1158"/>
      <c r="C16" s="1882"/>
      <c r="D16" s="1883"/>
      <c r="E16" s="1884"/>
      <c r="F16" s="1884"/>
      <c r="G16" s="1884"/>
      <c r="H16" s="1884"/>
      <c r="I16" s="1884"/>
      <c r="J16" s="1884"/>
      <c r="K16" s="1884"/>
      <c r="L16" s="1881">
        <f t="shared" si="0"/>
        <v>0</v>
      </c>
      <c r="M16" s="1884"/>
    </row>
    <row r="17" spans="2:14" ht="20.25" customHeight="1" x14ac:dyDescent="0.2">
      <c r="B17" s="1158"/>
      <c r="C17" s="1882"/>
      <c r="D17" s="1883"/>
      <c r="E17" s="1884"/>
      <c r="F17" s="1884"/>
      <c r="G17" s="1884"/>
      <c r="H17" s="1884"/>
      <c r="I17" s="1884"/>
      <c r="J17" s="1884"/>
      <c r="K17" s="1884"/>
      <c r="L17" s="1881">
        <f t="shared" si="0"/>
        <v>0</v>
      </c>
      <c r="M17" s="1884"/>
    </row>
    <row r="18" spans="2:14" ht="20.25" customHeight="1" x14ac:dyDescent="0.2">
      <c r="B18" s="1158"/>
      <c r="C18" s="1882"/>
      <c r="D18" s="1883"/>
      <c r="E18" s="1884"/>
      <c r="F18" s="1884"/>
      <c r="G18" s="1884"/>
      <c r="H18" s="1884"/>
      <c r="I18" s="1884"/>
      <c r="J18" s="1884"/>
      <c r="K18" s="1884"/>
      <c r="L18" s="1881">
        <f t="shared" si="0"/>
        <v>0</v>
      </c>
      <c r="M18" s="1884"/>
    </row>
    <row r="19" spans="2:14" ht="20.25" customHeight="1" x14ac:dyDescent="0.2">
      <c r="B19" s="1158"/>
      <c r="C19" s="1882"/>
      <c r="D19" s="1883"/>
      <c r="E19" s="1884"/>
      <c r="F19" s="1884"/>
      <c r="G19" s="1884"/>
      <c r="H19" s="1884"/>
      <c r="I19" s="1884"/>
      <c r="J19" s="1884"/>
      <c r="K19" s="1884"/>
      <c r="L19" s="1881">
        <f t="shared" si="0"/>
        <v>0</v>
      </c>
      <c r="M19" s="1884"/>
    </row>
    <row r="20" spans="2:14" ht="20.25" customHeight="1" x14ac:dyDescent="0.2">
      <c r="B20" s="1158"/>
      <c r="C20" s="1882"/>
      <c r="D20" s="1883"/>
      <c r="E20" s="1884"/>
      <c r="F20" s="1884"/>
      <c r="G20" s="1884"/>
      <c r="H20" s="1884"/>
      <c r="I20" s="1884"/>
      <c r="J20" s="1884"/>
      <c r="K20" s="1884"/>
      <c r="L20" s="1881">
        <f t="shared" si="0"/>
        <v>0</v>
      </c>
      <c r="M20" s="1884"/>
    </row>
    <row r="21" spans="2:14" ht="20.25" customHeight="1" x14ac:dyDescent="0.2">
      <c r="B21" s="1158"/>
      <c r="C21" s="1882"/>
      <c r="D21" s="1883"/>
      <c r="E21" s="1884"/>
      <c r="F21" s="1884"/>
      <c r="G21" s="1884"/>
      <c r="H21" s="1884"/>
      <c r="I21" s="1884"/>
      <c r="J21" s="1884"/>
      <c r="K21" s="1884"/>
      <c r="L21" s="1881">
        <f t="shared" si="0"/>
        <v>0</v>
      </c>
      <c r="M21" s="1884"/>
    </row>
    <row r="22" spans="2:14" ht="20.25" customHeight="1" x14ac:dyDescent="0.2">
      <c r="B22" s="1158"/>
      <c r="C22" s="1882"/>
      <c r="D22" s="1883"/>
      <c r="E22" s="1884"/>
      <c r="F22" s="1884"/>
      <c r="G22" s="1884"/>
      <c r="H22" s="1884"/>
      <c r="I22" s="1884"/>
      <c r="J22" s="1884"/>
      <c r="K22" s="1884"/>
      <c r="L22" s="1881">
        <f t="shared" si="0"/>
        <v>0</v>
      </c>
      <c r="M22" s="1884"/>
    </row>
    <row r="23" spans="2:14" ht="20.25" customHeight="1" x14ac:dyDescent="0.2">
      <c r="B23" s="1158"/>
      <c r="C23" s="1882"/>
      <c r="D23" s="1883"/>
      <c r="E23" s="1884"/>
      <c r="F23" s="1884"/>
      <c r="G23" s="1884"/>
      <c r="H23" s="1884"/>
      <c r="I23" s="1884"/>
      <c r="J23" s="1884"/>
      <c r="K23" s="1884"/>
      <c r="L23" s="1881">
        <f t="shared" si="0"/>
        <v>0</v>
      </c>
      <c r="M23" s="1884"/>
    </row>
    <row r="24" spans="2:14" ht="20.25" customHeight="1" x14ac:dyDescent="0.2">
      <c r="B24" s="1158"/>
      <c r="C24" s="1882"/>
      <c r="D24" s="1883"/>
      <c r="E24" s="1884"/>
      <c r="F24" s="1884"/>
      <c r="G24" s="1884"/>
      <c r="H24" s="1884"/>
      <c r="I24" s="1884"/>
      <c r="J24" s="1884"/>
      <c r="K24" s="1884"/>
      <c r="L24" s="1881">
        <f t="shared" si="0"/>
        <v>0</v>
      </c>
      <c r="M24" s="1884"/>
    </row>
    <row r="25" spans="2:14" ht="20.25" customHeight="1" x14ac:dyDescent="0.2">
      <c r="B25" s="1158"/>
      <c r="C25" s="1882"/>
      <c r="D25" s="1883"/>
      <c r="E25" s="1884"/>
      <c r="F25" s="1884"/>
      <c r="G25" s="1884"/>
      <c r="H25" s="1884"/>
      <c r="I25" s="1884"/>
      <c r="J25" s="1884"/>
      <c r="K25" s="1884"/>
      <c r="L25" s="1881">
        <f t="shared" si="0"/>
        <v>0</v>
      </c>
      <c r="M25" s="1884"/>
    </row>
    <row r="26" spans="2:14" ht="20.25" customHeight="1" x14ac:dyDescent="0.2">
      <c r="B26" s="1158"/>
      <c r="C26" s="1882"/>
      <c r="D26" s="1883"/>
      <c r="E26" s="1884"/>
      <c r="F26" s="1884"/>
      <c r="G26" s="1884"/>
      <c r="H26" s="1884"/>
      <c r="I26" s="1884"/>
      <c r="J26" s="1884"/>
      <c r="K26" s="1884"/>
      <c r="L26" s="1881">
        <f t="shared" si="0"/>
        <v>0</v>
      </c>
      <c r="M26" s="1884"/>
    </row>
    <row r="27" spans="2:14" ht="20.25" customHeight="1" x14ac:dyDescent="0.2">
      <c r="B27" s="1158"/>
      <c r="C27" s="1882"/>
      <c r="D27" s="1883"/>
      <c r="E27" s="1884"/>
      <c r="F27" s="1884"/>
      <c r="G27" s="1884"/>
      <c r="H27" s="1884"/>
      <c r="I27" s="1884"/>
      <c r="J27" s="1884"/>
      <c r="K27" s="1884"/>
      <c r="L27" s="1881">
        <f t="shared" si="0"/>
        <v>0</v>
      </c>
      <c r="M27" s="1884"/>
      <c r="N27" s="1159"/>
    </row>
    <row r="28" spans="2:14" ht="12.9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83" colorId="8" zoomScaleNormal="100" workbookViewId="0">
      <selection activeCell="B68" sqref="B6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7" t="s">
        <v>1160</v>
      </c>
      <c r="B2" s="2107"/>
      <c r="C2" s="2107"/>
      <c r="D2" s="2107"/>
      <c r="E2" s="2107"/>
      <c r="F2" s="2107"/>
      <c r="G2" s="2107"/>
      <c r="H2" s="2107"/>
      <c r="I2" s="2107"/>
      <c r="J2" s="210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7"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1" t="s">
        <v>1619</v>
      </c>
      <c r="B35" s="2122"/>
      <c r="C35" s="2122"/>
      <c r="D35" s="2122"/>
      <c r="E35" s="2123"/>
      <c r="F35" s="2123"/>
      <c r="G35" s="2123"/>
      <c r="H35" s="2123"/>
      <c r="I35" s="212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7" customHeight="1" x14ac:dyDescent="0.2">
      <c r="A46" s="214"/>
      <c r="B46" s="224"/>
      <c r="C46" s="222"/>
      <c r="D46" s="234"/>
    </row>
    <row r="47" spans="1:9" s="176" customFormat="1" x14ac:dyDescent="0.2">
      <c r="A47" s="2121" t="s">
        <v>310</v>
      </c>
      <c r="B47" s="2124"/>
      <c r="C47" s="2124"/>
      <c r="D47" s="2124"/>
      <c r="E47" s="2125"/>
      <c r="F47" s="2125"/>
      <c r="G47" s="2125"/>
      <c r="H47" s="2125"/>
      <c r="I47" s="212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2031</v>
      </c>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95" customHeight="1" x14ac:dyDescent="0.2">
      <c r="A57" s="248"/>
      <c r="B57" s="2128" t="s">
        <v>2038</v>
      </c>
      <c r="C57" s="2129"/>
      <c r="D57" s="2129"/>
      <c r="E57" s="2129"/>
      <c r="F57" s="2129"/>
      <c r="G57" s="2129"/>
      <c r="H57" s="2129"/>
      <c r="I57" s="2129"/>
      <c r="J57" s="2130"/>
    </row>
    <row r="58" spans="1:10" s="176" customFormat="1" x14ac:dyDescent="0.2">
      <c r="A58" s="248"/>
      <c r="B58" s="2131"/>
      <c r="C58" s="2132"/>
      <c r="D58" s="2132"/>
      <c r="E58" s="2132"/>
      <c r="F58" s="2132"/>
      <c r="G58" s="2132"/>
      <c r="H58" s="2132"/>
      <c r="I58" s="2132"/>
      <c r="J58" s="2133"/>
    </row>
    <row r="59" spans="1:10" s="176" customFormat="1" x14ac:dyDescent="0.2">
      <c r="A59" s="248"/>
      <c r="B59" s="2131"/>
      <c r="C59" s="2132"/>
      <c r="D59" s="2132"/>
      <c r="E59" s="2132"/>
      <c r="F59" s="2132"/>
      <c r="G59" s="2132"/>
      <c r="H59" s="2132"/>
      <c r="I59" s="2132"/>
      <c r="J59" s="2133"/>
    </row>
    <row r="60" spans="1:10" s="176" customFormat="1" x14ac:dyDescent="0.2">
      <c r="A60" s="248"/>
      <c r="B60" s="2131"/>
      <c r="C60" s="2132"/>
      <c r="D60" s="2132"/>
      <c r="E60" s="2132"/>
      <c r="F60" s="2132"/>
      <c r="G60" s="2132"/>
      <c r="H60" s="2132"/>
      <c r="I60" s="2132"/>
      <c r="J60" s="2133"/>
    </row>
    <row r="61" spans="1:10" s="176" customFormat="1" x14ac:dyDescent="0.2">
      <c r="A61" s="248"/>
      <c r="B61" s="2131"/>
      <c r="C61" s="2132"/>
      <c r="D61" s="2132"/>
      <c r="E61" s="2132"/>
      <c r="F61" s="2132"/>
      <c r="G61" s="2132"/>
      <c r="H61" s="2132"/>
      <c r="I61" s="2132"/>
      <c r="J61" s="2133"/>
    </row>
    <row r="62" spans="1:10" s="176" customFormat="1" x14ac:dyDescent="0.2">
      <c r="A62" s="248"/>
      <c r="B62" s="2131"/>
      <c r="C62" s="2132"/>
      <c r="D62" s="2132"/>
      <c r="E62" s="2132"/>
      <c r="F62" s="2132"/>
      <c r="G62" s="2132"/>
      <c r="H62" s="2132"/>
      <c r="I62" s="2132"/>
      <c r="J62" s="2133"/>
    </row>
    <row r="63" spans="1:10" s="176" customFormat="1" x14ac:dyDescent="0.2">
      <c r="A63" s="248"/>
      <c r="B63" s="2131"/>
      <c r="C63" s="2132"/>
      <c r="D63" s="2132"/>
      <c r="E63" s="2132"/>
      <c r="F63" s="2132"/>
      <c r="G63" s="2132"/>
      <c r="H63" s="2132"/>
      <c r="I63" s="2132"/>
      <c r="J63" s="2133"/>
    </row>
    <row r="64" spans="1:10" s="176" customFormat="1" x14ac:dyDescent="0.2">
      <c r="A64" s="248"/>
      <c r="B64" s="2131"/>
      <c r="C64" s="2132"/>
      <c r="D64" s="2132"/>
      <c r="E64" s="2132"/>
      <c r="F64" s="2132"/>
      <c r="G64" s="2132"/>
      <c r="H64" s="2132"/>
      <c r="I64" s="2132"/>
      <c r="J64" s="2133"/>
    </row>
    <row r="65" spans="1:11" s="176" customFormat="1" x14ac:dyDescent="0.2">
      <c r="A65" s="248"/>
      <c r="B65" s="2131"/>
      <c r="C65" s="2132"/>
      <c r="D65" s="2132"/>
      <c r="E65" s="2132"/>
      <c r="F65" s="2132"/>
      <c r="G65" s="2132"/>
      <c r="H65" s="2132"/>
      <c r="I65" s="2132"/>
      <c r="J65" s="2133"/>
    </row>
    <row r="66" spans="1:11" s="176" customFormat="1" x14ac:dyDescent="0.2">
      <c r="A66" s="248"/>
      <c r="B66" s="2131"/>
      <c r="C66" s="2132"/>
      <c r="D66" s="2132"/>
      <c r="E66" s="2132"/>
      <c r="F66" s="2132"/>
      <c r="G66" s="2132"/>
      <c r="H66" s="2132"/>
      <c r="I66" s="2132"/>
      <c r="J66" s="2133"/>
    </row>
    <row r="67" spans="1:11" s="176" customFormat="1" ht="9.1999999999999993" customHeight="1" x14ac:dyDescent="0.2">
      <c r="A67" s="249"/>
      <c r="B67" s="2134"/>
      <c r="C67" s="2135"/>
      <c r="D67" s="2135"/>
      <c r="E67" s="2135"/>
      <c r="F67" s="2135"/>
      <c r="G67" s="2135"/>
      <c r="H67" s="2135"/>
      <c r="I67" s="2135"/>
      <c r="J67" s="2136"/>
    </row>
    <row r="68" spans="1:11" s="176" customFormat="1" ht="9.1999999999999993" customHeight="1" x14ac:dyDescent="0.2">
      <c r="A68" s="214"/>
      <c r="B68" s="250"/>
      <c r="C68" s="251"/>
      <c r="D68" s="251"/>
      <c r="E68" s="251"/>
      <c r="F68" s="251"/>
      <c r="G68" s="251"/>
      <c r="H68" s="251"/>
    </row>
    <row r="69" spans="1:11" s="176" customFormat="1" ht="16.7" customHeight="1" x14ac:dyDescent="0.2">
      <c r="A69" s="214"/>
      <c r="B69" s="250"/>
      <c r="C69" s="251"/>
      <c r="D69" s="251"/>
      <c r="E69" s="251"/>
      <c r="F69" s="251"/>
      <c r="G69" s="251"/>
      <c r="H69" s="251"/>
    </row>
    <row r="70" spans="1:11" s="176" customFormat="1" x14ac:dyDescent="0.2">
      <c r="A70" s="2121" t="s">
        <v>1314</v>
      </c>
      <c r="B70" s="2124"/>
      <c r="C70" s="2124"/>
      <c r="D70" s="2124"/>
      <c r="E70" s="2125"/>
      <c r="F70" s="2125"/>
      <c r="G70" s="2125"/>
      <c r="H70" s="2125"/>
      <c r="I70" s="212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95" customHeight="1" x14ac:dyDescent="0.2">
      <c r="A82" s="214"/>
      <c r="B82" s="257"/>
      <c r="C82" s="242"/>
    </row>
    <row r="83" spans="1:10" s="176" customFormat="1" ht="12.95" customHeight="1" thickBot="1" x14ac:dyDescent="0.25">
      <c r="A83" s="2126" t="s">
        <v>1311</v>
      </c>
      <c r="B83" s="2126"/>
      <c r="C83" s="2126"/>
      <c r="D83" s="212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7" t="s">
        <v>1992</v>
      </c>
      <c r="B85" s="2137"/>
      <c r="C85" s="2137"/>
      <c r="D85" s="2138"/>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39" t="s">
        <v>1992</v>
      </c>
      <c r="B88" s="2140"/>
      <c r="C88" s="2140"/>
      <c r="D88" s="2141"/>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7"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08"/>
      <c r="C102" s="2109"/>
      <c r="D102" s="2109"/>
      <c r="E102" s="2109"/>
      <c r="F102" s="2109"/>
      <c r="G102" s="2109"/>
      <c r="H102" s="2109"/>
      <c r="I102" s="2110"/>
    </row>
    <row r="103" spans="1:9" s="176" customFormat="1" ht="11.25" customHeight="1" x14ac:dyDescent="0.2">
      <c r="A103" s="294"/>
      <c r="B103" s="2111"/>
      <c r="C103" s="2112"/>
      <c r="D103" s="2112"/>
      <c r="E103" s="2112"/>
      <c r="F103" s="2112"/>
      <c r="G103" s="2112"/>
      <c r="H103" s="2112"/>
      <c r="I103" s="2113"/>
    </row>
    <row r="104" spans="1:9" s="176" customFormat="1" ht="11.25" customHeight="1" x14ac:dyDescent="0.2">
      <c r="A104" s="294"/>
      <c r="B104" s="2111"/>
      <c r="C104" s="2112"/>
      <c r="D104" s="2112"/>
      <c r="E104" s="2112"/>
      <c r="F104" s="2112"/>
      <c r="G104" s="2112"/>
      <c r="H104" s="2112"/>
      <c r="I104" s="2113"/>
    </row>
    <row r="105" spans="1:9" s="176" customFormat="1" x14ac:dyDescent="0.2">
      <c r="A105" s="294"/>
      <c r="B105" s="2111"/>
      <c r="C105" s="2112"/>
      <c r="D105" s="2112"/>
      <c r="E105" s="2112"/>
      <c r="F105" s="2112"/>
      <c r="G105" s="2112"/>
      <c r="H105" s="2112"/>
      <c r="I105" s="2113"/>
    </row>
    <row r="106" spans="1:9" s="176" customFormat="1" ht="11.25" customHeight="1" x14ac:dyDescent="0.2">
      <c r="A106" s="294"/>
      <c r="B106" s="2111"/>
      <c r="C106" s="2112"/>
      <c r="D106" s="2112"/>
      <c r="E106" s="2112"/>
      <c r="F106" s="2112"/>
      <c r="G106" s="2112"/>
      <c r="H106" s="2112"/>
      <c r="I106" s="2113"/>
    </row>
    <row r="107" spans="1:9" s="176" customFormat="1" ht="11.25" customHeight="1" x14ac:dyDescent="0.2">
      <c r="A107" s="294"/>
      <c r="B107" s="2111"/>
      <c r="C107" s="2112"/>
      <c r="D107" s="2112"/>
      <c r="E107" s="2112"/>
      <c r="F107" s="2112"/>
      <c r="G107" s="2112"/>
      <c r="H107" s="2112"/>
      <c r="I107" s="2113"/>
    </row>
    <row r="108" spans="1:9" s="176" customFormat="1" ht="11.25" customHeight="1" x14ac:dyDescent="0.2">
      <c r="A108" s="294"/>
      <c r="B108" s="2111"/>
      <c r="C108" s="2112"/>
      <c r="D108" s="2112"/>
      <c r="E108" s="2112"/>
      <c r="F108" s="2112"/>
      <c r="G108" s="2112"/>
      <c r="H108" s="2112"/>
      <c r="I108" s="2113"/>
    </row>
    <row r="109" spans="1:9" s="176" customFormat="1" ht="11.25" customHeight="1" x14ac:dyDescent="0.2">
      <c r="A109" s="294"/>
      <c r="B109" s="2111"/>
      <c r="C109" s="2112"/>
      <c r="D109" s="2112"/>
      <c r="E109" s="2112"/>
      <c r="F109" s="2112"/>
      <c r="G109" s="2112"/>
      <c r="H109" s="2112"/>
      <c r="I109" s="2113"/>
    </row>
    <row r="110" spans="1:9" s="176" customFormat="1" ht="11.25" customHeight="1" x14ac:dyDescent="0.2">
      <c r="A110" s="294"/>
      <c r="B110" s="2111"/>
      <c r="C110" s="2112"/>
      <c r="D110" s="2112"/>
      <c r="E110" s="2112"/>
      <c r="F110" s="2112"/>
      <c r="G110" s="2112"/>
      <c r="H110" s="2112"/>
      <c r="I110" s="2113"/>
    </row>
    <row r="111" spans="1:9" s="176" customFormat="1" ht="11.25" customHeight="1" x14ac:dyDescent="0.2">
      <c r="A111" s="294"/>
      <c r="B111" s="2111"/>
      <c r="C111" s="2112"/>
      <c r="D111" s="2112"/>
      <c r="E111" s="2112"/>
      <c r="F111" s="2112"/>
      <c r="G111" s="2112"/>
      <c r="H111" s="2112"/>
      <c r="I111" s="2113"/>
    </row>
    <row r="112" spans="1:9" s="176" customFormat="1" ht="11.25" customHeight="1" x14ac:dyDescent="0.2">
      <c r="A112" s="294"/>
      <c r="B112" s="2114"/>
      <c r="C112" s="2115"/>
      <c r="D112" s="2115"/>
      <c r="E112" s="2115"/>
      <c r="F112" s="2115"/>
      <c r="G112" s="2115"/>
      <c r="H112" s="2115"/>
      <c r="I112" s="211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7" t="s">
        <v>2021</v>
      </c>
      <c r="D114" s="211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8" t="s">
        <v>1321</v>
      </c>
      <c r="D117" s="2119"/>
      <c r="E117" s="2120"/>
      <c r="F117" s="2120"/>
      <c r="G117" s="2120"/>
      <c r="H117" s="2120"/>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58"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01" t="str">
        <f>'Single Audit Cover'!A7</f>
        <v xml:space="preserve">  Dwight Common SD 232</v>
      </c>
      <c r="B1" s="2501"/>
      <c r="C1" s="2501"/>
      <c r="D1" s="2501"/>
      <c r="E1" s="2501"/>
      <c r="F1" s="2501"/>
    </row>
    <row r="2" spans="1:7" ht="13.5" customHeight="1" x14ac:dyDescent="0.2">
      <c r="A2" s="2497">
        <f>'Single Audit Cover'!E7</f>
        <v>17053232002</v>
      </c>
      <c r="B2" s="2497"/>
      <c r="C2" s="2497"/>
      <c r="D2" s="2497"/>
      <c r="E2" s="2497"/>
      <c r="F2" s="2497"/>
      <c r="G2" s="1096"/>
    </row>
    <row r="3" spans="1:7" ht="15.75" customHeight="1" x14ac:dyDescent="0.2">
      <c r="A3" s="2502" t="s">
        <v>1262</v>
      </c>
      <c r="B3" s="2502"/>
      <c r="C3" s="2502"/>
      <c r="D3" s="2502"/>
      <c r="E3" s="2502"/>
      <c r="F3" s="2502"/>
    </row>
    <row r="4" spans="1:7" ht="13.5" customHeight="1" x14ac:dyDescent="0.2">
      <c r="A4" s="2503" t="str">
        <f>'Single Audit Cover'!A4</f>
        <v>Year Ending June 30, 2020</v>
      </c>
      <c r="B4" s="2503"/>
      <c r="C4" s="2503"/>
      <c r="D4" s="2503"/>
      <c r="E4" s="2503"/>
      <c r="F4" s="2503"/>
    </row>
    <row r="5" spans="1:7" ht="8.25" customHeight="1" x14ac:dyDescent="0.2">
      <c r="C5" s="295"/>
      <c r="D5" s="295"/>
    </row>
    <row r="6" spans="1:7" ht="13.5" customHeight="1" x14ac:dyDescent="0.2">
      <c r="A6" s="1097" t="s">
        <v>1708</v>
      </c>
      <c r="C6" s="295"/>
      <c r="D6" s="295"/>
    </row>
    <row r="7" spans="1:7" ht="60.95" customHeight="1" x14ac:dyDescent="0.2">
      <c r="A7" s="2500" t="s">
        <v>1709</v>
      </c>
      <c r="B7" s="2500"/>
      <c r="C7" s="2500"/>
      <c r="D7" s="2500"/>
      <c r="E7" s="2500"/>
      <c r="F7" s="2500"/>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00" t="s">
        <v>1711</v>
      </c>
      <c r="B13" s="2500"/>
      <c r="C13" s="2500"/>
      <c r="D13" s="2500"/>
      <c r="E13" s="2500"/>
      <c r="F13" s="2500"/>
    </row>
    <row r="14" spans="1:7" ht="9.75" customHeight="1" x14ac:dyDescent="0.2">
      <c r="C14" s="1081"/>
      <c r="D14" s="1081"/>
    </row>
    <row r="15" spans="1:7" ht="13.5" customHeight="1" x14ac:dyDescent="0.2">
      <c r="C15" s="1525" t="s">
        <v>1261</v>
      </c>
      <c r="D15" s="2505" t="s">
        <v>1260</v>
      </c>
      <c r="E15" s="2505"/>
      <c r="F15" s="2505"/>
    </row>
    <row r="16" spans="1:7" ht="13.5" customHeight="1" x14ac:dyDescent="0.2">
      <c r="A16" s="1103"/>
      <c r="B16" s="1097" t="s">
        <v>1259</v>
      </c>
      <c r="C16" s="1525" t="s">
        <v>1258</v>
      </c>
      <c r="D16" s="2506" t="s">
        <v>1574</v>
      </c>
      <c r="E16" s="2506"/>
      <c r="F16" s="2506"/>
    </row>
    <row r="17" spans="1:6" ht="20.45" customHeight="1" x14ac:dyDescent="0.2">
      <c r="A17" s="1104"/>
      <c r="B17" s="1105"/>
      <c r="C17" s="1106"/>
      <c r="D17" s="2504"/>
      <c r="E17" s="2504"/>
      <c r="F17" s="2504"/>
    </row>
    <row r="18" spans="1:6" ht="20.65" customHeight="1" x14ac:dyDescent="0.2">
      <c r="A18" s="1104"/>
      <c r="B18" s="1105"/>
      <c r="C18" s="1106"/>
      <c r="D18" s="2504"/>
      <c r="E18" s="2504"/>
      <c r="F18" s="2504"/>
    </row>
    <row r="19" spans="1:6" ht="20.65" customHeight="1" x14ac:dyDescent="0.2">
      <c r="A19" s="1104"/>
      <c r="B19" s="1105"/>
      <c r="C19" s="1106"/>
      <c r="D19" s="2504"/>
      <c r="E19" s="2504"/>
      <c r="F19" s="2504"/>
    </row>
    <row r="20" spans="1:6" ht="20.65" customHeight="1" x14ac:dyDescent="0.2">
      <c r="A20" s="1104"/>
      <c r="B20" s="1105"/>
      <c r="C20" s="1106"/>
      <c r="D20" s="2504"/>
      <c r="E20" s="2504"/>
      <c r="F20" s="2504"/>
    </row>
    <row r="21" spans="1:6" ht="20.65" customHeight="1" x14ac:dyDescent="0.2">
      <c r="A21" s="1104"/>
      <c r="B21" s="1105"/>
      <c r="C21" s="1106"/>
      <c r="D21" s="2504"/>
      <c r="E21" s="2504"/>
      <c r="F21" s="2504"/>
    </row>
    <row r="22" spans="1:6" ht="20.65" customHeight="1" x14ac:dyDescent="0.2">
      <c r="A22" s="1104"/>
      <c r="B22" s="1105"/>
      <c r="C22" s="1106"/>
      <c r="D22" s="2504"/>
      <c r="E22" s="2504"/>
      <c r="F22" s="2504"/>
    </row>
    <row r="23" spans="1:6" ht="20.65" customHeight="1" x14ac:dyDescent="0.2">
      <c r="A23" s="1104"/>
      <c r="B23" s="1105"/>
      <c r="C23" s="1106"/>
      <c r="D23" s="2504"/>
      <c r="E23" s="2504"/>
      <c r="F23" s="2504"/>
    </row>
    <row r="24" spans="1:6" ht="20.65" customHeight="1" x14ac:dyDescent="0.2">
      <c r="A24" s="1104"/>
      <c r="B24" s="1105"/>
      <c r="C24" s="1106"/>
      <c r="D24" s="2504"/>
      <c r="E24" s="2504"/>
      <c r="F24" s="2504"/>
    </row>
    <row r="25" spans="1:6" ht="20.65" customHeight="1" x14ac:dyDescent="0.2">
      <c r="A25" s="1104"/>
      <c r="B25" s="1105"/>
      <c r="C25" s="1106"/>
      <c r="D25" s="2504"/>
      <c r="E25" s="2504"/>
      <c r="F25" s="2504"/>
    </row>
    <row r="26" spans="1:6" ht="20.65" customHeight="1" x14ac:dyDescent="0.2">
      <c r="A26" s="1104"/>
      <c r="B26" s="1105"/>
      <c r="C26" s="1106"/>
      <c r="D26" s="2504"/>
      <c r="E26" s="2504"/>
      <c r="F26" s="2504"/>
    </row>
    <row r="27" spans="1:6" ht="20.65" customHeight="1" x14ac:dyDescent="0.2">
      <c r="A27" s="1104"/>
      <c r="B27" s="1105"/>
      <c r="C27" s="1106"/>
      <c r="D27" s="2504"/>
      <c r="E27" s="2504"/>
      <c r="F27" s="2504"/>
    </row>
    <row r="28" spans="1:6" ht="20.65" customHeight="1" x14ac:dyDescent="0.2">
      <c r="A28" s="1104"/>
      <c r="B28" s="1105"/>
      <c r="C28" s="1106"/>
      <c r="D28" s="2504"/>
      <c r="E28" s="2504"/>
      <c r="F28" s="2504"/>
    </row>
    <row r="29" spans="1:6" ht="20.65" customHeight="1" x14ac:dyDescent="0.2">
      <c r="A29" s="1104"/>
      <c r="B29" s="1105"/>
      <c r="C29" s="1106"/>
      <c r="D29" s="2504"/>
      <c r="E29" s="2504"/>
      <c r="F29" s="2504"/>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8" t="s">
        <v>1712</v>
      </c>
      <c r="B32" s="2508"/>
      <c r="C32" s="2508"/>
      <c r="D32" s="2508"/>
      <c r="E32" s="2508"/>
      <c r="F32" s="2508"/>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09">
        <f>+C33+C34</f>
        <v>0</v>
      </c>
      <c r="F34" s="2510"/>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11" t="s">
        <v>1576</v>
      </c>
      <c r="C49" s="2511"/>
      <c r="D49" s="2511"/>
      <c r="E49" s="1213"/>
    </row>
    <row r="50" spans="1:5" s="1121" customFormat="1" ht="3.75" customHeight="1" x14ac:dyDescent="0.2">
      <c r="A50" s="1120"/>
      <c r="B50" s="1524"/>
      <c r="C50" s="1524"/>
      <c r="D50" s="1524"/>
      <c r="E50" s="1213"/>
    </row>
    <row r="51" spans="1:5" s="1121" customFormat="1" ht="20.25" customHeight="1" x14ac:dyDescent="0.2">
      <c r="A51" s="1122">
        <v>6</v>
      </c>
      <c r="B51" s="2507" t="s">
        <v>1537</v>
      </c>
      <c r="C51" s="2507"/>
      <c r="D51" s="2507"/>
    </row>
    <row r="52" spans="1:5" ht="14.25" customHeight="1" x14ac:dyDescent="0.2">
      <c r="A52" s="1122"/>
      <c r="B52" s="2507"/>
      <c r="C52" s="2507"/>
      <c r="D52" s="250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46" zoomScale="110" zoomScaleNormal="110" workbookViewId="0">
      <selection activeCell="B7" sqref="B7:I7"/>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95" customHeight="1" x14ac:dyDescent="0.2">
      <c r="B1" s="2516" t="str">
        <f>'Single Audit Cover'!A7</f>
        <v xml:space="preserve">  Dwight Common SD 232</v>
      </c>
      <c r="C1" s="2517"/>
      <c r="D1" s="2517"/>
      <c r="E1" s="2517"/>
      <c r="F1" s="2517"/>
      <c r="G1" s="2517"/>
      <c r="H1" s="2517"/>
      <c r="I1" s="2517"/>
      <c r="J1" s="1223"/>
    </row>
    <row r="2" spans="2:10" s="295" customFormat="1" ht="12.95" customHeight="1" x14ac:dyDescent="0.2">
      <c r="B2" s="2518">
        <f>'Single Audit Cover'!E7</f>
        <v>17053232002</v>
      </c>
      <c r="C2" s="2519"/>
      <c r="D2" s="2519"/>
      <c r="E2" s="2519"/>
      <c r="F2" s="2519"/>
      <c r="G2" s="2519"/>
      <c r="H2" s="2519"/>
      <c r="I2" s="2519"/>
      <c r="J2" s="1223"/>
    </row>
    <row r="3" spans="2:10" s="295" customFormat="1" ht="12.95" customHeight="1" x14ac:dyDescent="0.2">
      <c r="B3" s="2520" t="s">
        <v>1276</v>
      </c>
      <c r="C3" s="2521"/>
      <c r="D3" s="2521"/>
      <c r="E3" s="2521"/>
      <c r="F3" s="2521"/>
      <c r="G3" s="2521"/>
      <c r="H3" s="2521"/>
      <c r="I3" s="2521"/>
      <c r="J3" s="1224"/>
    </row>
    <row r="4" spans="2:10" s="295" customFormat="1" ht="12.95" customHeight="1" x14ac:dyDescent="0.2">
      <c r="B4" s="2520" t="str">
        <f>'Single Audit Cover'!A4</f>
        <v>Year Ending June 30, 2020</v>
      </c>
      <c r="C4" s="2521"/>
      <c r="D4" s="2521"/>
      <c r="E4" s="2521"/>
      <c r="F4" s="2521"/>
      <c r="G4" s="2521"/>
      <c r="H4" s="2521"/>
      <c r="I4" s="2521"/>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0" t="s">
        <v>1275</v>
      </c>
      <c r="C7" s="2521"/>
      <c r="D7" s="2521"/>
      <c r="E7" s="2521"/>
      <c r="F7" s="2521"/>
      <c r="G7" s="2521"/>
      <c r="H7" s="2521"/>
      <c r="I7" s="2521"/>
    </row>
    <row r="8" spans="2:10" s="295" customFormat="1" ht="6.2" customHeight="1" x14ac:dyDescent="0.2">
      <c r="B8" s="1227" t="s">
        <v>1161</v>
      </c>
      <c r="C8" s="1228"/>
      <c r="D8" s="1228"/>
      <c r="E8" s="1229"/>
      <c r="F8" s="1228"/>
      <c r="G8" s="1228"/>
      <c r="H8" s="1228"/>
      <c r="I8" s="1228"/>
    </row>
    <row r="9" spans="2:10" s="295" customFormat="1" ht="9.1999999999999993" customHeight="1" x14ac:dyDescent="0.2">
      <c r="B9" s="1230"/>
      <c r="C9" s="300"/>
      <c r="D9" s="300"/>
      <c r="E9" s="1198"/>
      <c r="F9" s="300"/>
      <c r="G9" s="300"/>
      <c r="H9" s="300"/>
      <c r="I9" s="300"/>
    </row>
    <row r="10" spans="2:10" s="295" customFormat="1" ht="12.95" customHeight="1" x14ac:dyDescent="0.2">
      <c r="B10" s="1231" t="s">
        <v>1274</v>
      </c>
      <c r="C10" s="1232"/>
      <c r="D10" s="1232"/>
      <c r="E10" s="1079"/>
    </row>
    <row r="11" spans="2:10" s="295" customFormat="1" ht="13.5" customHeight="1" x14ac:dyDescent="0.2">
      <c r="B11" s="1164" t="s">
        <v>1273</v>
      </c>
      <c r="C11" s="2522"/>
      <c r="D11" s="2522"/>
      <c r="E11" s="1233"/>
      <c r="F11" s="1233"/>
      <c r="G11" s="1233"/>
    </row>
    <row r="12" spans="2:10" s="295" customFormat="1" ht="11.45" customHeight="1" x14ac:dyDescent="0.2">
      <c r="B12" s="1172"/>
      <c r="C12" s="1234" t="s">
        <v>1428</v>
      </c>
      <c r="D12" s="1235"/>
      <c r="E12" s="1079"/>
    </row>
    <row r="13" spans="2:10" s="295" customFormat="1" ht="12.95" customHeight="1" x14ac:dyDescent="0.2">
      <c r="B13" s="1236"/>
      <c r="C13" s="1201"/>
      <c r="D13" s="1201"/>
      <c r="E13" s="1079"/>
    </row>
    <row r="14" spans="2:10" s="295" customFormat="1" ht="12.9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9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95" customHeight="1" x14ac:dyDescent="0.2">
      <c r="B21" s="1183"/>
      <c r="C21" s="1103"/>
      <c r="E21" s="1198"/>
      <c r="F21" s="1121"/>
      <c r="G21" s="300"/>
      <c r="H21" s="1121"/>
      <c r="I21" s="1121"/>
    </row>
    <row r="22" spans="2:9" s="295" customFormat="1" ht="12.95" customHeight="1" x14ac:dyDescent="0.2">
      <c r="B22" s="1231" t="s">
        <v>1271</v>
      </c>
      <c r="C22" s="1241"/>
      <c r="D22" s="1232"/>
      <c r="E22" s="1198"/>
      <c r="F22" s="1121"/>
      <c r="G22" s="300"/>
      <c r="H22" s="1121"/>
      <c r="I22" s="1121"/>
    </row>
    <row r="23" spans="2:9" s="295" customFormat="1" ht="12.9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95" customHeight="1" x14ac:dyDescent="0.2">
      <c r="B27" s="1237" t="s">
        <v>1429</v>
      </c>
      <c r="C27" s="1238"/>
      <c r="D27" s="1212"/>
      <c r="E27" s="1239"/>
      <c r="F27" s="1121" t="s">
        <v>879</v>
      </c>
      <c r="G27" s="1239"/>
      <c r="H27" s="1121" t="s">
        <v>1267</v>
      </c>
      <c r="I27" s="1121"/>
    </row>
    <row r="28" spans="2:9" s="295" customFormat="1" ht="12.95" customHeight="1" x14ac:dyDescent="0.2">
      <c r="B28" s="1183"/>
      <c r="C28" s="1103"/>
      <c r="E28" s="1079"/>
    </row>
    <row r="29" spans="2:9" s="295" customFormat="1" ht="12.95" customHeight="1" x14ac:dyDescent="0.2">
      <c r="B29" s="1183" t="s">
        <v>1266</v>
      </c>
      <c r="C29" s="1103"/>
      <c r="D29" s="2523"/>
      <c r="E29" s="2523"/>
      <c r="F29" s="2523"/>
      <c r="G29" s="2523"/>
      <c r="H29" s="2523"/>
      <c r="I29" s="2523"/>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24" t="s">
        <v>1731</v>
      </c>
      <c r="D37" s="2525"/>
      <c r="E37" s="2525"/>
      <c r="F37" s="2526"/>
      <c r="G37" s="2524" t="s">
        <v>1578</v>
      </c>
      <c r="H37" s="2525"/>
      <c r="I37" s="2526"/>
    </row>
    <row r="38" spans="2:9" ht="16.7" customHeight="1" x14ac:dyDescent="0.2">
      <c r="B38" s="1245"/>
      <c r="C38" s="2512"/>
      <c r="D38" s="2513"/>
      <c r="E38" s="2513"/>
      <c r="F38" s="2514"/>
      <c r="G38" s="2527"/>
      <c r="H38" s="2528"/>
      <c r="I38" s="2529"/>
    </row>
    <row r="39" spans="2:9" ht="16.7" customHeight="1" x14ac:dyDescent="0.2">
      <c r="B39" s="1245"/>
      <c r="C39" s="2512"/>
      <c r="D39" s="2513"/>
      <c r="E39" s="2513"/>
      <c r="F39" s="2514"/>
      <c r="G39" s="2515"/>
      <c r="H39" s="2515"/>
      <c r="I39" s="2515"/>
    </row>
    <row r="40" spans="2:9" ht="16.7" customHeight="1" x14ac:dyDescent="0.2">
      <c r="B40" s="1245"/>
      <c r="C40" s="2512"/>
      <c r="D40" s="2513"/>
      <c r="E40" s="2513"/>
      <c r="F40" s="2514"/>
      <c r="G40" s="2515"/>
      <c r="H40" s="2515"/>
      <c r="I40" s="2515"/>
    </row>
    <row r="41" spans="2:9" ht="16.7" customHeight="1" x14ac:dyDescent="0.2">
      <c r="B41" s="1245"/>
      <c r="C41" s="2512"/>
      <c r="D41" s="2513"/>
      <c r="E41" s="2513"/>
      <c r="F41" s="2514"/>
      <c r="G41" s="2515"/>
      <c r="H41" s="2515"/>
      <c r="I41" s="2515"/>
    </row>
    <row r="42" spans="2:9" ht="16.7" customHeight="1" x14ac:dyDescent="0.2">
      <c r="B42" s="1245"/>
      <c r="C42" s="2512"/>
      <c r="D42" s="2513"/>
      <c r="E42" s="2513"/>
      <c r="F42" s="2514"/>
      <c r="G42" s="2515"/>
      <c r="H42" s="2515"/>
      <c r="I42" s="2515"/>
    </row>
    <row r="43" spans="2:9" ht="16.7" customHeight="1" x14ac:dyDescent="0.2">
      <c r="B43" s="1245"/>
      <c r="C43" s="2530" t="s">
        <v>1579</v>
      </c>
      <c r="D43" s="2531"/>
      <c r="E43" s="2531"/>
      <c r="F43" s="2532"/>
      <c r="G43" s="2533">
        <f>SUM(G38:I42)</f>
        <v>0</v>
      </c>
      <c r="H43" s="2533"/>
      <c r="I43" s="2533"/>
    </row>
    <row r="44" spans="2:9" ht="12.95" customHeight="1" x14ac:dyDescent="0.2"/>
    <row r="45" spans="2:9" ht="12.95" customHeight="1" x14ac:dyDescent="0.2">
      <c r="B45" s="1985" t="str">
        <f>"Total Federal Expenditures for 7/1/"&amp;MID('AFR20'!E2,3,2)-1&amp;"-6/30/"&amp;MID('AFR20'!E2,3,2)</f>
        <v>Total Federal Expenditures for 7/1/19-6/30/20</v>
      </c>
      <c r="C45" s="1986"/>
      <c r="D45" s="2534">
        <v>0</v>
      </c>
      <c r="E45" s="2535"/>
    </row>
    <row r="46" spans="2:9" ht="5.25" customHeight="1" x14ac:dyDescent="0.2">
      <c r="B46" s="1246"/>
      <c r="D46" s="1247"/>
      <c r="E46" s="1248"/>
    </row>
    <row r="47" spans="2:9" ht="12.9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36"/>
      <c r="F49" s="2536"/>
      <c r="G49" s="2536"/>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95" customHeight="1" x14ac:dyDescent="0.2">
      <c r="A55" s="1259"/>
      <c r="B55" s="1263" t="s">
        <v>1581</v>
      </c>
      <c r="C55" s="1259"/>
      <c r="D55" s="1259"/>
    </row>
    <row r="56" spans="1:9" s="1262" customFormat="1" ht="12.9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9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8" zoomScale="110" zoomScaleNormal="110" workbookViewId="0">
      <selection activeCell="B7" sqref="B7:K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16" t="str">
        <f>'Single Audit Cover'!A7</f>
        <v xml:space="preserve">  Dwight Common SD 232</v>
      </c>
      <c r="C1" s="2516"/>
      <c r="D1" s="2516"/>
      <c r="E1" s="2516"/>
      <c r="F1" s="2516"/>
      <c r="G1" s="2516"/>
      <c r="H1" s="2516"/>
      <c r="I1" s="2516"/>
      <c r="J1" s="2516"/>
      <c r="K1" s="2516"/>
      <c r="L1" s="1189"/>
      <c r="M1" s="1189"/>
    </row>
    <row r="2" spans="1:13" ht="12" customHeight="1" x14ac:dyDescent="0.2">
      <c r="B2" s="2518">
        <f>'Single Audit Cover'!E7</f>
        <v>17053232002</v>
      </c>
      <c r="C2" s="2518"/>
      <c r="D2" s="2518"/>
      <c r="E2" s="2518"/>
      <c r="F2" s="2518"/>
      <c r="G2" s="2518"/>
      <c r="H2" s="2518"/>
      <c r="I2" s="2518"/>
      <c r="J2" s="2518"/>
      <c r="K2" s="2518"/>
      <c r="L2" s="1190"/>
      <c r="M2" s="1191"/>
    </row>
    <row r="3" spans="1:13" ht="10.35" customHeight="1" x14ac:dyDescent="0.2">
      <c r="B3" s="2539" t="s">
        <v>1276</v>
      </c>
      <c r="C3" s="2539"/>
      <c r="D3" s="2539"/>
      <c r="E3" s="2539"/>
      <c r="F3" s="2539"/>
      <c r="G3" s="2539"/>
      <c r="H3" s="2539"/>
      <c r="I3" s="2539"/>
      <c r="J3" s="2539"/>
      <c r="K3" s="2539"/>
      <c r="L3" s="1192"/>
      <c r="M3" s="1192"/>
    </row>
    <row r="4" spans="1:13" ht="14.25" customHeight="1" x14ac:dyDescent="0.2">
      <c r="B4" s="2540" t="str">
        <f>'Single Audit Cover'!A4</f>
        <v>Year Ending June 30, 2020</v>
      </c>
      <c r="C4" s="2540"/>
      <c r="D4" s="2540"/>
      <c r="E4" s="2540"/>
      <c r="F4" s="2540"/>
      <c r="G4" s="2540"/>
      <c r="H4" s="2540"/>
      <c r="I4" s="2540"/>
      <c r="J4" s="2540"/>
      <c r="K4" s="2540"/>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95" customHeight="1" x14ac:dyDescent="0.2">
      <c r="A7" s="1103"/>
      <c r="B7" s="2540" t="s">
        <v>1287</v>
      </c>
      <c r="C7" s="2540"/>
      <c r="D7" s="2541"/>
      <c r="E7" s="2541"/>
      <c r="F7" s="2541"/>
      <c r="G7" s="2541"/>
      <c r="H7" s="2541"/>
      <c r="I7" s="2541"/>
      <c r="J7" s="2541"/>
      <c r="K7" s="2541"/>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7"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38"/>
      <c r="C14" s="2538"/>
      <c r="D14" s="2538"/>
      <c r="E14" s="2538"/>
      <c r="F14" s="2538"/>
      <c r="G14" s="2538"/>
      <c r="H14" s="2538"/>
      <c r="I14" s="2538"/>
      <c r="J14" s="2538"/>
      <c r="K14" s="2538"/>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38"/>
      <c r="C17" s="2538"/>
      <c r="D17" s="2538"/>
      <c r="E17" s="2538"/>
      <c r="F17" s="2538"/>
      <c r="G17" s="2538"/>
      <c r="H17" s="2538"/>
      <c r="I17" s="2538"/>
      <c r="J17" s="2538"/>
      <c r="K17" s="2538"/>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42"/>
      <c r="C20" s="2542"/>
      <c r="D20" s="2538"/>
      <c r="E20" s="2538"/>
      <c r="F20" s="2538"/>
      <c r="G20" s="2538"/>
      <c r="H20" s="2538"/>
      <c r="I20" s="2538"/>
      <c r="J20" s="2538"/>
      <c r="K20" s="2538"/>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2" customHeight="1" x14ac:dyDescent="0.2">
      <c r="B23" s="2538"/>
      <c r="C23" s="2538"/>
      <c r="D23" s="2538"/>
      <c r="E23" s="2538"/>
      <c r="F23" s="2538"/>
      <c r="G23" s="2538"/>
      <c r="H23" s="2538"/>
      <c r="I23" s="2538"/>
      <c r="J23" s="2538"/>
      <c r="K23" s="2538"/>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38"/>
      <c r="C26" s="2538"/>
      <c r="D26" s="2538"/>
      <c r="E26" s="2538"/>
      <c r="F26" s="2538"/>
      <c r="G26" s="2538"/>
      <c r="H26" s="2538"/>
      <c r="I26" s="2538"/>
      <c r="J26" s="2538"/>
      <c r="K26" s="2538"/>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7"/>
      <c r="C29" s="2537"/>
      <c r="D29" s="2538"/>
      <c r="E29" s="2538"/>
      <c r="F29" s="2538"/>
      <c r="G29" s="2538"/>
      <c r="H29" s="2538"/>
      <c r="I29" s="2538"/>
      <c r="J29" s="2538"/>
      <c r="K29" s="2538"/>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7"/>
      <c r="C32" s="2537"/>
      <c r="D32" s="2538"/>
      <c r="E32" s="2538"/>
      <c r="F32" s="2538"/>
      <c r="G32" s="2538"/>
      <c r="H32" s="2538"/>
      <c r="I32" s="2538"/>
      <c r="J32" s="2538"/>
      <c r="K32" s="2538"/>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75"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34" zoomScale="110" zoomScaleNormal="110" workbookViewId="0">
      <selection activeCell="I58" sqref="I5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95" customHeight="1" x14ac:dyDescent="0.2">
      <c r="B1" s="2543" t="str">
        <f>'Single Audit Cover'!A7</f>
        <v xml:space="preserve">  Dwight Common SD 232</v>
      </c>
      <c r="C1" s="2543"/>
      <c r="D1" s="2543"/>
      <c r="E1" s="2543"/>
      <c r="F1" s="2543"/>
      <c r="G1" s="2543"/>
      <c r="H1" s="2543"/>
      <c r="I1" s="2543"/>
      <c r="J1" s="2543"/>
      <c r="K1" s="2543"/>
      <c r="L1" s="1266"/>
    </row>
    <row r="2" spans="1:12" ht="12.95" customHeight="1" x14ac:dyDescent="0.2">
      <c r="B2" s="2544">
        <f>'Single Audit Cover'!E7</f>
        <v>17053232002</v>
      </c>
      <c r="C2" s="2544"/>
      <c r="D2" s="2544"/>
      <c r="E2" s="2544"/>
      <c r="F2" s="2544"/>
      <c r="G2" s="2544"/>
      <c r="H2" s="2544"/>
      <c r="I2" s="2544"/>
      <c r="J2" s="2544"/>
      <c r="K2" s="2544"/>
      <c r="L2" s="1267"/>
    </row>
    <row r="3" spans="1:12" ht="12.95" customHeight="1" x14ac:dyDescent="0.2">
      <c r="B3" s="2539" t="s">
        <v>1276</v>
      </c>
      <c r="C3" s="2539"/>
      <c r="D3" s="2539"/>
      <c r="E3" s="2539"/>
      <c r="F3" s="2539"/>
      <c r="G3" s="2539"/>
      <c r="H3" s="2539"/>
      <c r="I3" s="2539"/>
      <c r="J3" s="2539"/>
      <c r="K3" s="2539"/>
      <c r="L3" s="1192"/>
    </row>
    <row r="4" spans="1:12" ht="12.95" customHeight="1" x14ac:dyDescent="0.2">
      <c r="B4" s="2539" t="str">
        <f>'Single Audit Cover'!A4</f>
        <v>Year Ending June 30, 2020</v>
      </c>
      <c r="C4" s="2539"/>
      <c r="D4" s="2539"/>
      <c r="E4" s="2539"/>
      <c r="F4" s="2539"/>
      <c r="G4" s="2539"/>
      <c r="H4" s="2539"/>
      <c r="I4" s="2539"/>
      <c r="J4" s="2539"/>
      <c r="K4" s="2539"/>
      <c r="L4" s="1192"/>
    </row>
    <row r="5" spans="1:12" ht="5.25" customHeight="1" x14ac:dyDescent="0.2">
      <c r="B5" s="1081" t="s">
        <v>1161</v>
      </c>
      <c r="C5" s="1081"/>
      <c r="L5" s="300"/>
    </row>
    <row r="6" spans="1:12" ht="30.95" customHeight="1" x14ac:dyDescent="0.2">
      <c r="A6" s="300"/>
      <c r="B6" s="2545" t="s">
        <v>1299</v>
      </c>
      <c r="C6" s="2545"/>
      <c r="D6" s="2545"/>
      <c r="E6" s="2545"/>
      <c r="F6" s="2545"/>
      <c r="G6" s="2545"/>
      <c r="H6" s="2545"/>
      <c r="I6" s="2545"/>
      <c r="J6" s="2545"/>
      <c r="K6" s="2545"/>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23"/>
      <c r="G12" s="2523"/>
      <c r="H12" s="2523"/>
      <c r="I12" s="2523"/>
      <c r="J12" s="2523"/>
      <c r="K12" s="2523"/>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6"/>
      <c r="E14" s="2546"/>
      <c r="F14" s="2546"/>
      <c r="H14" s="1275" t="s">
        <v>1294</v>
      </c>
      <c r="I14" s="2547"/>
      <c r="J14" s="2547"/>
      <c r="K14" s="2547"/>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7"/>
      <c r="E16" s="2547"/>
      <c r="F16" s="2547"/>
      <c r="G16" s="2547"/>
      <c r="H16" s="2547"/>
      <c r="I16" s="2547"/>
      <c r="J16" s="2547"/>
      <c r="K16" s="2547"/>
      <c r="L16" s="300"/>
    </row>
    <row r="17" spans="2:12" ht="13.5" customHeight="1" x14ac:dyDescent="0.2">
      <c r="B17" s="1201" t="s">
        <v>1292</v>
      </c>
      <c r="C17" s="1201"/>
      <c r="D17" s="2548"/>
      <c r="E17" s="2548"/>
      <c r="F17" s="2548"/>
      <c r="G17" s="2548"/>
      <c r="H17" s="2548"/>
      <c r="I17" s="2548"/>
      <c r="J17" s="2548"/>
      <c r="K17" s="2548"/>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38"/>
      <c r="C20" s="2538"/>
      <c r="D20" s="2538"/>
      <c r="E20" s="2538"/>
      <c r="F20" s="2538"/>
      <c r="G20" s="2538"/>
      <c r="H20" s="2538"/>
      <c r="I20" s="2538"/>
      <c r="J20" s="2538"/>
      <c r="K20" s="2538"/>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38"/>
      <c r="C23" s="2538"/>
      <c r="D23" s="2538"/>
      <c r="E23" s="2538"/>
      <c r="F23" s="2538"/>
      <c r="G23" s="2538"/>
      <c r="H23" s="2538"/>
      <c r="I23" s="2538"/>
      <c r="J23" s="2538"/>
      <c r="K23" s="2538"/>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38"/>
      <c r="C26" s="2538"/>
      <c r="D26" s="2538"/>
      <c r="E26" s="2538"/>
      <c r="F26" s="2538"/>
      <c r="G26" s="2538"/>
      <c r="H26" s="2538"/>
      <c r="I26" s="2538"/>
      <c r="J26" s="2538"/>
      <c r="K26" s="2538"/>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38"/>
      <c r="C29" s="2538"/>
      <c r="D29" s="2538"/>
      <c r="E29" s="2538"/>
      <c r="F29" s="2538"/>
      <c r="G29" s="2538"/>
      <c r="H29" s="2538"/>
      <c r="I29" s="2538"/>
      <c r="J29" s="2538"/>
      <c r="K29" s="2538"/>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38"/>
      <c r="C32" s="2538"/>
      <c r="D32" s="2538"/>
      <c r="E32" s="2538"/>
      <c r="F32" s="2538"/>
      <c r="G32" s="2538"/>
      <c r="H32" s="2538"/>
      <c r="I32" s="2538"/>
      <c r="J32" s="2538"/>
      <c r="K32" s="2538"/>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38"/>
      <c r="C35" s="2538"/>
      <c r="D35" s="2538"/>
      <c r="E35" s="2538"/>
      <c r="F35" s="2538"/>
      <c r="G35" s="2538"/>
      <c r="H35" s="2538"/>
      <c r="I35" s="2538"/>
      <c r="J35" s="2538"/>
      <c r="K35" s="2538"/>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38"/>
      <c r="C38" s="2538"/>
      <c r="D38" s="2538"/>
      <c r="E38" s="2538"/>
      <c r="F38" s="2538"/>
      <c r="G38" s="2538"/>
      <c r="H38" s="2538"/>
      <c r="I38" s="2538"/>
      <c r="J38" s="2538"/>
      <c r="K38" s="2538"/>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38"/>
      <c r="C41" s="2538"/>
      <c r="D41" s="2538"/>
      <c r="E41" s="2538"/>
      <c r="F41" s="2538"/>
      <c r="G41" s="2538"/>
      <c r="H41" s="2538"/>
      <c r="I41" s="2538"/>
      <c r="J41" s="2538"/>
      <c r="K41" s="2538"/>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95" customHeight="1" x14ac:dyDescent="0.2">
      <c r="B1" s="2516" t="str">
        <f>'Single Audit Cover'!A7</f>
        <v xml:space="preserve">  Dwight Common SD 232</v>
      </c>
      <c r="C1" s="2516"/>
      <c r="D1" s="2516"/>
      <c r="E1" s="1285"/>
    </row>
    <row r="2" spans="2:5" s="1103" customFormat="1" ht="12.95" customHeight="1" x14ac:dyDescent="0.2">
      <c r="B2" s="2518">
        <f>'Single Audit Cover'!E7</f>
        <v>17053232002</v>
      </c>
      <c r="C2" s="2518"/>
      <c r="D2" s="2518"/>
      <c r="E2" s="1286"/>
    </row>
    <row r="3" spans="2:5" ht="12.95" customHeight="1" x14ac:dyDescent="0.2">
      <c r="B3" s="2539" t="s">
        <v>1746</v>
      </c>
      <c r="C3" s="2539"/>
      <c r="D3" s="2539"/>
      <c r="E3" s="1095"/>
    </row>
    <row r="4" spans="2:5" s="1103" customFormat="1" ht="12.95" customHeight="1" x14ac:dyDescent="0.2">
      <c r="B4" s="2549" t="str">
        <f>'Single Audit Cover'!A4</f>
        <v>Year Ending June 30, 2020</v>
      </c>
      <c r="C4" s="2549"/>
      <c r="D4" s="2549"/>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9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95" customHeight="1" x14ac:dyDescent="0.2"/>
    <row r="54" spans="2:5" ht="12.95" customHeight="1" x14ac:dyDescent="0.2">
      <c r="B54" s="1088"/>
    </row>
    <row r="55" spans="2:5" ht="12.95" customHeight="1" x14ac:dyDescent="0.2"/>
    <row r="56" spans="2:5" ht="12.95" customHeight="1" x14ac:dyDescent="0.2">
      <c r="B56" s="300"/>
      <c r="C56" s="300"/>
      <c r="D56" s="300"/>
      <c r="E56" s="300"/>
    </row>
    <row r="57" spans="2:5" ht="12.95" customHeight="1" x14ac:dyDescent="0.2">
      <c r="B57" s="300"/>
      <c r="C57" s="300"/>
      <c r="D57" s="300"/>
      <c r="E57" s="300"/>
    </row>
    <row r="58" spans="2:5" ht="12.95" customHeight="1" x14ac:dyDescent="0.2">
      <c r="B58" s="300"/>
      <c r="C58" s="300"/>
      <c r="D58" s="300"/>
      <c r="E58" s="300"/>
    </row>
    <row r="59" spans="2:5" ht="12.95" customHeight="1" x14ac:dyDescent="0.2">
      <c r="B59" s="300"/>
      <c r="C59" s="300"/>
      <c r="D59" s="300"/>
      <c r="E59" s="300"/>
    </row>
    <row r="60" spans="2:5" ht="12.95" customHeight="1" x14ac:dyDescent="0.2">
      <c r="B60" s="300"/>
      <c r="C60" s="300"/>
      <c r="D60" s="300"/>
      <c r="E60" s="300"/>
    </row>
    <row r="61" spans="2:5" ht="12.95" customHeight="1" x14ac:dyDescent="0.2">
      <c r="B61" s="300"/>
      <c r="C61" s="300"/>
      <c r="D61" s="300"/>
      <c r="E61" s="300"/>
    </row>
    <row r="62" spans="2:5" ht="12.95" customHeight="1" x14ac:dyDescent="0.2">
      <c r="B62" s="300"/>
      <c r="C62" s="300"/>
      <c r="D62" s="300"/>
      <c r="E62" s="300"/>
    </row>
    <row r="63" spans="2:5" ht="12.9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72B7-A0D4-4DA1-9907-64DBA9545F7F}">
  <sheetPr>
    <tabColor rgb="FF00B050"/>
  </sheetPr>
  <dimension ref="A1"/>
  <sheetViews>
    <sheetView workbookViewId="0">
      <selection activeCell="O32" sqref="O32"/>
    </sheetView>
  </sheetViews>
  <sheetFormatPr defaultRowHeight="12.75" x14ac:dyDescent="0.2"/>
  <sheetData/>
  <pageMargins left="0.7" right="0.45" top="0.5" bottom="0" header="0" footer="0"/>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22" colorId="8" zoomScale="110" zoomScaleNormal="110" workbookViewId="0">
      <selection activeCell="D32" sqref="D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2" t="s">
        <v>383</v>
      </c>
      <c r="B1" s="2142"/>
      <c r="C1" s="2142"/>
      <c r="D1" s="2142"/>
      <c r="E1" s="2142"/>
      <c r="F1" s="2142"/>
      <c r="G1" s="2142"/>
      <c r="H1" s="2142"/>
      <c r="I1" s="2142"/>
      <c r="J1" s="2142"/>
      <c r="K1" s="2142"/>
      <c r="L1" s="2142"/>
      <c r="M1" s="214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126148700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2.3800000000000002E-2</v>
      </c>
      <c r="E10" s="333" t="s">
        <v>998</v>
      </c>
      <c r="F10" s="332">
        <v>2.5000000000000001E-3</v>
      </c>
      <c r="G10" s="333" t="s">
        <v>998</v>
      </c>
      <c r="H10" s="332">
        <v>1.1999999999999999E-3</v>
      </c>
      <c r="I10" s="333" t="s">
        <v>999</v>
      </c>
      <c r="J10" s="1473">
        <f>ROUND(D10+F10+H10,5)</f>
        <v>2.75E-2</v>
      </c>
      <c r="K10" s="217"/>
      <c r="L10" s="332">
        <v>5.0000000000000001E-4</v>
      </c>
      <c r="M10" s="217"/>
    </row>
    <row r="11" spans="1:14" ht="7.5" customHeight="1" x14ac:dyDescent="0.2">
      <c r="B11" s="217"/>
      <c r="C11" s="217"/>
      <c r="D11" s="2152" t="str">
        <f>IF(SUM(J10)&lt;=0.0999999,"","Enter the Tax Rates by moving the decimal two places to the left.")</f>
        <v/>
      </c>
      <c r="E11" s="2153"/>
      <c r="F11" s="2153"/>
      <c r="G11" s="2153"/>
      <c r="H11" s="2153"/>
      <c r="I11" s="2153"/>
      <c r="J11" s="215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5290334</v>
      </c>
      <c r="E16" s="1597"/>
      <c r="F16" s="1596">
        <f>SUM('Acct Summary 7-8'!C17,'Acct Summary 7-8'!D17,'Acct Summary 7-8'!F17)</f>
        <v>5060416</v>
      </c>
      <c r="G16" s="1597"/>
      <c r="H16" s="1596">
        <f>SUM(D16-F16)</f>
        <v>229918</v>
      </c>
      <c r="I16" s="1598"/>
      <c r="J16" s="1596">
        <f>SUM('Acct Summary 7-8'!C81,'Acct Summary 7-8'!D81,'Acct Summary 7-8'!F81,'Acct Summary 7-8'!I81)</f>
        <v>3319564</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9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1999999999999993"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9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2031</v>
      </c>
      <c r="C31" s="344" t="s">
        <v>582</v>
      </c>
      <c r="D31" s="232" t="s">
        <v>1065</v>
      </c>
      <c r="E31" s="217"/>
      <c r="F31" s="217"/>
      <c r="G31" s="340"/>
      <c r="H31" s="1474">
        <f>IF(B31="X",(J7*0.069),IF(B32="X",(J7*0.138),"Enter x in a.or b."))</f>
        <v>8704260.3000000007</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210000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9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3"/>
      <c r="C54" s="2144"/>
      <c r="D54" s="2144"/>
      <c r="E54" s="2144"/>
      <c r="F54" s="2144"/>
      <c r="G54" s="2144"/>
      <c r="H54" s="2144"/>
      <c r="I54" s="2144"/>
      <c r="J54" s="2144"/>
      <c r="K54" s="2144"/>
      <c r="L54" s="2145"/>
      <c r="M54" s="357"/>
    </row>
    <row r="55" spans="1:13" ht="12.95" customHeight="1" x14ac:dyDescent="0.2">
      <c r="B55" s="2146"/>
      <c r="C55" s="2147"/>
      <c r="D55" s="2147"/>
      <c r="E55" s="2147"/>
      <c r="F55" s="2147"/>
      <c r="G55" s="2147"/>
      <c r="H55" s="2147"/>
      <c r="I55" s="2147"/>
      <c r="J55" s="2147"/>
      <c r="K55" s="2147"/>
      <c r="L55" s="2148"/>
      <c r="M55" s="357"/>
    </row>
    <row r="56" spans="1:13" ht="12.95" customHeight="1" x14ac:dyDescent="0.2">
      <c r="B56" s="2146"/>
      <c r="C56" s="2147"/>
      <c r="D56" s="2147"/>
      <c r="E56" s="2147"/>
      <c r="F56" s="2147"/>
      <c r="G56" s="2147"/>
      <c r="H56" s="2147"/>
      <c r="I56" s="2147"/>
      <c r="J56" s="2147"/>
      <c r="K56" s="2147"/>
      <c r="L56" s="2148"/>
      <c r="M56" s="217"/>
    </row>
    <row r="57" spans="1:13" ht="12.95" customHeight="1" x14ac:dyDescent="0.2">
      <c r="B57" s="2146"/>
      <c r="C57" s="2147"/>
      <c r="D57" s="2147"/>
      <c r="E57" s="2147"/>
      <c r="F57" s="2147"/>
      <c r="G57" s="2147"/>
      <c r="H57" s="2147"/>
      <c r="I57" s="2147"/>
      <c r="J57" s="2147"/>
      <c r="K57" s="2147"/>
      <c r="L57" s="2148"/>
      <c r="M57" s="217"/>
    </row>
    <row r="58" spans="1:13" x14ac:dyDescent="0.2">
      <c r="B58" s="2149"/>
      <c r="C58" s="2150"/>
      <c r="D58" s="2150"/>
      <c r="E58" s="2150"/>
      <c r="F58" s="2150"/>
      <c r="G58" s="2150"/>
      <c r="H58" s="2150"/>
      <c r="I58" s="2150"/>
      <c r="J58" s="2150"/>
      <c r="K58" s="2150"/>
      <c r="L58" s="215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95" customHeight="1" x14ac:dyDescent="0.15">
      <c r="A61" s="242"/>
      <c r="B61" s="358"/>
      <c r="C61" s="2154"/>
      <c r="D61" s="215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I7" sqref="I7:S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7"/>
      <c r="B1" s="2158"/>
      <c r="C1" s="2158"/>
      <c r="D1" s="361"/>
      <c r="E1" s="361"/>
      <c r="F1" s="361"/>
      <c r="G1" s="361"/>
      <c r="H1" s="361"/>
      <c r="I1" s="361"/>
      <c r="J1" s="361"/>
      <c r="K1" s="361"/>
      <c r="L1" s="361"/>
      <c r="M1" s="361"/>
      <c r="N1" s="361"/>
      <c r="O1" s="2157"/>
      <c r="P1" s="2158"/>
      <c r="Q1" s="2158"/>
    </row>
    <row r="2" spans="1:18" ht="15" x14ac:dyDescent="0.2">
      <c r="A2" s="2161" t="s">
        <v>552</v>
      </c>
      <c r="B2" s="2161"/>
      <c r="C2" s="2161"/>
      <c r="D2" s="2161"/>
      <c r="E2" s="2161"/>
      <c r="F2" s="2161"/>
      <c r="G2" s="2161"/>
      <c r="H2" s="2161"/>
      <c r="I2" s="2161"/>
      <c r="J2" s="2161"/>
      <c r="K2" s="2161"/>
      <c r="L2" s="2161"/>
      <c r="M2" s="2161"/>
      <c r="N2" s="2161"/>
      <c r="O2" s="2161"/>
      <c r="P2" s="2161"/>
      <c r="Q2" s="2161"/>
      <c r="R2" s="2161"/>
    </row>
    <row r="3" spans="1:18" ht="12.75" x14ac:dyDescent="0.2">
      <c r="A3" s="2162" t="s">
        <v>1399</v>
      </c>
      <c r="B3" s="2162"/>
      <c r="C3" s="2162"/>
      <c r="D3" s="2162"/>
      <c r="E3" s="2162"/>
      <c r="F3" s="2162"/>
      <c r="G3" s="2162"/>
      <c r="H3" s="2162"/>
      <c r="I3" s="2162"/>
      <c r="J3" s="2162"/>
      <c r="K3" s="2162"/>
      <c r="L3" s="2162"/>
      <c r="M3" s="2162"/>
      <c r="N3" s="2162"/>
      <c r="O3" s="2162"/>
      <c r="P3" s="2162"/>
      <c r="Q3" s="2162"/>
      <c r="R3" s="2162"/>
    </row>
    <row r="4" spans="1:18" x14ac:dyDescent="0.2">
      <c r="A4" s="2163" t="s">
        <v>1540</v>
      </c>
      <c r="B4" s="2163"/>
      <c r="C4" s="2163"/>
      <c r="D4" s="2163"/>
      <c r="E4" s="2163"/>
      <c r="F4" s="2163"/>
      <c r="G4" s="2163"/>
      <c r="H4" s="2163"/>
      <c r="I4" s="2163"/>
      <c r="J4" s="2163"/>
      <c r="K4" s="2163"/>
      <c r="L4" s="2163"/>
      <c r="M4" s="2163"/>
      <c r="N4" s="2163"/>
      <c r="O4" s="2163"/>
      <c r="P4" s="2163"/>
      <c r="Q4" s="2163"/>
      <c r="R4" s="216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Dwight Common SD 232</v>
      </c>
      <c r="E7" s="368"/>
      <c r="G7" s="247"/>
      <c r="H7" s="364"/>
      <c r="I7" s="364"/>
      <c r="J7" s="364"/>
      <c r="K7" s="364"/>
      <c r="L7" s="307"/>
      <c r="M7" s="307"/>
      <c r="N7" s="307"/>
      <c r="O7" s="307"/>
      <c r="P7" s="307"/>
    </row>
    <row r="8" spans="1:18" ht="12.75" x14ac:dyDescent="0.2">
      <c r="A8" s="307"/>
      <c r="B8" s="307"/>
      <c r="C8" s="366" t="s">
        <v>1117</v>
      </c>
      <c r="D8" s="369">
        <f>COVER!A13</f>
        <v>17053232002</v>
      </c>
      <c r="E8" s="370"/>
      <c r="G8" s="307"/>
      <c r="H8" s="307"/>
      <c r="I8" s="307"/>
      <c r="J8" s="307"/>
      <c r="K8" s="307"/>
      <c r="L8" s="307"/>
      <c r="M8" s="307"/>
      <c r="N8" s="307"/>
      <c r="O8" s="307"/>
      <c r="P8" s="307"/>
    </row>
    <row r="9" spans="1:18" ht="12.75" x14ac:dyDescent="0.2">
      <c r="A9" s="307"/>
      <c r="B9" s="307"/>
      <c r="C9" s="366" t="s">
        <v>708</v>
      </c>
      <c r="D9" s="371" t="str">
        <f>COVER!A15</f>
        <v>Livingston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3319564</v>
      </c>
      <c r="I12" s="380"/>
      <c r="J12" s="380"/>
      <c r="K12" s="1609">
        <f>TRUNC((H12/H13*100000),5)/100000</f>
        <v>0.62747720650000005</v>
      </c>
      <c r="L12" s="381"/>
      <c r="M12" s="337" t="s">
        <v>1136</v>
      </c>
      <c r="N12" s="337"/>
      <c r="O12" s="1612">
        <v>0.35</v>
      </c>
      <c r="P12" s="213"/>
      <c r="Q12" s="213"/>
    </row>
    <row r="13" spans="1:18" s="382" customFormat="1" ht="12.75" x14ac:dyDescent="0.2">
      <c r="A13" s="213"/>
      <c r="B13" s="377"/>
      <c r="C13" s="2159" t="s">
        <v>1315</v>
      </c>
      <c r="D13" s="2160"/>
      <c r="E13" s="213"/>
      <c r="F13" s="383" t="s">
        <v>788</v>
      </c>
      <c r="G13" s="378"/>
      <c r="H13" s="1601">
        <f>SUM('Acct Summary 7-8'!C8+'Acct Summary 7-8'!D8+'Acct Summary 7-8'!F8+'Acct Summary 7-8'!I8)+H14</f>
        <v>5290334</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5060416</v>
      </c>
      <c r="I17" s="380"/>
      <c r="J17" s="389"/>
      <c r="K17" s="1609">
        <f>TRUNC((H17/H18*100000),5)/100000</f>
        <v>0.95653998399999995</v>
      </c>
      <c r="L17" s="381"/>
      <c r="M17" s="390" t="s">
        <v>1163</v>
      </c>
      <c r="O17" s="1615" t="str">
        <f>IF(AND(O16="2", J20 &gt; 2),"1",IF(AND(O16 = "1", J20 &gt; 2),"2",IF(AND(O16="1", J20 &gt;1),"1","0")))</f>
        <v>0</v>
      </c>
      <c r="P17" s="213"/>
    </row>
    <row r="18" spans="1:18" s="382" customFormat="1" ht="11.25" x14ac:dyDescent="0.2">
      <c r="A18" s="213"/>
      <c r="B18" s="377"/>
      <c r="C18" s="2159" t="s">
        <v>1308</v>
      </c>
      <c r="D18" s="2160"/>
      <c r="E18" s="213"/>
      <c r="F18" s="391" t="s">
        <v>789</v>
      </c>
      <c r="G18" s="378"/>
      <c r="H18" s="1601">
        <f>SUM('Acct Summary 7-8'!C8+'Acct Summary 7-8'!D8+'Acct Summary 7-8'!F8+'Acct Summary 7-8'!I8)+H19</f>
        <v>5290334</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156" t="s">
        <v>1398</v>
      </c>
      <c r="D24" s="2156"/>
      <c r="E24" s="213"/>
      <c r="F24" s="213" t="s">
        <v>442</v>
      </c>
      <c r="G24" s="378"/>
      <c r="H24" s="1601">
        <f>SUM('Assets-Liab 5-6'!C4+'Assets-Liab 5-6'!D4+'Assets-Liab 5-6'!F4+'Assets-Liab 5-6'!I4+'Assets-Liab 5-6'!C5+'Assets-Liab 5-6'!D5+'Assets-Liab 5-6'!F5+'Assets-Liab 5-6'!I5)</f>
        <v>3204564</v>
      </c>
      <c r="I24" s="394"/>
      <c r="J24" s="394"/>
      <c r="K24" s="1605">
        <f>TRUNC(((H24/H25*100000)/100000),2)</f>
        <v>227.97</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14056.71111</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2948725.8624999998</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210000</v>
      </c>
      <c r="I32" s="392"/>
      <c r="J32" s="392"/>
      <c r="K32" s="1605">
        <f>TRUNC(100-((((H32/H33*100))*100)/100),2)</f>
        <v>97.58</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8704260.3000000007</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7"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90" zoomScaleNormal="90" workbookViewId="0">
      <pane ySplit="2" topLeftCell="A3" activePane="bottomLeft" state="frozen"/>
      <selection activeCell="B7" sqref="B7"/>
      <selection pane="bottomLeft" activeCell="C4" sqref="C4:L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4"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6" t="s">
        <v>967</v>
      </c>
      <c r="B3" s="2167"/>
      <c r="C3" s="1351"/>
      <c r="D3" s="1352"/>
      <c r="E3" s="1352"/>
      <c r="F3" s="1352"/>
      <c r="G3" s="1352"/>
      <c r="H3" s="1352"/>
      <c r="I3" s="1352"/>
      <c r="J3" s="1352"/>
      <c r="K3" s="1352"/>
      <c r="L3" s="1352"/>
      <c r="M3" s="1353"/>
      <c r="N3" s="1354"/>
    </row>
    <row r="4" spans="1:14" ht="13.5" customHeight="1" x14ac:dyDescent="0.2">
      <c r="A4" s="427" t="s">
        <v>1635</v>
      </c>
      <c r="B4" s="428"/>
      <c r="C4" s="1622">
        <v>1528841</v>
      </c>
      <c r="D4" s="1623">
        <v>367995</v>
      </c>
      <c r="E4" s="1623">
        <v>5805</v>
      </c>
      <c r="F4" s="1623">
        <v>278762</v>
      </c>
      <c r="G4" s="1623">
        <v>154650</v>
      </c>
      <c r="H4" s="1623">
        <v>30215</v>
      </c>
      <c r="I4" s="1623">
        <v>1028966</v>
      </c>
      <c r="J4" s="1624">
        <v>463374</v>
      </c>
      <c r="K4" s="1623"/>
      <c r="L4" s="1623">
        <v>59143</v>
      </c>
      <c r="M4" s="1625"/>
      <c r="N4" s="1626"/>
    </row>
    <row r="5" spans="1:14" x14ac:dyDescent="0.2">
      <c r="A5" s="427" t="s">
        <v>985</v>
      </c>
      <c r="B5" s="429">
        <v>120</v>
      </c>
      <c r="C5" s="1622"/>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v>115000</v>
      </c>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1528841</v>
      </c>
      <c r="D13" s="1637">
        <f t="shared" ref="D13:L13" si="0">SUM(D4:D12)</f>
        <v>367995</v>
      </c>
      <c r="E13" s="1637">
        <f t="shared" si="0"/>
        <v>5805</v>
      </c>
      <c r="F13" s="1637">
        <f t="shared" si="0"/>
        <v>278762</v>
      </c>
      <c r="G13" s="1637">
        <f t="shared" si="0"/>
        <v>154650</v>
      </c>
      <c r="H13" s="1637">
        <f t="shared" si="0"/>
        <v>30215</v>
      </c>
      <c r="I13" s="1637">
        <f t="shared" si="0"/>
        <v>1143966</v>
      </c>
      <c r="J13" s="1637">
        <f t="shared" si="0"/>
        <v>463374</v>
      </c>
      <c r="K13" s="1637">
        <f t="shared" si="0"/>
        <v>0</v>
      </c>
      <c r="L13" s="1637">
        <f t="shared" si="0"/>
        <v>59143</v>
      </c>
      <c r="M13" s="1625"/>
      <c r="N13" s="1626"/>
    </row>
    <row r="14" spans="1:14" ht="18" customHeight="1" thickTop="1" x14ac:dyDescent="0.2">
      <c r="A14" s="2168" t="s">
        <v>146</v>
      </c>
      <c r="B14" s="2169"/>
      <c r="C14" s="1638"/>
      <c r="D14" s="1639"/>
      <c r="E14" s="1639"/>
      <c r="F14" s="1639"/>
      <c r="G14" s="1639"/>
      <c r="H14" s="1639"/>
      <c r="I14" s="1639"/>
      <c r="J14" s="1639"/>
      <c r="K14" s="1639"/>
      <c r="L14" s="1639"/>
      <c r="M14" s="1640"/>
      <c r="N14" s="1641"/>
    </row>
    <row r="15" spans="1:14" s="433" customFormat="1" ht="12.95" customHeight="1" x14ac:dyDescent="0.2">
      <c r="A15" s="431" t="s">
        <v>1387</v>
      </c>
      <c r="B15" s="432">
        <v>210</v>
      </c>
      <c r="C15" s="1632"/>
      <c r="D15" s="1632"/>
      <c r="E15" s="1632"/>
      <c r="F15" s="1632"/>
      <c r="G15" s="1632"/>
      <c r="H15" s="1632"/>
      <c r="I15" s="1632"/>
      <c r="J15" s="1632"/>
      <c r="K15" s="1632"/>
      <c r="L15" s="1632"/>
      <c r="M15" s="1633"/>
      <c r="N15" s="1642"/>
    </row>
    <row r="16" spans="1:14" s="433" customFormat="1" ht="12.95" customHeight="1" x14ac:dyDescent="0.2">
      <c r="A16" s="431" t="s">
        <v>1388</v>
      </c>
      <c r="B16" s="432">
        <v>220</v>
      </c>
      <c r="C16" s="1632"/>
      <c r="D16" s="1632"/>
      <c r="E16" s="1632"/>
      <c r="F16" s="1632"/>
      <c r="G16" s="1632"/>
      <c r="H16" s="1632"/>
      <c r="I16" s="1632"/>
      <c r="J16" s="1632"/>
      <c r="K16" s="1632"/>
      <c r="L16" s="1632"/>
      <c r="M16" s="1624">
        <v>73250</v>
      </c>
      <c r="N16" s="1642"/>
    </row>
    <row r="17" spans="1:14" s="433" customFormat="1" ht="12.95" customHeight="1" x14ac:dyDescent="0.2">
      <c r="A17" s="431" t="s">
        <v>1389</v>
      </c>
      <c r="B17" s="432">
        <v>230</v>
      </c>
      <c r="C17" s="1632"/>
      <c r="D17" s="1632"/>
      <c r="E17" s="1632"/>
      <c r="F17" s="1632"/>
      <c r="G17" s="1632"/>
      <c r="H17" s="1632"/>
      <c r="I17" s="1632"/>
      <c r="J17" s="1632"/>
      <c r="K17" s="1632"/>
      <c r="L17" s="1632"/>
      <c r="M17" s="1624">
        <v>2251981</v>
      </c>
      <c r="N17" s="1642"/>
    </row>
    <row r="18" spans="1:14" s="433" customFormat="1" ht="12.95" customHeight="1" x14ac:dyDescent="0.2">
      <c r="A18" s="431" t="s">
        <v>1390</v>
      </c>
      <c r="B18" s="432">
        <v>240</v>
      </c>
      <c r="C18" s="1632"/>
      <c r="D18" s="1632"/>
      <c r="E18" s="1632"/>
      <c r="F18" s="1632"/>
      <c r="G18" s="1632"/>
      <c r="H18" s="1632"/>
      <c r="I18" s="1632"/>
      <c r="J18" s="1632"/>
      <c r="K18" s="1632"/>
      <c r="L18" s="1632"/>
      <c r="M18" s="1624"/>
      <c r="N18" s="1642"/>
    </row>
    <row r="19" spans="1:14" s="433" customFormat="1" ht="12.95" customHeight="1" x14ac:dyDescent="0.2">
      <c r="A19" s="431" t="s">
        <v>1391</v>
      </c>
      <c r="B19" s="432">
        <v>250</v>
      </c>
      <c r="C19" s="1632"/>
      <c r="D19" s="1632"/>
      <c r="E19" s="1632"/>
      <c r="F19" s="1632"/>
      <c r="G19" s="1632"/>
      <c r="H19" s="1632"/>
      <c r="I19" s="1632"/>
      <c r="J19" s="1632"/>
      <c r="K19" s="1632"/>
      <c r="L19" s="1632"/>
      <c r="M19" s="1624">
        <v>398978</v>
      </c>
      <c r="N19" s="1642"/>
    </row>
    <row r="20" spans="1:14" s="433" customFormat="1" ht="12.95" customHeight="1" x14ac:dyDescent="0.2">
      <c r="A20" s="431" t="s">
        <v>1392</v>
      </c>
      <c r="B20" s="432">
        <v>260</v>
      </c>
      <c r="C20" s="1632"/>
      <c r="D20" s="1632"/>
      <c r="E20" s="1632"/>
      <c r="F20" s="1632"/>
      <c r="G20" s="1632"/>
      <c r="H20" s="1632"/>
      <c r="I20" s="1632"/>
      <c r="J20" s="1632"/>
      <c r="K20" s="1632"/>
      <c r="L20" s="1632"/>
      <c r="M20" s="1624"/>
      <c r="N20" s="1642"/>
    </row>
    <row r="21" spans="1:14" s="433" customFormat="1" ht="12.95" customHeight="1" x14ac:dyDescent="0.2">
      <c r="A21" s="431" t="s">
        <v>1393</v>
      </c>
      <c r="B21" s="432">
        <v>340</v>
      </c>
      <c r="C21" s="1632"/>
      <c r="D21" s="1632"/>
      <c r="E21" s="1632"/>
      <c r="F21" s="1632"/>
      <c r="G21" s="1632"/>
      <c r="H21" s="1632"/>
      <c r="I21" s="1632"/>
      <c r="J21" s="1632"/>
      <c r="K21" s="1632"/>
      <c r="L21" s="1632"/>
      <c r="M21" s="1643"/>
      <c r="N21" s="1624">
        <v>5805</v>
      </c>
    </row>
    <row r="22" spans="1:14" s="433" customFormat="1" ht="12.95" customHeight="1" x14ac:dyDescent="0.2">
      <c r="A22" s="431" t="s">
        <v>1394</v>
      </c>
      <c r="B22" s="432">
        <v>350</v>
      </c>
      <c r="C22" s="1632"/>
      <c r="D22" s="1632"/>
      <c r="E22" s="1632"/>
      <c r="F22" s="1632"/>
      <c r="G22" s="1632"/>
      <c r="H22" s="1632"/>
      <c r="I22" s="1632"/>
      <c r="J22" s="1632"/>
      <c r="K22" s="1632"/>
      <c r="L22" s="1632"/>
      <c r="M22" s="1643"/>
      <c r="N22" s="1657">
        <f>'Short-Term Long-Term Debt 24'!J49</f>
        <v>204195</v>
      </c>
    </row>
    <row r="23" spans="1:14" ht="13.5" customHeight="1" thickBot="1" x14ac:dyDescent="0.25">
      <c r="A23" s="1475" t="s">
        <v>638</v>
      </c>
      <c r="B23" s="1478"/>
      <c r="C23" s="1625"/>
      <c r="D23" s="1625"/>
      <c r="E23" s="1625"/>
      <c r="F23" s="1625"/>
      <c r="G23" s="1625"/>
      <c r="H23" s="1625"/>
      <c r="I23" s="1625"/>
      <c r="J23" s="1625"/>
      <c r="K23" s="1625"/>
      <c r="L23" s="1625"/>
      <c r="M23" s="1644">
        <f>SUM(M15:M22)</f>
        <v>2724209</v>
      </c>
      <c r="N23" s="1644">
        <f>SUM(N21:N22)</f>
        <v>210000</v>
      </c>
    </row>
    <row r="24" spans="1:14" ht="18" customHeight="1" thickTop="1" x14ac:dyDescent="0.2">
      <c r="A24" s="2170" t="s">
        <v>594</v>
      </c>
      <c r="B24" s="2171"/>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v>115000</v>
      </c>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59143</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115000</v>
      </c>
      <c r="I34" s="1650">
        <f t="shared" si="1"/>
        <v>0</v>
      </c>
      <c r="J34" s="1650">
        <f t="shared" si="1"/>
        <v>0</v>
      </c>
      <c r="K34" s="1650">
        <f t="shared" si="1"/>
        <v>0</v>
      </c>
      <c r="L34" s="1651">
        <f>SUM(L33)</f>
        <v>59143</v>
      </c>
      <c r="M34" s="1625"/>
      <c r="N34" s="1635"/>
    </row>
    <row r="35" spans="1:14" ht="18" customHeight="1" thickTop="1" x14ac:dyDescent="0.2">
      <c r="A35" s="2172" t="s">
        <v>526</v>
      </c>
      <c r="B35" s="2173"/>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210000</v>
      </c>
    </row>
    <row r="37" spans="1:14" ht="13.5" thickBot="1" x14ac:dyDescent="0.25">
      <c r="A37" s="1475" t="s">
        <v>648</v>
      </c>
      <c r="B37" s="1478"/>
      <c r="C37" s="1632"/>
      <c r="D37" s="1632"/>
      <c r="E37" s="1632"/>
      <c r="F37" s="1632"/>
      <c r="G37" s="1632"/>
      <c r="H37" s="1632"/>
      <c r="I37" s="1632"/>
      <c r="J37" s="1632"/>
      <c r="K37" s="1632"/>
      <c r="L37" s="1635"/>
      <c r="M37" s="1625"/>
      <c r="N37" s="1644">
        <f>SUM(N36:N36)</f>
        <v>210000</v>
      </c>
    </row>
    <row r="38" spans="1:14" s="307" customFormat="1" ht="13.5" customHeight="1" thickTop="1" x14ac:dyDescent="0.2">
      <c r="A38" s="438" t="s">
        <v>417</v>
      </c>
      <c r="B38" s="432">
        <v>714</v>
      </c>
      <c r="C38" s="1623"/>
      <c r="D38" s="1623"/>
      <c r="E38" s="1623">
        <v>852</v>
      </c>
      <c r="F38" s="1623"/>
      <c r="G38" s="1623"/>
      <c r="H38" s="1623"/>
      <c r="I38" s="1623"/>
      <c r="J38" s="1624"/>
      <c r="K38" s="1623"/>
      <c r="L38" s="1636"/>
      <c r="M38" s="1654"/>
      <c r="N38" s="1654"/>
    </row>
    <row r="39" spans="1:14" s="307" customFormat="1" ht="13.5" customHeight="1" x14ac:dyDescent="0.2">
      <c r="A39" s="438" t="s">
        <v>339</v>
      </c>
      <c r="B39" s="432">
        <v>730</v>
      </c>
      <c r="C39" s="1623">
        <v>1528841</v>
      </c>
      <c r="D39" s="1623">
        <v>367995</v>
      </c>
      <c r="E39" s="1623">
        <v>4953</v>
      </c>
      <c r="F39" s="1623">
        <v>278762</v>
      </c>
      <c r="G39" s="1623">
        <v>154650</v>
      </c>
      <c r="H39" s="1623">
        <v>-84785</v>
      </c>
      <c r="I39" s="1623">
        <v>1143966</v>
      </c>
      <c r="J39" s="1624">
        <v>463374</v>
      </c>
      <c r="K39" s="1623"/>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2724209</v>
      </c>
      <c r="N40" s="1654"/>
    </row>
    <row r="41" spans="1:14" ht="13.5" customHeight="1" thickBot="1" x14ac:dyDescent="0.25">
      <c r="A41" s="1475" t="s">
        <v>650</v>
      </c>
      <c r="B41" s="1454"/>
      <c r="C41" s="1644">
        <f>(SUM(C34,C37,C38,C39))</f>
        <v>1528841</v>
      </c>
      <c r="D41" s="1644">
        <f t="shared" ref="D41:L41" si="2">SUM(D34,D37,D38:D39)</f>
        <v>367995</v>
      </c>
      <c r="E41" s="1644">
        <f t="shared" si="2"/>
        <v>5805</v>
      </c>
      <c r="F41" s="1644">
        <f t="shared" si="2"/>
        <v>278762</v>
      </c>
      <c r="G41" s="1644">
        <f t="shared" si="2"/>
        <v>154650</v>
      </c>
      <c r="H41" s="1644">
        <f t="shared" si="2"/>
        <v>30215</v>
      </c>
      <c r="I41" s="1644">
        <f t="shared" si="2"/>
        <v>1143966</v>
      </c>
      <c r="J41" s="1644">
        <f t="shared" si="2"/>
        <v>463374</v>
      </c>
      <c r="K41" s="1644">
        <f t="shared" si="2"/>
        <v>0</v>
      </c>
      <c r="L41" s="1644">
        <f t="shared" si="2"/>
        <v>59143</v>
      </c>
      <c r="M41" s="1644">
        <f>SUM(M40)</f>
        <v>2724209</v>
      </c>
      <c r="N41" s="1644">
        <f>SUM(N37)</f>
        <v>210000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&amp;F&amp;C&amp;8See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9" activePane="bottomLeft" state="frozen"/>
      <selection activeCell="B7" sqref="B7"/>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95" customHeight="1" x14ac:dyDescent="0.2">
      <c r="A1" s="2182"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94" t="s">
        <v>1167</v>
      </c>
      <c r="B3" s="2195"/>
      <c r="C3" s="1356"/>
      <c r="D3" s="1357"/>
      <c r="E3" s="1357"/>
      <c r="F3" s="1357"/>
      <c r="G3" s="1357"/>
      <c r="H3" s="1357"/>
      <c r="I3" s="1357"/>
      <c r="J3" s="1357"/>
      <c r="K3" s="1358"/>
      <c r="L3" s="446"/>
    </row>
    <row r="4" spans="1:13" ht="15.75" customHeight="1" x14ac:dyDescent="0.2">
      <c r="A4" s="1587" t="s">
        <v>1485</v>
      </c>
      <c r="B4" s="1588">
        <v>1000</v>
      </c>
      <c r="C4" s="1656">
        <f>'Revenues 9-14'!C109</f>
        <v>3154040</v>
      </c>
      <c r="D4" s="1656">
        <f>'Revenues 9-14'!D109</f>
        <v>315700</v>
      </c>
      <c r="E4" s="1656">
        <f>'Revenues 9-14'!E109</f>
        <v>216618</v>
      </c>
      <c r="F4" s="1656">
        <f>'Revenues 9-14'!F109</f>
        <v>280858</v>
      </c>
      <c r="G4" s="1656">
        <f>'Revenues 9-14'!G109</f>
        <v>107843</v>
      </c>
      <c r="H4" s="1656">
        <f>'Revenues 9-14'!H109</f>
        <v>285754</v>
      </c>
      <c r="I4" s="1656">
        <f>'Revenues 9-14'!I109</f>
        <v>62893</v>
      </c>
      <c r="J4" s="1656">
        <f>'Revenues 9-14'!J109</f>
        <v>235722</v>
      </c>
      <c r="K4" s="1656">
        <f>'Revenues 9-14'!K109</f>
        <v>0</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1113138</v>
      </c>
      <c r="D6" s="1657">
        <f>'Revenues 9-14'!D170</f>
        <v>50000</v>
      </c>
      <c r="E6" s="1657">
        <f>'Revenues 9-14'!E170</f>
        <v>0</v>
      </c>
      <c r="F6" s="1657">
        <f>'Revenues 9-14'!F170</f>
        <v>61389</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252316</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4519494</v>
      </c>
      <c r="D8" s="1644">
        <f t="shared" ref="D8:K8" si="0">SUM(D4:D7)</f>
        <v>365700</v>
      </c>
      <c r="E8" s="1644">
        <f t="shared" si="0"/>
        <v>216618</v>
      </c>
      <c r="F8" s="1644">
        <f t="shared" si="0"/>
        <v>342247</v>
      </c>
      <c r="G8" s="1644">
        <f t="shared" si="0"/>
        <v>107843</v>
      </c>
      <c r="H8" s="1644">
        <f t="shared" si="0"/>
        <v>285754</v>
      </c>
      <c r="I8" s="1644">
        <f t="shared" si="0"/>
        <v>62893</v>
      </c>
      <c r="J8" s="1644">
        <f t="shared" si="0"/>
        <v>235722</v>
      </c>
      <c r="K8" s="1644">
        <f t="shared" si="0"/>
        <v>0</v>
      </c>
      <c r="L8" s="325"/>
    </row>
    <row r="9" spans="1:13" ht="15.75" thickTop="1" x14ac:dyDescent="0.2">
      <c r="A9" s="449" t="s">
        <v>1637</v>
      </c>
      <c r="B9" s="450">
        <v>3998</v>
      </c>
      <c r="C9" s="1636">
        <v>1860396</v>
      </c>
      <c r="D9" s="1663"/>
      <c r="E9" s="1636"/>
      <c r="F9" s="1636"/>
      <c r="G9" s="1664"/>
      <c r="H9" s="1636"/>
      <c r="I9" s="1659" t="s">
        <v>1161</v>
      </c>
      <c r="J9" s="1633"/>
      <c r="K9" s="1636"/>
      <c r="L9" s="325"/>
    </row>
    <row r="10" spans="1:13" s="452" customFormat="1" ht="13.5" thickBot="1" x14ac:dyDescent="0.25">
      <c r="A10" s="1475" t="s">
        <v>1165</v>
      </c>
      <c r="B10" s="1456"/>
      <c r="C10" s="1644">
        <f>SUM(C8:C9)</f>
        <v>6379890</v>
      </c>
      <c r="D10" s="1644">
        <f t="shared" ref="D10:K10" si="1">SUM(D8:D9)</f>
        <v>365700</v>
      </c>
      <c r="E10" s="1644">
        <f t="shared" si="1"/>
        <v>216618</v>
      </c>
      <c r="F10" s="1644">
        <f t="shared" si="1"/>
        <v>342247</v>
      </c>
      <c r="G10" s="1644">
        <f t="shared" si="1"/>
        <v>107843</v>
      </c>
      <c r="H10" s="1644">
        <f t="shared" si="1"/>
        <v>285754</v>
      </c>
      <c r="I10" s="1644">
        <f t="shared" si="1"/>
        <v>62893</v>
      </c>
      <c r="J10" s="1644">
        <f t="shared" si="1"/>
        <v>235722</v>
      </c>
      <c r="K10" s="1644">
        <f t="shared" si="1"/>
        <v>0</v>
      </c>
      <c r="L10" s="451"/>
    </row>
    <row r="11" spans="1:13" s="452" customFormat="1" ht="16.7" customHeight="1" thickTop="1" x14ac:dyDescent="0.2">
      <c r="A11" s="2168" t="s">
        <v>1168</v>
      </c>
      <c r="B11" s="2169"/>
      <c r="C11" s="1652"/>
      <c r="D11" s="1653"/>
      <c r="E11" s="1653"/>
      <c r="F11" s="1653"/>
      <c r="G11" s="1653"/>
      <c r="H11" s="1653"/>
      <c r="I11" s="1653"/>
      <c r="J11" s="1653"/>
      <c r="K11" s="1665"/>
      <c r="L11" s="451"/>
    </row>
    <row r="12" spans="1:13" ht="15.75" customHeight="1" x14ac:dyDescent="0.2">
      <c r="A12" s="1359" t="s">
        <v>453</v>
      </c>
      <c r="B12" s="1361">
        <v>1000</v>
      </c>
      <c r="C12" s="1656">
        <f>'Expenditures 15-22'!K33</f>
        <v>2907362</v>
      </c>
      <c r="D12" s="1666" t="s">
        <v>1161</v>
      </c>
      <c r="E12" s="1625" t="s">
        <v>1161</v>
      </c>
      <c r="F12" s="1625" t="s">
        <v>1161</v>
      </c>
      <c r="G12" s="1656">
        <f>'Expenditures 15-22'!K229</f>
        <v>79265</v>
      </c>
      <c r="H12" s="1667"/>
      <c r="I12" s="1625" t="s">
        <v>1161</v>
      </c>
      <c r="J12" s="1625" t="s">
        <v>1161</v>
      </c>
      <c r="K12" s="1667" t="s">
        <v>1161</v>
      </c>
      <c r="L12" s="325"/>
    </row>
    <row r="13" spans="1:13" ht="15.75" customHeight="1" x14ac:dyDescent="0.2">
      <c r="A13" s="1359" t="s">
        <v>454</v>
      </c>
      <c r="B13" s="1361">
        <v>2000</v>
      </c>
      <c r="C13" s="1657">
        <f>'Expenditures 15-22'!K74</f>
        <v>1006208</v>
      </c>
      <c r="D13" s="1657">
        <f>'Expenditures 15-22'!K129</f>
        <v>713127</v>
      </c>
      <c r="E13" s="1626" t="s">
        <v>1161</v>
      </c>
      <c r="F13" s="1657">
        <f>'Expenditures 15-22'!K184</f>
        <v>187538</v>
      </c>
      <c r="G13" s="1657">
        <f>'Expenditures 15-22'!K279</f>
        <v>61872</v>
      </c>
      <c r="H13" s="1657">
        <f>'Expenditures 15-22'!K303</f>
        <v>501863</v>
      </c>
      <c r="I13" s="1625" t="s">
        <v>1161</v>
      </c>
      <c r="J13" s="1657">
        <f>'Expenditures 15-22'!K330</f>
        <v>66434</v>
      </c>
      <c r="K13" s="1668">
        <f>'Expenditures 15-22'!K352</f>
        <v>0</v>
      </c>
      <c r="L13" s="325"/>
    </row>
    <row r="14" spans="1:13" ht="15.75" customHeight="1" x14ac:dyDescent="0.2">
      <c r="A14" s="1359" t="s">
        <v>446</v>
      </c>
      <c r="B14" s="1361">
        <v>3000</v>
      </c>
      <c r="C14" s="1657">
        <f>'Expenditures 15-22'!K75</f>
        <v>6705</v>
      </c>
      <c r="D14" s="1657">
        <f>'Expenditures 15-22'!K130</f>
        <v>0</v>
      </c>
      <c r="E14" s="1666" t="s">
        <v>1161</v>
      </c>
      <c r="F14" s="1657">
        <f>'Expenditures 15-22'!K185</f>
        <v>0</v>
      </c>
      <c r="G14" s="1657">
        <f>'Expenditures 15-22'!K280</f>
        <v>125</v>
      </c>
      <c r="H14" s="1662"/>
      <c r="I14" s="1625" t="s">
        <v>1161</v>
      </c>
      <c r="J14" s="1625" t="s">
        <v>1161</v>
      </c>
      <c r="K14" s="1662" t="s">
        <v>1161</v>
      </c>
      <c r="L14" s="325"/>
    </row>
    <row r="15" spans="1:13" ht="15.75" customHeight="1" x14ac:dyDescent="0.2">
      <c r="A15" s="1359" t="s">
        <v>107</v>
      </c>
      <c r="B15" s="1361">
        <v>4000</v>
      </c>
      <c r="C15" s="1657">
        <f>'Expenditures 15-22'!K102</f>
        <v>239126</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350</v>
      </c>
      <c r="E16" s="1657">
        <f>'Expenditures 15-22'!K172</f>
        <v>213443</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4159401</v>
      </c>
      <c r="D17" s="1644">
        <f t="shared" si="2"/>
        <v>713477</v>
      </c>
      <c r="E17" s="1644">
        <f t="shared" si="2"/>
        <v>213443</v>
      </c>
      <c r="F17" s="1644">
        <f t="shared" si="2"/>
        <v>187538</v>
      </c>
      <c r="G17" s="1644">
        <f t="shared" si="2"/>
        <v>141262</v>
      </c>
      <c r="H17" s="1644">
        <f t="shared" si="2"/>
        <v>501863</v>
      </c>
      <c r="I17" s="1625"/>
      <c r="J17" s="1644">
        <f>SUM(J12:J16)</f>
        <v>66434</v>
      </c>
      <c r="K17" s="1644">
        <f>SUM(K12:K16)</f>
        <v>0</v>
      </c>
      <c r="L17" s="325"/>
    </row>
    <row r="18" spans="1:12" ht="15" customHeight="1" thickTop="1" x14ac:dyDescent="0.2">
      <c r="A18" s="1479" t="s">
        <v>1638</v>
      </c>
      <c r="B18" s="1480">
        <v>4180</v>
      </c>
      <c r="C18" s="1656">
        <f t="shared" ref="C18:H18" si="3">C9</f>
        <v>1860396</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6019797</v>
      </c>
      <c r="D19" s="1644">
        <f t="shared" si="4"/>
        <v>713477</v>
      </c>
      <c r="E19" s="1644">
        <f t="shared" si="4"/>
        <v>213443</v>
      </c>
      <c r="F19" s="1644">
        <f t="shared" si="4"/>
        <v>187538</v>
      </c>
      <c r="G19" s="1644">
        <f t="shared" si="4"/>
        <v>141262</v>
      </c>
      <c r="H19" s="1644">
        <f t="shared" si="4"/>
        <v>501863</v>
      </c>
      <c r="I19" s="1625"/>
      <c r="J19" s="1644">
        <f>SUM(J17:J18)</f>
        <v>66434</v>
      </c>
      <c r="K19" s="1644">
        <f>SUM(K17:K18)</f>
        <v>0</v>
      </c>
      <c r="L19" s="325"/>
    </row>
    <row r="20" spans="1:12" ht="16.5" thickTop="1" thickBot="1" x14ac:dyDescent="0.25">
      <c r="A20" s="2184" t="s">
        <v>1639</v>
      </c>
      <c r="B20" s="2185"/>
      <c r="C20" s="1672">
        <f>C8-C17</f>
        <v>360093</v>
      </c>
      <c r="D20" s="1672">
        <f t="shared" ref="D20:K20" si="5">D8-D17</f>
        <v>-347777</v>
      </c>
      <c r="E20" s="1672">
        <f t="shared" si="5"/>
        <v>3175</v>
      </c>
      <c r="F20" s="1672">
        <f t="shared" si="5"/>
        <v>154709</v>
      </c>
      <c r="G20" s="1672">
        <f t="shared" si="5"/>
        <v>-33419</v>
      </c>
      <c r="H20" s="1672">
        <f t="shared" si="5"/>
        <v>-216109</v>
      </c>
      <c r="I20" s="1672">
        <f t="shared" si="5"/>
        <v>62893</v>
      </c>
      <c r="J20" s="1672">
        <f t="shared" si="5"/>
        <v>169288</v>
      </c>
      <c r="K20" s="1672">
        <f t="shared" si="5"/>
        <v>0</v>
      </c>
      <c r="L20" s="325"/>
    </row>
    <row r="21" spans="1:12" ht="16.7" customHeight="1" thickTop="1" x14ac:dyDescent="0.2">
      <c r="A21" s="2196" t="s">
        <v>591</v>
      </c>
      <c r="B21" s="2197"/>
      <c r="C21" s="1652"/>
      <c r="D21" s="1653"/>
      <c r="E21" s="1653"/>
      <c r="F21" s="1653"/>
      <c r="G21" s="1653"/>
      <c r="H21" s="1653"/>
      <c r="I21" s="1653"/>
      <c r="J21" s="1653"/>
      <c r="K21" s="1665"/>
      <c r="L21" s="453"/>
    </row>
    <row r="22" spans="1:12" ht="15.75" customHeight="1" collapsed="1" x14ac:dyDescent="0.2">
      <c r="A22" s="2192" t="s">
        <v>592</v>
      </c>
      <c r="B22" s="2193"/>
      <c r="C22" s="1632"/>
      <c r="D22" s="1632"/>
      <c r="E22" s="1632"/>
      <c r="F22" s="1632"/>
      <c r="G22" s="1632"/>
      <c r="H22" s="1632"/>
      <c r="I22" s="1632"/>
      <c r="J22" s="1632"/>
      <c r="K22" s="1632"/>
      <c r="L22" s="325"/>
    </row>
    <row r="23" spans="1:12" s="433" customFormat="1" ht="15.75" customHeight="1" x14ac:dyDescent="0.2">
      <c r="A23" s="2188" t="s">
        <v>290</v>
      </c>
      <c r="B23" s="2189"/>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v>3042</v>
      </c>
      <c r="D26" s="1624"/>
      <c r="E26" s="1624"/>
      <c r="F26" s="1624"/>
      <c r="G26" s="1624"/>
      <c r="H26" s="1624"/>
      <c r="I26" s="1632"/>
      <c r="J26" s="1624"/>
      <c r="K26" s="1624"/>
      <c r="L26" s="453"/>
    </row>
    <row r="27" spans="1:12" s="433" customFormat="1" ht="13.5" customHeight="1" x14ac:dyDescent="0.2">
      <c r="A27" s="1305" t="s">
        <v>184</v>
      </c>
      <c r="B27" s="432">
        <v>7130</v>
      </c>
      <c r="C27" s="1624"/>
      <c r="D27" s="1624">
        <v>250000</v>
      </c>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190" t="s">
        <v>974</v>
      </c>
      <c r="B32" s="2191"/>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198" t="s">
        <v>371</v>
      </c>
      <c r="B44" s="2199"/>
      <c r="C44" s="1674">
        <f>SUM(C24:C43)</f>
        <v>3042</v>
      </c>
      <c r="D44" s="1674">
        <f t="shared" ref="D44:K44" si="6">SUM(D24:D43)</f>
        <v>250000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192" t="s">
        <v>108</v>
      </c>
      <c r="B45" s="2193"/>
      <c r="C45" s="1675"/>
      <c r="D45" s="1675"/>
      <c r="E45" s="1675"/>
      <c r="F45" s="1675"/>
      <c r="G45" s="1675"/>
      <c r="H45" s="1675"/>
      <c r="I45" s="1675"/>
      <c r="J45" s="1675"/>
      <c r="K45" s="1675"/>
      <c r="L45" s="325"/>
    </row>
    <row r="46" spans="1:12" s="433" customFormat="1" ht="15.75" customHeight="1" x14ac:dyDescent="0.2">
      <c r="A46" s="2200" t="s">
        <v>109</v>
      </c>
      <c r="B46" s="2201"/>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3042</v>
      </c>
      <c r="J48" s="1632"/>
      <c r="K48" s="1632"/>
      <c r="L48" s="456"/>
    </row>
    <row r="49" spans="1:12" s="433" customFormat="1" x14ac:dyDescent="0.2">
      <c r="A49" s="1306" t="s">
        <v>184</v>
      </c>
      <c r="B49" s="432">
        <v>8130</v>
      </c>
      <c r="C49" s="1624"/>
      <c r="D49" s="1624"/>
      <c r="E49" s="1635"/>
      <c r="F49" s="1624">
        <v>250000</v>
      </c>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174" t="s">
        <v>437</v>
      </c>
      <c r="B76" s="2175"/>
      <c r="C76" s="1674">
        <f t="shared" ref="C76:K76" si="7">SUM(C47:C75)</f>
        <v>0</v>
      </c>
      <c r="D76" s="1674">
        <f t="shared" si="7"/>
        <v>0</v>
      </c>
      <c r="E76" s="1674">
        <f t="shared" si="7"/>
        <v>0</v>
      </c>
      <c r="F76" s="1674">
        <f t="shared" si="7"/>
        <v>250000</v>
      </c>
      <c r="G76" s="1674">
        <f t="shared" si="7"/>
        <v>0</v>
      </c>
      <c r="H76" s="1674">
        <f t="shared" si="7"/>
        <v>0</v>
      </c>
      <c r="I76" s="1674">
        <f t="shared" si="7"/>
        <v>3042</v>
      </c>
      <c r="J76" s="1674">
        <f t="shared" si="7"/>
        <v>0</v>
      </c>
      <c r="K76" s="1674">
        <f t="shared" si="7"/>
        <v>0</v>
      </c>
      <c r="L76" s="453"/>
    </row>
    <row r="77" spans="1:12" ht="14.25" thickTop="1" thickBot="1" x14ac:dyDescent="0.25">
      <c r="A77" s="2176" t="s">
        <v>1169</v>
      </c>
      <c r="B77" s="2177"/>
      <c r="C77" s="1674">
        <f t="shared" ref="C77:K77" si="8">C44-C76</f>
        <v>3042</v>
      </c>
      <c r="D77" s="1674">
        <f t="shared" si="8"/>
        <v>250000</v>
      </c>
      <c r="E77" s="1674">
        <f t="shared" si="8"/>
        <v>0</v>
      </c>
      <c r="F77" s="1674">
        <f t="shared" si="8"/>
        <v>-250000</v>
      </c>
      <c r="G77" s="1674">
        <f t="shared" si="8"/>
        <v>0</v>
      </c>
      <c r="H77" s="1674">
        <f t="shared" si="8"/>
        <v>0</v>
      </c>
      <c r="I77" s="1674">
        <f t="shared" si="8"/>
        <v>-3042</v>
      </c>
      <c r="J77" s="1674">
        <f t="shared" si="8"/>
        <v>0</v>
      </c>
      <c r="K77" s="1674">
        <f t="shared" si="8"/>
        <v>0</v>
      </c>
      <c r="L77" s="325"/>
    </row>
    <row r="78" spans="1:12" ht="21.75" customHeight="1" thickTop="1" thickBot="1" x14ac:dyDescent="0.25">
      <c r="A78" s="2180" t="s">
        <v>593</v>
      </c>
      <c r="B78" s="2181"/>
      <c r="C78" s="1679">
        <f t="shared" ref="C78:K78" si="9">C20+C77</f>
        <v>363135</v>
      </c>
      <c r="D78" s="1679">
        <f t="shared" si="9"/>
        <v>-97777</v>
      </c>
      <c r="E78" s="1679">
        <f t="shared" si="9"/>
        <v>3175</v>
      </c>
      <c r="F78" s="1679">
        <f t="shared" si="9"/>
        <v>-95291</v>
      </c>
      <c r="G78" s="1679">
        <f t="shared" si="9"/>
        <v>-33419</v>
      </c>
      <c r="H78" s="1679">
        <f t="shared" si="9"/>
        <v>-216109</v>
      </c>
      <c r="I78" s="1679">
        <f t="shared" si="9"/>
        <v>59851</v>
      </c>
      <c r="J78" s="1679">
        <f t="shared" si="9"/>
        <v>169288</v>
      </c>
      <c r="K78" s="1679">
        <f t="shared" si="9"/>
        <v>0</v>
      </c>
      <c r="L78" s="457"/>
    </row>
    <row r="79" spans="1:12" ht="13.5" thickTop="1" x14ac:dyDescent="0.2">
      <c r="A79" s="1902" t="str">
        <f>"Fund Balances - July 1, "&amp;'AFR20'!E2-1</f>
        <v>Fund Balances - July 1, 2019</v>
      </c>
      <c r="B79" s="458"/>
      <c r="C79" s="1633">
        <v>1165706</v>
      </c>
      <c r="D79" s="1680">
        <v>465772</v>
      </c>
      <c r="E79" s="1680">
        <v>2630</v>
      </c>
      <c r="F79" s="1680">
        <v>374053</v>
      </c>
      <c r="G79" s="1680">
        <v>188069</v>
      </c>
      <c r="H79" s="1680">
        <v>131324</v>
      </c>
      <c r="I79" s="1680">
        <v>1084115</v>
      </c>
      <c r="J79" s="1680">
        <v>294086</v>
      </c>
      <c r="K79" s="1680"/>
      <c r="L79" s="325"/>
    </row>
    <row r="80" spans="1:12" x14ac:dyDescent="0.2">
      <c r="A80" s="2186" t="s">
        <v>1775</v>
      </c>
      <c r="B80" s="2187"/>
      <c r="C80" s="1624"/>
      <c r="D80" s="1624"/>
      <c r="E80" s="1624"/>
      <c r="F80" s="1624"/>
      <c r="G80" s="1624"/>
      <c r="H80" s="1624"/>
      <c r="I80" s="1624"/>
      <c r="J80" s="1624"/>
      <c r="K80" s="1624"/>
      <c r="L80" s="325"/>
    </row>
    <row r="81" spans="1:12" ht="13.5" thickBot="1" x14ac:dyDescent="0.25">
      <c r="A81" s="2178" t="str">
        <f>"Fund Balances - June 30, "&amp;'AFR20'!E2</f>
        <v>Fund Balances - June 30, 2020</v>
      </c>
      <c r="B81" s="2179"/>
      <c r="C81" s="1644">
        <f>(SUM(C78:C80))</f>
        <v>1528841</v>
      </c>
      <c r="D81" s="1644">
        <f>SUM(D78:D80)</f>
        <v>367995</v>
      </c>
      <c r="E81" s="1644">
        <f t="shared" ref="E81:K81" si="10">SUM(E78:E80)</f>
        <v>5805</v>
      </c>
      <c r="F81" s="1644">
        <f t="shared" si="10"/>
        <v>278762</v>
      </c>
      <c r="G81" s="1644">
        <f t="shared" si="10"/>
        <v>154650</v>
      </c>
      <c r="H81" s="1644">
        <f t="shared" si="10"/>
        <v>-84785</v>
      </c>
      <c r="I81" s="1644">
        <f t="shared" si="10"/>
        <v>1143966</v>
      </c>
      <c r="J81" s="1644">
        <f t="shared" si="10"/>
        <v>463374</v>
      </c>
      <c r="K81" s="1644">
        <f t="shared" si="10"/>
        <v>0</v>
      </c>
      <c r="L81" s="325"/>
    </row>
    <row r="82" spans="1:12" ht="0.75" customHeight="1" thickTop="1" thickBot="1" x14ac:dyDescent="0.25">
      <c r="A82" s="459" t="s">
        <v>340</v>
      </c>
      <c r="B82" s="460"/>
      <c r="C82" s="461">
        <f>(C81-C79)</f>
        <v>363135</v>
      </c>
      <c r="D82" s="461">
        <f t="shared" ref="D82:K82" si="11">(D81-D79)</f>
        <v>-97777</v>
      </c>
      <c r="E82" s="461">
        <f t="shared" si="11"/>
        <v>3175</v>
      </c>
      <c r="F82" s="461">
        <f t="shared" si="11"/>
        <v>-95291</v>
      </c>
      <c r="G82" s="461">
        <f t="shared" si="11"/>
        <v>-33419</v>
      </c>
      <c r="H82" s="461">
        <f t="shared" si="11"/>
        <v>-216109</v>
      </c>
      <c r="I82" s="461">
        <f t="shared" si="11"/>
        <v>59851</v>
      </c>
      <c r="J82" s="461">
        <f t="shared" si="11"/>
        <v>169288</v>
      </c>
      <c r="K82" s="461">
        <f t="shared" si="11"/>
        <v>0</v>
      </c>
    </row>
    <row r="83" spans="1:12" ht="14.25" hidden="1" thickTop="1" thickBot="1" x14ac:dyDescent="0.25">
      <c r="A83" s="462" t="s">
        <v>341</v>
      </c>
      <c r="B83" s="428"/>
      <c r="C83" s="463">
        <f>C82/C81</f>
        <v>0.23752306485762745</v>
      </c>
      <c r="D83" s="463">
        <f t="shared" ref="D83:K83" si="12">D82/D81</f>
        <v>-0.26570197964646258</v>
      </c>
      <c r="E83" s="463">
        <f t="shared" si="12"/>
        <v>0.54694229112833759</v>
      </c>
      <c r="F83" s="463">
        <f t="shared" si="12"/>
        <v>-0.341836405248922</v>
      </c>
      <c r="G83" s="463">
        <f t="shared" si="12"/>
        <v>-0.2160944067248626</v>
      </c>
      <c r="H83" s="463">
        <f t="shared" si="12"/>
        <v>2.5489060564958423</v>
      </c>
      <c r="I83" s="463">
        <f t="shared" si="12"/>
        <v>5.2318862623539512E-2</v>
      </c>
      <c r="J83" s="463">
        <f t="shared" si="12"/>
        <v>0.36533771855995373</v>
      </c>
      <c r="K83" s="463" t="e">
        <f t="shared" si="12"/>
        <v>#DIV/0!</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2020 &amp;R&amp;8Page &amp;P</oddHeader>
    <oddFooter>&amp;L&amp;8Print Date: &amp;D
&amp;F&amp;C&amp;8See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258" activePane="bottomLeft" state="frozen"/>
      <selection activeCell="B7" sqref="B7"/>
      <selection pane="bottomLeft" activeCell="C264" sqref="C26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2" t="s">
        <v>1782</v>
      </c>
      <c r="B1" s="416"/>
      <c r="C1" s="417" t="s">
        <v>422</v>
      </c>
      <c r="D1" s="417" t="s">
        <v>423</v>
      </c>
      <c r="E1" s="417" t="s">
        <v>424</v>
      </c>
      <c r="F1" s="417" t="s">
        <v>425</v>
      </c>
      <c r="G1" s="417" t="s">
        <v>426</v>
      </c>
      <c r="H1" s="417" t="s">
        <v>427</v>
      </c>
      <c r="I1" s="417" t="s">
        <v>428</v>
      </c>
      <c r="J1" s="417" t="s">
        <v>429</v>
      </c>
      <c r="K1" s="417" t="s">
        <v>751</v>
      </c>
    </row>
    <row r="2" spans="1:12" ht="36" x14ac:dyDescent="0.2">
      <c r="A2" s="218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2849033</v>
      </c>
      <c r="D5" s="1636">
        <v>299265</v>
      </c>
      <c r="E5" s="1623">
        <v>216343</v>
      </c>
      <c r="F5" s="1681">
        <v>143648</v>
      </c>
      <c r="G5" s="1623">
        <v>50689</v>
      </c>
      <c r="H5" s="1623"/>
      <c r="I5" s="1623">
        <v>59851</v>
      </c>
      <c r="J5" s="1624">
        <v>229123</v>
      </c>
      <c r="K5" s="1623"/>
    </row>
    <row r="6" spans="1:12" ht="15" x14ac:dyDescent="0.2">
      <c r="A6" s="427" t="s">
        <v>1646</v>
      </c>
      <c r="B6" s="429">
        <v>1130</v>
      </c>
      <c r="C6" s="1623"/>
      <c r="D6" s="1623"/>
      <c r="E6" s="1630"/>
      <c r="F6" s="1630"/>
      <c r="G6" s="1625"/>
      <c r="H6" s="1625"/>
      <c r="I6" s="1625"/>
      <c r="J6" s="1625"/>
      <c r="K6" s="1625"/>
    </row>
    <row r="7" spans="1:12" x14ac:dyDescent="0.2">
      <c r="A7" s="427" t="s">
        <v>110</v>
      </c>
      <c r="B7" s="471">
        <v>1140</v>
      </c>
      <c r="C7" s="1623">
        <v>23940</v>
      </c>
      <c r="D7" s="1623"/>
      <c r="E7" s="1625"/>
      <c r="F7" s="1624"/>
      <c r="G7" s="1624"/>
      <c r="H7" s="1624"/>
      <c r="I7" s="1625"/>
      <c r="J7" s="1625"/>
      <c r="K7" s="1625"/>
    </row>
    <row r="8" spans="1:12" x14ac:dyDescent="0.2">
      <c r="A8" s="427" t="s">
        <v>410</v>
      </c>
      <c r="B8" s="429">
        <v>1150</v>
      </c>
      <c r="C8" s="1630"/>
      <c r="D8" s="1630"/>
      <c r="E8" s="1632"/>
      <c r="F8" s="1632"/>
      <c r="G8" s="1636">
        <v>50689</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95" customHeight="1" thickBot="1" x14ac:dyDescent="0.25">
      <c r="A12" s="1453" t="s">
        <v>29</v>
      </c>
      <c r="B12" s="1454"/>
      <c r="C12" s="1683">
        <f t="shared" ref="C12:K12" si="0">SUM(C5:C11)</f>
        <v>2872973</v>
      </c>
      <c r="D12" s="1683">
        <f t="shared" si="0"/>
        <v>299265</v>
      </c>
      <c r="E12" s="1683">
        <f t="shared" si="0"/>
        <v>216343</v>
      </c>
      <c r="F12" s="1683">
        <f t="shared" si="0"/>
        <v>143648</v>
      </c>
      <c r="G12" s="1683">
        <f t="shared" si="0"/>
        <v>101378</v>
      </c>
      <c r="H12" s="1683">
        <f t="shared" si="0"/>
        <v>0</v>
      </c>
      <c r="I12" s="1683">
        <f t="shared" si="0"/>
        <v>59851</v>
      </c>
      <c r="J12" s="1683">
        <f t="shared" si="0"/>
        <v>229123</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9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c r="D16" s="1623">
        <v>14322</v>
      </c>
      <c r="E16" s="1623"/>
      <c r="F16" s="1623">
        <v>135000</v>
      </c>
      <c r="G16" s="1623">
        <v>5000</v>
      </c>
      <c r="H16" s="1623">
        <v>25963</v>
      </c>
      <c r="I16" s="1623"/>
      <c r="J16" s="1624"/>
      <c r="K16" s="1623"/>
    </row>
    <row r="17" spans="1:11" ht="12.95" customHeight="1" x14ac:dyDescent="0.2">
      <c r="A17" s="427" t="s">
        <v>802</v>
      </c>
      <c r="B17" s="429">
        <v>1290</v>
      </c>
      <c r="C17" s="1682">
        <v>94070</v>
      </c>
      <c r="D17" s="1623"/>
      <c r="E17" s="1623"/>
      <c r="F17" s="1623"/>
      <c r="G17" s="1623"/>
      <c r="H17" s="1623"/>
      <c r="I17" s="1623"/>
      <c r="J17" s="1624"/>
      <c r="K17" s="1623"/>
    </row>
    <row r="18" spans="1:11" ht="12.95" customHeight="1" thickBot="1" x14ac:dyDescent="0.25">
      <c r="A18" s="1455" t="s">
        <v>534</v>
      </c>
      <c r="B18" s="1456"/>
      <c r="C18" s="1685">
        <f>SUM(C14:C17)</f>
        <v>94070</v>
      </c>
      <c r="D18" s="1685">
        <f t="shared" ref="D18:K18" si="1">SUM(D14:D17)</f>
        <v>14322</v>
      </c>
      <c r="E18" s="1685">
        <f t="shared" si="1"/>
        <v>0</v>
      </c>
      <c r="F18" s="1685">
        <f t="shared" si="1"/>
        <v>135000</v>
      </c>
      <c r="G18" s="1685">
        <f t="shared" si="1"/>
        <v>5000</v>
      </c>
      <c r="H18" s="1685">
        <f t="shared" si="1"/>
        <v>25963</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95" customHeight="1" x14ac:dyDescent="0.2">
      <c r="A21" s="427" t="s">
        <v>827</v>
      </c>
      <c r="B21" s="429">
        <v>1312</v>
      </c>
      <c r="C21" s="1682"/>
      <c r="D21" s="1625"/>
      <c r="E21" s="1625"/>
      <c r="F21" s="1625"/>
      <c r="G21" s="1625"/>
      <c r="H21" s="1625"/>
      <c r="I21" s="1625"/>
      <c r="J21" s="1625"/>
      <c r="K21" s="1625"/>
    </row>
    <row r="22" spans="1:11" ht="12.95" customHeight="1" x14ac:dyDescent="0.2">
      <c r="A22" s="427" t="s">
        <v>1067</v>
      </c>
      <c r="B22" s="429">
        <v>1313</v>
      </c>
      <c r="C22" s="1682"/>
      <c r="D22" s="1625"/>
      <c r="E22" s="1625"/>
      <c r="F22" s="1625"/>
      <c r="G22" s="1625"/>
      <c r="H22" s="1625"/>
      <c r="I22" s="1625"/>
      <c r="J22" s="1625"/>
      <c r="K22" s="1625"/>
    </row>
    <row r="23" spans="1:11" ht="12.95" customHeight="1" x14ac:dyDescent="0.2">
      <c r="A23" s="427" t="s">
        <v>1068</v>
      </c>
      <c r="B23" s="429">
        <v>1314</v>
      </c>
      <c r="C23" s="1648"/>
      <c r="D23" s="1625"/>
      <c r="E23" s="1625"/>
      <c r="F23" s="1625"/>
      <c r="G23" s="1625"/>
      <c r="H23" s="1625"/>
      <c r="I23" s="1625"/>
      <c r="J23" s="1625"/>
      <c r="K23" s="1625"/>
    </row>
    <row r="24" spans="1:11" ht="12.95" customHeight="1" x14ac:dyDescent="0.2">
      <c r="A24" s="427" t="s">
        <v>1020</v>
      </c>
      <c r="B24" s="429">
        <v>1321</v>
      </c>
      <c r="C24" s="1682"/>
      <c r="D24" s="1625"/>
      <c r="E24" s="1625"/>
      <c r="F24" s="1625"/>
      <c r="G24" s="1625"/>
      <c r="H24" s="1625"/>
      <c r="I24" s="1625"/>
      <c r="J24" s="1625"/>
      <c r="K24" s="1625"/>
    </row>
    <row r="25" spans="1:11" ht="12.95" customHeight="1" x14ac:dyDescent="0.2">
      <c r="A25" s="427" t="s">
        <v>828</v>
      </c>
      <c r="B25" s="429">
        <v>1322</v>
      </c>
      <c r="C25" s="1682"/>
      <c r="D25" s="1625"/>
      <c r="E25" s="1625"/>
      <c r="F25" s="1625"/>
      <c r="G25" s="1625"/>
      <c r="H25" s="1625"/>
      <c r="I25" s="1625"/>
      <c r="J25" s="1625"/>
      <c r="K25" s="1625"/>
    </row>
    <row r="26" spans="1:11" ht="12.95" customHeight="1" x14ac:dyDescent="0.2">
      <c r="A26" s="427" t="s">
        <v>1094</v>
      </c>
      <c r="B26" s="429">
        <v>1323</v>
      </c>
      <c r="C26" s="1682"/>
      <c r="D26" s="1625"/>
      <c r="E26" s="1625"/>
      <c r="F26" s="1625"/>
      <c r="G26" s="1625"/>
      <c r="H26" s="1625"/>
      <c r="I26" s="1625"/>
      <c r="J26" s="1625"/>
      <c r="K26" s="1625"/>
    </row>
    <row r="27" spans="1:11" ht="12.95" customHeight="1" x14ac:dyDescent="0.2">
      <c r="A27" s="427" t="s">
        <v>1016</v>
      </c>
      <c r="B27" s="429">
        <v>1324</v>
      </c>
      <c r="C27" s="1648"/>
      <c r="D27" s="1625"/>
      <c r="E27" s="1625"/>
      <c r="F27" s="1625"/>
      <c r="G27" s="1625"/>
      <c r="H27" s="1625"/>
      <c r="I27" s="1625"/>
      <c r="J27" s="1625"/>
      <c r="K27" s="1625"/>
    </row>
    <row r="28" spans="1:11" ht="12.95" customHeight="1" x14ac:dyDescent="0.2">
      <c r="A28" s="427" t="s">
        <v>1017</v>
      </c>
      <c r="B28" s="429">
        <v>1331</v>
      </c>
      <c r="C28" s="1682"/>
      <c r="D28" s="1625"/>
      <c r="E28" s="1625"/>
      <c r="F28" s="1625"/>
      <c r="G28" s="1625"/>
      <c r="H28" s="1625"/>
      <c r="I28" s="1625"/>
      <c r="J28" s="1625"/>
      <c r="K28" s="1625"/>
    </row>
    <row r="29" spans="1:11" ht="12.95" customHeight="1" x14ac:dyDescent="0.2">
      <c r="A29" s="427" t="s">
        <v>829</v>
      </c>
      <c r="B29" s="429">
        <v>1332</v>
      </c>
      <c r="C29" s="1682"/>
      <c r="D29" s="1625"/>
      <c r="E29" s="1625"/>
      <c r="F29" s="1625"/>
      <c r="G29" s="1625"/>
      <c r="H29" s="1625"/>
      <c r="I29" s="1625"/>
      <c r="J29" s="1625"/>
      <c r="K29" s="1625"/>
    </row>
    <row r="30" spans="1:11" ht="12.95" customHeight="1" x14ac:dyDescent="0.2">
      <c r="A30" s="427" t="s">
        <v>1019</v>
      </c>
      <c r="B30" s="429">
        <v>1333</v>
      </c>
      <c r="C30" s="1682"/>
      <c r="D30" s="1625"/>
      <c r="E30" s="1625"/>
      <c r="F30" s="1625"/>
      <c r="G30" s="1625"/>
      <c r="H30" s="1625"/>
      <c r="I30" s="1625"/>
      <c r="J30" s="1625"/>
      <c r="K30" s="1625"/>
    </row>
    <row r="31" spans="1:11" ht="12.95" customHeight="1" x14ac:dyDescent="0.2">
      <c r="A31" s="427" t="s">
        <v>1018</v>
      </c>
      <c r="B31" s="429">
        <v>1334</v>
      </c>
      <c r="C31" s="1648"/>
      <c r="D31" s="1625"/>
      <c r="E31" s="1625"/>
      <c r="F31" s="1625"/>
      <c r="G31" s="1625"/>
      <c r="H31" s="1625"/>
      <c r="I31" s="1625"/>
      <c r="J31" s="1625"/>
      <c r="K31" s="1625"/>
    </row>
    <row r="32" spans="1:11" ht="12.95" customHeight="1" x14ac:dyDescent="0.2">
      <c r="A32" s="427" t="s">
        <v>491</v>
      </c>
      <c r="B32" s="429">
        <v>1341</v>
      </c>
      <c r="C32" s="1682"/>
      <c r="D32" s="1625"/>
      <c r="E32" s="1625"/>
      <c r="F32" s="1625"/>
      <c r="G32" s="1625"/>
      <c r="H32" s="1625"/>
      <c r="I32" s="1625"/>
      <c r="J32" s="1625"/>
      <c r="K32" s="1625"/>
    </row>
    <row r="33" spans="1:11" ht="12.95" customHeight="1" x14ac:dyDescent="0.2">
      <c r="A33" s="427" t="s">
        <v>830</v>
      </c>
      <c r="B33" s="429">
        <v>1342</v>
      </c>
      <c r="C33" s="1682">
        <v>58890</v>
      </c>
      <c r="D33" s="1625"/>
      <c r="E33" s="1625"/>
      <c r="F33" s="1625"/>
      <c r="G33" s="1625"/>
      <c r="H33" s="1625"/>
      <c r="I33" s="1625"/>
      <c r="J33" s="1625"/>
      <c r="K33" s="1625"/>
    </row>
    <row r="34" spans="1:11" ht="12.95" customHeight="1" x14ac:dyDescent="0.2">
      <c r="A34" s="427" t="s">
        <v>492</v>
      </c>
      <c r="B34" s="429">
        <v>1343</v>
      </c>
      <c r="C34" s="1682"/>
      <c r="D34" s="1625"/>
      <c r="E34" s="1625"/>
      <c r="F34" s="1625"/>
      <c r="G34" s="1625"/>
      <c r="H34" s="1625"/>
      <c r="I34" s="1625"/>
      <c r="J34" s="1625"/>
      <c r="K34" s="1625"/>
    </row>
    <row r="35" spans="1:11" ht="12.95" customHeight="1" x14ac:dyDescent="0.2">
      <c r="A35" s="427" t="s">
        <v>490</v>
      </c>
      <c r="B35" s="429">
        <v>1344</v>
      </c>
      <c r="C35" s="1648"/>
      <c r="D35" s="1625"/>
      <c r="E35" s="1625"/>
      <c r="F35" s="1625"/>
      <c r="G35" s="1625"/>
      <c r="H35" s="1625"/>
      <c r="I35" s="1625"/>
      <c r="J35" s="1625"/>
      <c r="K35" s="1625"/>
    </row>
    <row r="36" spans="1:11" ht="12.95" customHeight="1" x14ac:dyDescent="0.2">
      <c r="A36" s="427" t="s">
        <v>826</v>
      </c>
      <c r="B36" s="429">
        <v>1351</v>
      </c>
      <c r="C36" s="1682"/>
      <c r="D36" s="1625"/>
      <c r="E36" s="1625"/>
      <c r="F36" s="1625"/>
      <c r="G36" s="1625"/>
      <c r="H36" s="1625"/>
      <c r="I36" s="1625"/>
      <c r="J36" s="1625"/>
      <c r="K36" s="1625"/>
    </row>
    <row r="37" spans="1:11" ht="12.95" customHeight="1" x14ac:dyDescent="0.2">
      <c r="A37" s="427" t="s">
        <v>831</v>
      </c>
      <c r="B37" s="429">
        <v>1352</v>
      </c>
      <c r="C37" s="1682"/>
      <c r="D37" s="1625"/>
      <c r="E37" s="1625"/>
      <c r="F37" s="1625"/>
      <c r="G37" s="1625"/>
      <c r="H37" s="1625"/>
      <c r="I37" s="1625"/>
      <c r="J37" s="1625"/>
      <c r="K37" s="1625"/>
    </row>
    <row r="38" spans="1:11" ht="12.95" customHeight="1" x14ac:dyDescent="0.2">
      <c r="A38" s="427" t="s">
        <v>589</v>
      </c>
      <c r="B38" s="429">
        <v>1353</v>
      </c>
      <c r="C38" s="1682"/>
      <c r="D38" s="1625"/>
      <c r="E38" s="1625"/>
      <c r="F38" s="1625"/>
      <c r="G38" s="1625"/>
      <c r="H38" s="1625"/>
      <c r="I38" s="1625"/>
      <c r="J38" s="1625"/>
      <c r="K38" s="1625"/>
    </row>
    <row r="39" spans="1:11" ht="12.95" customHeight="1" x14ac:dyDescent="0.2">
      <c r="A39" s="1310" t="s">
        <v>590</v>
      </c>
      <c r="B39" s="474">
        <v>1354</v>
      </c>
      <c r="C39" s="1648"/>
      <c r="D39" s="1625"/>
      <c r="E39" s="1625"/>
      <c r="F39" s="1625"/>
      <c r="G39" s="1625"/>
      <c r="H39" s="1625"/>
      <c r="I39" s="1625"/>
      <c r="J39" s="1625"/>
      <c r="K39" s="1625"/>
    </row>
    <row r="40" spans="1:11" ht="12.95" customHeight="1" thickBot="1" x14ac:dyDescent="0.25">
      <c r="A40" s="1455" t="s">
        <v>535</v>
      </c>
      <c r="B40" s="1456"/>
      <c r="C40" s="1644">
        <f>SUM(C20:C39)</f>
        <v>58890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95" customHeight="1" x14ac:dyDescent="0.2">
      <c r="A42" s="427" t="s">
        <v>1069</v>
      </c>
      <c r="B42" s="429">
        <v>1411</v>
      </c>
      <c r="C42" s="1625"/>
      <c r="D42" s="1625"/>
      <c r="E42" s="1625"/>
      <c r="F42" s="1636"/>
      <c r="G42" s="1625"/>
      <c r="H42" s="1625"/>
      <c r="I42" s="1625"/>
      <c r="J42" s="1625"/>
      <c r="K42" s="1625"/>
    </row>
    <row r="43" spans="1:11" ht="12.95" customHeight="1" x14ac:dyDescent="0.2">
      <c r="A43" s="427" t="s">
        <v>832</v>
      </c>
      <c r="B43" s="429">
        <v>1412</v>
      </c>
      <c r="C43" s="1625"/>
      <c r="D43" s="1625"/>
      <c r="E43" s="1625"/>
      <c r="F43" s="1623"/>
      <c r="G43" s="1625"/>
      <c r="H43" s="1625"/>
      <c r="I43" s="1625"/>
      <c r="J43" s="1625"/>
      <c r="K43" s="1625"/>
    </row>
    <row r="44" spans="1:11" ht="12.95" customHeight="1" x14ac:dyDescent="0.2">
      <c r="A44" s="427" t="s">
        <v>381</v>
      </c>
      <c r="B44" s="429">
        <v>1413</v>
      </c>
      <c r="C44" s="1625"/>
      <c r="D44" s="1625"/>
      <c r="E44" s="1625"/>
      <c r="F44" s="1623"/>
      <c r="G44" s="1625"/>
      <c r="H44" s="1625"/>
      <c r="I44" s="1625"/>
      <c r="J44" s="1625"/>
      <c r="K44" s="1625"/>
    </row>
    <row r="45" spans="1:11" ht="12.95" customHeight="1" x14ac:dyDescent="0.2">
      <c r="A45" s="427" t="s">
        <v>238</v>
      </c>
      <c r="B45" s="429">
        <v>1415</v>
      </c>
      <c r="C45" s="1625"/>
      <c r="D45" s="1625"/>
      <c r="E45" s="1625"/>
      <c r="F45" s="1623"/>
      <c r="G45" s="1625"/>
      <c r="H45" s="1625"/>
      <c r="I45" s="1625"/>
      <c r="J45" s="1625"/>
      <c r="K45" s="1625"/>
    </row>
    <row r="46" spans="1:11" ht="12.95" customHeight="1" x14ac:dyDescent="0.2">
      <c r="A46" s="427" t="s">
        <v>1166</v>
      </c>
      <c r="B46" s="429">
        <v>1416</v>
      </c>
      <c r="C46" s="1625"/>
      <c r="D46" s="1625"/>
      <c r="E46" s="1625"/>
      <c r="F46" s="1624"/>
      <c r="G46" s="1625"/>
      <c r="H46" s="1625"/>
      <c r="I46" s="1625"/>
      <c r="J46" s="1625"/>
      <c r="K46" s="1625"/>
    </row>
    <row r="47" spans="1:11" ht="12.95" customHeight="1" x14ac:dyDescent="0.2">
      <c r="A47" s="427" t="s">
        <v>57</v>
      </c>
      <c r="B47" s="429">
        <v>1421</v>
      </c>
      <c r="C47" s="1625"/>
      <c r="D47" s="1625"/>
      <c r="E47" s="1625"/>
      <c r="F47" s="1623"/>
      <c r="G47" s="1625"/>
      <c r="H47" s="1625"/>
      <c r="I47" s="1625"/>
      <c r="J47" s="1625"/>
      <c r="K47" s="1625"/>
    </row>
    <row r="48" spans="1:11" ht="12.95" customHeight="1" x14ac:dyDescent="0.2">
      <c r="A48" s="427" t="s">
        <v>833</v>
      </c>
      <c r="B48" s="429">
        <v>1422</v>
      </c>
      <c r="C48" s="1625"/>
      <c r="D48" s="1625"/>
      <c r="E48" s="1625"/>
      <c r="F48" s="1623"/>
      <c r="G48" s="1625"/>
      <c r="H48" s="1625"/>
      <c r="I48" s="1625"/>
      <c r="J48" s="1625"/>
      <c r="K48" s="1625"/>
    </row>
    <row r="49" spans="1:11" ht="12.95" customHeight="1" x14ac:dyDescent="0.2">
      <c r="A49" s="427" t="s">
        <v>58</v>
      </c>
      <c r="B49" s="429">
        <v>1423</v>
      </c>
      <c r="C49" s="1625"/>
      <c r="D49" s="1625"/>
      <c r="E49" s="1625"/>
      <c r="F49" s="1623"/>
      <c r="G49" s="1625"/>
      <c r="H49" s="1625"/>
      <c r="I49" s="1625"/>
      <c r="J49" s="1625"/>
      <c r="K49" s="1625"/>
    </row>
    <row r="50" spans="1:11" ht="12.95" customHeight="1" x14ac:dyDescent="0.2">
      <c r="A50" s="427" t="s">
        <v>59</v>
      </c>
      <c r="B50" s="429">
        <v>1424</v>
      </c>
      <c r="C50" s="1625"/>
      <c r="D50" s="1625"/>
      <c r="E50" s="1625"/>
      <c r="F50" s="1624"/>
      <c r="G50" s="1625"/>
      <c r="H50" s="1625"/>
      <c r="I50" s="1625"/>
      <c r="J50" s="1625"/>
      <c r="K50" s="1625"/>
    </row>
    <row r="51" spans="1:11" ht="12.95" customHeight="1" x14ac:dyDescent="0.2">
      <c r="A51" s="1311" t="s">
        <v>60</v>
      </c>
      <c r="B51" s="475">
        <v>1431</v>
      </c>
      <c r="C51" s="1625"/>
      <c r="D51" s="1625"/>
      <c r="E51" s="1625"/>
      <c r="F51" s="1623"/>
      <c r="G51" s="1625"/>
      <c r="H51" s="1625"/>
      <c r="I51" s="1625"/>
      <c r="J51" s="1625"/>
      <c r="K51" s="1625"/>
    </row>
    <row r="52" spans="1:11" ht="12.95" customHeight="1" x14ac:dyDescent="0.2">
      <c r="A52" s="1311" t="s">
        <v>1099</v>
      </c>
      <c r="B52" s="475">
        <v>1432</v>
      </c>
      <c r="C52" s="1625"/>
      <c r="D52" s="1625"/>
      <c r="E52" s="1625"/>
      <c r="F52" s="1623"/>
      <c r="G52" s="1625"/>
      <c r="H52" s="1625"/>
      <c r="I52" s="1625"/>
      <c r="J52" s="1625"/>
      <c r="K52" s="1625"/>
    </row>
    <row r="53" spans="1:11" ht="12.95" customHeight="1" x14ac:dyDescent="0.2">
      <c r="A53" s="1311" t="s">
        <v>61</v>
      </c>
      <c r="B53" s="475">
        <v>1433</v>
      </c>
      <c r="C53" s="1625"/>
      <c r="D53" s="1625"/>
      <c r="E53" s="1625"/>
      <c r="F53" s="1623"/>
      <c r="G53" s="1625"/>
      <c r="H53" s="1625"/>
      <c r="I53" s="1625"/>
      <c r="J53" s="1625"/>
      <c r="K53" s="1625"/>
    </row>
    <row r="54" spans="1:11" ht="12.95" customHeight="1" x14ac:dyDescent="0.2">
      <c r="A54" s="1311" t="s">
        <v>62</v>
      </c>
      <c r="B54" s="475">
        <v>1434</v>
      </c>
      <c r="C54" s="1625"/>
      <c r="D54" s="1625"/>
      <c r="E54" s="1625"/>
      <c r="F54" s="1624"/>
      <c r="G54" s="1625"/>
      <c r="H54" s="1625"/>
      <c r="I54" s="1625"/>
      <c r="J54" s="1625"/>
      <c r="K54" s="1625"/>
    </row>
    <row r="55" spans="1:11" ht="12.95" customHeight="1" x14ac:dyDescent="0.2">
      <c r="A55" s="1311" t="s">
        <v>63</v>
      </c>
      <c r="B55" s="475">
        <v>1441</v>
      </c>
      <c r="C55" s="1625"/>
      <c r="D55" s="1625"/>
      <c r="E55" s="1625"/>
      <c r="F55" s="1623"/>
      <c r="G55" s="1625"/>
      <c r="H55" s="1625"/>
      <c r="I55" s="1625"/>
      <c r="J55" s="1625"/>
      <c r="K55" s="1625"/>
    </row>
    <row r="56" spans="1:11" ht="12.95" customHeight="1" x14ac:dyDescent="0.2">
      <c r="A56" s="1311" t="s">
        <v>1100</v>
      </c>
      <c r="B56" s="475">
        <v>1442</v>
      </c>
      <c r="C56" s="1625"/>
      <c r="D56" s="1625"/>
      <c r="E56" s="1625"/>
      <c r="F56" s="1623"/>
      <c r="G56" s="1625"/>
      <c r="H56" s="1625"/>
      <c r="I56" s="1625"/>
      <c r="J56" s="1625"/>
      <c r="K56" s="1625"/>
    </row>
    <row r="57" spans="1:11" ht="12.95" customHeight="1" x14ac:dyDescent="0.2">
      <c r="A57" s="1311" t="s">
        <v>486</v>
      </c>
      <c r="B57" s="475">
        <v>1443</v>
      </c>
      <c r="C57" s="1625"/>
      <c r="D57" s="1625"/>
      <c r="E57" s="1625"/>
      <c r="F57" s="1623"/>
      <c r="G57" s="1625"/>
      <c r="H57" s="1625"/>
      <c r="I57" s="1625"/>
      <c r="J57" s="1625"/>
      <c r="K57" s="1625"/>
    </row>
    <row r="58" spans="1:11" ht="12.95" customHeight="1" x14ac:dyDescent="0.2">
      <c r="A58" s="1311" t="s">
        <v>65</v>
      </c>
      <c r="B58" s="475">
        <v>1444</v>
      </c>
      <c r="C58" s="1625"/>
      <c r="D58" s="1625"/>
      <c r="E58" s="1625"/>
      <c r="F58" s="1623"/>
      <c r="G58" s="1625"/>
      <c r="H58" s="1625"/>
      <c r="I58" s="1625"/>
      <c r="J58" s="1625"/>
      <c r="K58" s="1625"/>
    </row>
    <row r="59" spans="1:11" ht="12.95" customHeight="1" x14ac:dyDescent="0.2">
      <c r="A59" s="1311" t="s">
        <v>873</v>
      </c>
      <c r="B59" s="475">
        <v>1451</v>
      </c>
      <c r="C59" s="1625"/>
      <c r="D59" s="1625"/>
      <c r="E59" s="1625"/>
      <c r="F59" s="1623"/>
      <c r="G59" s="1625"/>
      <c r="H59" s="1625"/>
      <c r="I59" s="1625"/>
      <c r="J59" s="1625"/>
      <c r="K59" s="1625"/>
    </row>
    <row r="60" spans="1:11" ht="12.95" customHeight="1" x14ac:dyDescent="0.2">
      <c r="A60" s="1311" t="s">
        <v>1101</v>
      </c>
      <c r="B60" s="475">
        <v>1452</v>
      </c>
      <c r="C60" s="1625"/>
      <c r="D60" s="1625"/>
      <c r="E60" s="1625"/>
      <c r="F60" s="1623"/>
      <c r="G60" s="1625"/>
      <c r="H60" s="1625"/>
      <c r="I60" s="1625"/>
      <c r="J60" s="1625"/>
      <c r="K60" s="1625"/>
    </row>
    <row r="61" spans="1:11" ht="12.95" customHeight="1" x14ac:dyDescent="0.2">
      <c r="A61" s="479" t="s">
        <v>874</v>
      </c>
      <c r="B61" s="475">
        <v>1453</v>
      </c>
      <c r="C61" s="1625"/>
      <c r="D61" s="1625"/>
      <c r="E61" s="1625"/>
      <c r="F61" s="1623"/>
      <c r="G61" s="1625"/>
      <c r="H61" s="1625"/>
      <c r="I61" s="1625"/>
      <c r="J61" s="1625"/>
      <c r="K61" s="1625"/>
    </row>
    <row r="62" spans="1:11" ht="12.95" customHeight="1" x14ac:dyDescent="0.2">
      <c r="A62" s="1312" t="s">
        <v>875</v>
      </c>
      <c r="B62" s="476">
        <v>1454</v>
      </c>
      <c r="C62" s="1625"/>
      <c r="D62" s="1625"/>
      <c r="E62" s="1625"/>
      <c r="F62" s="1624"/>
      <c r="G62" s="1625"/>
      <c r="H62" s="1625"/>
      <c r="I62" s="1625"/>
      <c r="J62" s="1625"/>
      <c r="K62" s="1625"/>
    </row>
    <row r="63" spans="1:11" ht="12.9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95" customHeight="1" x14ac:dyDescent="0.2">
      <c r="A65" s="427" t="s">
        <v>543</v>
      </c>
      <c r="B65" s="429">
        <v>1510</v>
      </c>
      <c r="C65" s="1623">
        <v>15804</v>
      </c>
      <c r="D65" s="1623">
        <v>1838</v>
      </c>
      <c r="E65" s="1623">
        <v>275</v>
      </c>
      <c r="F65" s="1624">
        <v>2210</v>
      </c>
      <c r="G65" s="1623">
        <v>1465</v>
      </c>
      <c r="H65" s="1623">
        <v>204</v>
      </c>
      <c r="I65" s="1623">
        <v>3042</v>
      </c>
      <c r="J65" s="1624">
        <v>2989</v>
      </c>
      <c r="K65" s="1623"/>
    </row>
    <row r="66" spans="1:11" ht="12.95" customHeight="1" x14ac:dyDescent="0.2">
      <c r="A66" s="427" t="s">
        <v>674</v>
      </c>
      <c r="B66" s="429">
        <v>1520</v>
      </c>
      <c r="C66" s="1623"/>
      <c r="D66" s="1623"/>
      <c r="E66" s="1623"/>
      <c r="F66" s="1623"/>
      <c r="G66" s="1623"/>
      <c r="H66" s="1623"/>
      <c r="I66" s="1623"/>
      <c r="J66" s="1624"/>
      <c r="K66" s="1623"/>
    </row>
    <row r="67" spans="1:11" ht="12.95" customHeight="1" thickBot="1" x14ac:dyDescent="0.25">
      <c r="A67" s="1455" t="s">
        <v>483</v>
      </c>
      <c r="B67" s="1456"/>
      <c r="C67" s="1644">
        <f>SUM(C65:C66)</f>
        <v>15804</v>
      </c>
      <c r="D67" s="1644">
        <f t="shared" ref="D67:K67" si="2">SUM(D65:D66)</f>
        <v>1838</v>
      </c>
      <c r="E67" s="1644">
        <f t="shared" si="2"/>
        <v>275</v>
      </c>
      <c r="F67" s="1644">
        <f t="shared" si="2"/>
        <v>2210</v>
      </c>
      <c r="G67" s="1644">
        <f t="shared" si="2"/>
        <v>1465</v>
      </c>
      <c r="H67" s="1644">
        <f t="shared" si="2"/>
        <v>204</v>
      </c>
      <c r="I67" s="1644">
        <f t="shared" si="2"/>
        <v>3042</v>
      </c>
      <c r="J67" s="1644">
        <f t="shared" si="2"/>
        <v>2989</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95" customHeight="1" x14ac:dyDescent="0.2">
      <c r="A69" s="427" t="s">
        <v>661</v>
      </c>
      <c r="B69" s="429">
        <v>1611</v>
      </c>
      <c r="C69" s="1623">
        <v>42952</v>
      </c>
      <c r="D69" s="1625"/>
      <c r="E69" s="1625"/>
      <c r="F69" s="1625"/>
      <c r="G69" s="1625"/>
      <c r="H69" s="1625"/>
      <c r="I69" s="1625"/>
      <c r="J69" s="1625"/>
      <c r="K69" s="1625"/>
    </row>
    <row r="70" spans="1:11" ht="12.95" customHeight="1" x14ac:dyDescent="0.2">
      <c r="A70" s="427" t="s">
        <v>990</v>
      </c>
      <c r="B70" s="429">
        <v>1612</v>
      </c>
      <c r="C70" s="1682"/>
      <c r="D70" s="1625"/>
      <c r="E70" s="1625"/>
      <c r="F70" s="1625"/>
      <c r="G70" s="1625"/>
      <c r="H70" s="1625"/>
      <c r="I70" s="1625"/>
      <c r="J70" s="1625"/>
      <c r="K70" s="1625"/>
    </row>
    <row r="71" spans="1:11" ht="12.95" customHeight="1" x14ac:dyDescent="0.2">
      <c r="A71" s="427" t="s">
        <v>271</v>
      </c>
      <c r="B71" s="429">
        <v>1613</v>
      </c>
      <c r="C71" s="1682"/>
      <c r="D71" s="1625"/>
      <c r="E71" s="1625"/>
      <c r="F71" s="1625"/>
      <c r="G71" s="1625"/>
      <c r="H71" s="1625"/>
      <c r="I71" s="1625"/>
      <c r="J71" s="1625"/>
      <c r="K71" s="1625"/>
    </row>
    <row r="72" spans="1:11" ht="12.95" customHeight="1" x14ac:dyDescent="0.2">
      <c r="A72" s="427" t="s">
        <v>24</v>
      </c>
      <c r="B72" s="429">
        <v>1614</v>
      </c>
      <c r="C72" s="1682"/>
      <c r="D72" s="1625"/>
      <c r="E72" s="1625"/>
      <c r="F72" s="1625"/>
      <c r="G72" s="1625"/>
      <c r="H72" s="1625"/>
      <c r="I72" s="1625"/>
      <c r="J72" s="1625"/>
      <c r="K72" s="1625"/>
    </row>
    <row r="73" spans="1:11" ht="12.95" customHeight="1" x14ac:dyDescent="0.2">
      <c r="A73" s="427" t="s">
        <v>991</v>
      </c>
      <c r="B73" s="429">
        <v>1620</v>
      </c>
      <c r="C73" s="1682"/>
      <c r="D73" s="1625"/>
      <c r="E73" s="1625"/>
      <c r="F73" s="1625"/>
      <c r="G73" s="1625"/>
      <c r="H73" s="1625"/>
      <c r="I73" s="1625"/>
      <c r="J73" s="1625"/>
      <c r="K73" s="1625"/>
    </row>
    <row r="74" spans="1:11" ht="12.95" customHeight="1" x14ac:dyDescent="0.2">
      <c r="A74" s="427" t="s">
        <v>25</v>
      </c>
      <c r="B74" s="429">
        <v>1690</v>
      </c>
      <c r="C74" s="1682"/>
      <c r="D74" s="1625"/>
      <c r="E74" s="1625"/>
      <c r="F74" s="1625"/>
      <c r="G74" s="1625"/>
      <c r="H74" s="1625"/>
      <c r="I74" s="1625"/>
      <c r="J74" s="1625"/>
      <c r="K74" s="1625"/>
    </row>
    <row r="75" spans="1:11" ht="12.95" customHeight="1" thickBot="1" x14ac:dyDescent="0.25">
      <c r="A75" s="1455" t="s">
        <v>544</v>
      </c>
      <c r="B75" s="1456"/>
      <c r="C75" s="1644">
        <f>SUM(C69:C74)</f>
        <v>42952</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95" customHeight="1" x14ac:dyDescent="0.2">
      <c r="A77" s="427" t="s">
        <v>545</v>
      </c>
      <c r="B77" s="429">
        <v>1711</v>
      </c>
      <c r="C77" s="1663">
        <v>2379</v>
      </c>
      <c r="D77" s="1623"/>
      <c r="E77" s="1625"/>
      <c r="F77" s="1625"/>
      <c r="G77" s="1625"/>
      <c r="H77" s="1625"/>
      <c r="I77" s="1625"/>
      <c r="J77" s="1625"/>
      <c r="K77" s="1625"/>
    </row>
    <row r="78" spans="1:11" ht="12.95" customHeight="1" x14ac:dyDescent="0.2">
      <c r="A78" s="427" t="s">
        <v>76</v>
      </c>
      <c r="B78" s="429">
        <v>1719</v>
      </c>
      <c r="C78" s="1682"/>
      <c r="D78" s="1623"/>
      <c r="E78" s="1625"/>
      <c r="F78" s="1625"/>
      <c r="G78" s="1625"/>
      <c r="H78" s="1625"/>
      <c r="I78" s="1625"/>
      <c r="J78" s="1625"/>
      <c r="K78" s="1625"/>
    </row>
    <row r="79" spans="1:11" ht="12.95" customHeight="1" x14ac:dyDescent="0.2">
      <c r="A79" s="427" t="s">
        <v>546</v>
      </c>
      <c r="B79" s="429">
        <v>1720</v>
      </c>
      <c r="C79" s="1682"/>
      <c r="D79" s="1623"/>
      <c r="E79" s="1625"/>
      <c r="F79" s="1625"/>
      <c r="G79" s="1625"/>
      <c r="H79" s="1625"/>
      <c r="I79" s="1625"/>
      <c r="J79" s="1625"/>
      <c r="K79" s="1625"/>
    </row>
    <row r="80" spans="1:11" ht="12.95" customHeight="1" x14ac:dyDescent="0.2">
      <c r="A80" s="427" t="s">
        <v>547</v>
      </c>
      <c r="B80" s="429">
        <v>1730</v>
      </c>
      <c r="C80" s="1682"/>
      <c r="D80" s="1623"/>
      <c r="E80" s="1625"/>
      <c r="F80" s="1625"/>
      <c r="G80" s="1625"/>
      <c r="H80" s="1625"/>
      <c r="I80" s="1625"/>
      <c r="J80" s="1625"/>
      <c r="K80" s="1625"/>
    </row>
    <row r="81" spans="1:11" ht="12.95" customHeight="1" x14ac:dyDescent="0.2">
      <c r="A81" s="427" t="s">
        <v>26</v>
      </c>
      <c r="B81" s="429">
        <v>1790</v>
      </c>
      <c r="C81" s="1682"/>
      <c r="D81" s="1623"/>
      <c r="E81" s="1625"/>
      <c r="F81" s="1625"/>
      <c r="G81" s="1625"/>
      <c r="H81" s="1625"/>
      <c r="I81" s="1625"/>
      <c r="J81" s="1625"/>
      <c r="K81" s="1625"/>
    </row>
    <row r="82" spans="1:11" ht="12.95" customHeight="1" thickBot="1" x14ac:dyDescent="0.25">
      <c r="A82" s="1455" t="s">
        <v>239</v>
      </c>
      <c r="B82" s="1456"/>
      <c r="C82" s="1683">
        <f>SUM(C77:C81)</f>
        <v>2379</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95" customHeight="1" x14ac:dyDescent="0.2">
      <c r="A84" s="427" t="s">
        <v>548</v>
      </c>
      <c r="B84" s="429">
        <v>1811</v>
      </c>
      <c r="C84" s="1623">
        <v>30250</v>
      </c>
      <c r="D84" s="1625"/>
      <c r="E84" s="1625"/>
      <c r="F84" s="1625"/>
      <c r="G84" s="1625"/>
      <c r="H84" s="1625"/>
      <c r="I84" s="1625"/>
      <c r="J84" s="1625"/>
      <c r="K84" s="1625"/>
    </row>
    <row r="85" spans="1:11" ht="12.95" customHeight="1" x14ac:dyDescent="0.2">
      <c r="A85" s="427" t="s">
        <v>549</v>
      </c>
      <c r="B85" s="429">
        <v>1812</v>
      </c>
      <c r="C85" s="1682"/>
      <c r="D85" s="1625"/>
      <c r="E85" s="1625"/>
      <c r="F85" s="1625"/>
      <c r="G85" s="1625"/>
      <c r="H85" s="1625"/>
      <c r="I85" s="1625"/>
      <c r="J85" s="1625"/>
      <c r="K85" s="1625"/>
    </row>
    <row r="86" spans="1:11" ht="12.95" customHeight="1" x14ac:dyDescent="0.2">
      <c r="A86" s="427" t="s">
        <v>992</v>
      </c>
      <c r="B86" s="429">
        <v>1813</v>
      </c>
      <c r="C86" s="1682"/>
      <c r="D86" s="1625"/>
      <c r="E86" s="1625"/>
      <c r="F86" s="1625"/>
      <c r="G86" s="1625"/>
      <c r="H86" s="1625"/>
      <c r="I86" s="1625"/>
      <c r="J86" s="1625"/>
      <c r="K86" s="1625"/>
    </row>
    <row r="87" spans="1:11" ht="12.95" customHeight="1" x14ac:dyDescent="0.2">
      <c r="A87" s="427" t="s">
        <v>77</v>
      </c>
      <c r="B87" s="429">
        <v>1819</v>
      </c>
      <c r="C87" s="1682"/>
      <c r="D87" s="1625"/>
      <c r="E87" s="1625"/>
      <c r="F87" s="1625"/>
      <c r="G87" s="1625"/>
      <c r="H87" s="1625"/>
      <c r="I87" s="1625"/>
      <c r="J87" s="1625"/>
      <c r="K87" s="1625"/>
    </row>
    <row r="88" spans="1:11" ht="12.95" customHeight="1" x14ac:dyDescent="0.2">
      <c r="A88" s="427" t="s">
        <v>550</v>
      </c>
      <c r="B88" s="429">
        <v>1821</v>
      </c>
      <c r="C88" s="1682"/>
      <c r="D88" s="1625"/>
      <c r="E88" s="1625"/>
      <c r="F88" s="1625"/>
      <c r="G88" s="1625"/>
      <c r="H88" s="1625"/>
      <c r="I88" s="1625"/>
      <c r="J88" s="1625"/>
      <c r="K88" s="1625"/>
    </row>
    <row r="89" spans="1:11" ht="12.95" customHeight="1" x14ac:dyDescent="0.2">
      <c r="A89" s="427" t="s">
        <v>709</v>
      </c>
      <c r="B89" s="429">
        <v>1822</v>
      </c>
      <c r="C89" s="1682"/>
      <c r="D89" s="1625"/>
      <c r="E89" s="1625"/>
      <c r="F89" s="1625"/>
      <c r="G89" s="1625"/>
      <c r="H89" s="1625"/>
      <c r="I89" s="1625"/>
      <c r="J89" s="1625"/>
      <c r="K89" s="1625"/>
    </row>
    <row r="90" spans="1:11" ht="12.95" customHeight="1" x14ac:dyDescent="0.2">
      <c r="A90" s="427" t="s">
        <v>138</v>
      </c>
      <c r="B90" s="429">
        <v>1823</v>
      </c>
      <c r="C90" s="1682"/>
      <c r="D90" s="1625"/>
      <c r="E90" s="1625"/>
      <c r="F90" s="1625"/>
      <c r="G90" s="1625"/>
      <c r="H90" s="1625"/>
      <c r="I90" s="1625"/>
      <c r="J90" s="1625"/>
      <c r="K90" s="1625"/>
    </row>
    <row r="91" spans="1:11" ht="12.95" customHeight="1" x14ac:dyDescent="0.2">
      <c r="A91" s="427" t="s">
        <v>27</v>
      </c>
      <c r="B91" s="429">
        <v>1829</v>
      </c>
      <c r="C91" s="1682">
        <v>2765</v>
      </c>
      <c r="D91" s="1625"/>
      <c r="E91" s="1625"/>
      <c r="F91" s="1625"/>
      <c r="G91" s="1625"/>
      <c r="H91" s="1625"/>
      <c r="I91" s="1625"/>
      <c r="J91" s="1625"/>
      <c r="K91" s="1625"/>
    </row>
    <row r="92" spans="1:11" ht="12.95" customHeight="1" x14ac:dyDescent="0.2">
      <c r="A92" s="427" t="s">
        <v>757</v>
      </c>
      <c r="B92" s="429">
        <v>1890</v>
      </c>
      <c r="C92" s="1682"/>
      <c r="D92" s="1625"/>
      <c r="E92" s="1625"/>
      <c r="F92" s="1625"/>
      <c r="G92" s="1625"/>
      <c r="H92" s="1625"/>
      <c r="I92" s="1625"/>
      <c r="J92" s="1625"/>
      <c r="K92" s="1625"/>
    </row>
    <row r="93" spans="1:11" ht="12.95" customHeight="1" thickBot="1" x14ac:dyDescent="0.25">
      <c r="A93" s="1455" t="s">
        <v>241</v>
      </c>
      <c r="B93" s="1456"/>
      <c r="C93" s="1644">
        <f>SUM(C84:C92)</f>
        <v>33015</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95" customHeight="1" x14ac:dyDescent="0.2">
      <c r="A95" s="427" t="s">
        <v>1057</v>
      </c>
      <c r="B95" s="429">
        <v>1910</v>
      </c>
      <c r="C95" s="1623"/>
      <c r="D95" s="1682"/>
      <c r="E95" s="1667"/>
      <c r="F95" s="1667"/>
      <c r="G95" s="1667"/>
      <c r="H95" s="1667"/>
      <c r="I95" s="1667"/>
      <c r="J95" s="1667"/>
      <c r="K95" s="1667"/>
    </row>
    <row r="96" spans="1:11" ht="12.95" customHeight="1" x14ac:dyDescent="0.2">
      <c r="A96" s="427" t="s">
        <v>388</v>
      </c>
      <c r="B96" s="429">
        <v>1920</v>
      </c>
      <c r="C96" s="1682"/>
      <c r="D96" s="1682"/>
      <c r="E96" s="1634"/>
      <c r="F96" s="1633"/>
      <c r="G96" s="1633"/>
      <c r="H96" s="1633"/>
      <c r="I96" s="1633"/>
      <c r="J96" s="1633"/>
      <c r="K96" s="1633"/>
    </row>
    <row r="97" spans="1:12" ht="12.95" customHeight="1" x14ac:dyDescent="0.2">
      <c r="A97" s="1310" t="s">
        <v>242</v>
      </c>
      <c r="B97" s="477">
        <v>1930</v>
      </c>
      <c r="C97" s="1648"/>
      <c r="D97" s="1624"/>
      <c r="E97" s="1629"/>
      <c r="F97" s="1624"/>
      <c r="G97" s="1624"/>
      <c r="H97" s="1624"/>
      <c r="I97" s="1624"/>
      <c r="J97" s="1624"/>
      <c r="K97" s="1624"/>
    </row>
    <row r="98" spans="1:12" ht="12.95" customHeight="1" x14ac:dyDescent="0.2">
      <c r="A98" s="427" t="s">
        <v>188</v>
      </c>
      <c r="B98" s="429">
        <v>1940</v>
      </c>
      <c r="C98" s="1648"/>
      <c r="D98" s="1623"/>
      <c r="E98" s="1662"/>
      <c r="F98" s="1623"/>
      <c r="G98" s="1662"/>
      <c r="H98" s="1662"/>
      <c r="I98" s="1660"/>
      <c r="J98" s="1662"/>
      <c r="K98" s="1662"/>
    </row>
    <row r="99" spans="1:12" ht="12.95" customHeight="1" x14ac:dyDescent="0.2">
      <c r="A99" s="427" t="s">
        <v>816</v>
      </c>
      <c r="B99" s="429">
        <v>1950</v>
      </c>
      <c r="C99" s="1648"/>
      <c r="D99" s="1623"/>
      <c r="E99" s="1623"/>
      <c r="F99" s="1623"/>
      <c r="G99" s="1623"/>
      <c r="H99" s="1623"/>
      <c r="I99" s="1625"/>
      <c r="J99" s="1624"/>
      <c r="K99" s="1623"/>
    </row>
    <row r="100" spans="1:12" ht="12.95" customHeight="1" x14ac:dyDescent="0.2">
      <c r="A100" s="427" t="s">
        <v>243</v>
      </c>
      <c r="B100" s="429">
        <v>1960</v>
      </c>
      <c r="C100" s="1648"/>
      <c r="D100" s="1648"/>
      <c r="E100" s="1648"/>
      <c r="F100" s="1648"/>
      <c r="G100" s="1648"/>
      <c r="H100" s="1648"/>
      <c r="I100" s="1624"/>
      <c r="J100" s="1648"/>
      <c r="K100" s="1624"/>
    </row>
    <row r="101" spans="1:12" ht="12.95" customHeight="1" x14ac:dyDescent="0.2">
      <c r="A101" s="427" t="s">
        <v>244</v>
      </c>
      <c r="B101" s="429">
        <v>1970</v>
      </c>
      <c r="C101" s="1648"/>
      <c r="D101" s="1673"/>
      <c r="E101" s="1635"/>
      <c r="F101" s="1673"/>
      <c r="G101" s="1630"/>
      <c r="H101" s="1673"/>
      <c r="I101" s="1625"/>
      <c r="J101" s="1630"/>
      <c r="K101" s="1630"/>
    </row>
    <row r="102" spans="1:12" ht="12.95" customHeight="1" x14ac:dyDescent="0.2">
      <c r="A102" s="427" t="s">
        <v>245</v>
      </c>
      <c r="B102" s="429">
        <v>1980</v>
      </c>
      <c r="C102" s="1648"/>
      <c r="D102" s="1648"/>
      <c r="E102" s="1648"/>
      <c r="F102" s="1648"/>
      <c r="G102" s="1648"/>
      <c r="H102" s="1648"/>
      <c r="I102" s="1624"/>
      <c r="J102" s="1648"/>
      <c r="K102" s="1624"/>
    </row>
    <row r="103" spans="1:12" ht="12.95" customHeight="1" x14ac:dyDescent="0.2">
      <c r="A103" s="427" t="s">
        <v>342</v>
      </c>
      <c r="B103" s="429">
        <v>1983</v>
      </c>
      <c r="C103" s="1625"/>
      <c r="D103" s="1625"/>
      <c r="E103" s="1689"/>
      <c r="F103" s="1625"/>
      <c r="G103" s="1625"/>
      <c r="H103" s="1648">
        <v>259587</v>
      </c>
      <c r="I103" s="1625"/>
      <c r="J103" s="1660"/>
      <c r="K103" s="1660"/>
    </row>
    <row r="104" spans="1:12" ht="12.95" customHeight="1" x14ac:dyDescent="0.2">
      <c r="A104" s="427" t="s">
        <v>825</v>
      </c>
      <c r="B104" s="429">
        <v>1991</v>
      </c>
      <c r="C104" s="1648"/>
      <c r="D104" s="1623"/>
      <c r="E104" s="1636"/>
      <c r="F104" s="1624"/>
      <c r="G104" s="1624"/>
      <c r="H104" s="1623"/>
      <c r="I104" s="1625"/>
      <c r="J104" s="1625"/>
      <c r="K104" s="1625"/>
    </row>
    <row r="105" spans="1:12" ht="12.95" customHeight="1" x14ac:dyDescent="0.2">
      <c r="A105" s="427" t="s">
        <v>817</v>
      </c>
      <c r="B105" s="429">
        <v>1992</v>
      </c>
      <c r="C105" s="1623"/>
      <c r="D105" s="1690"/>
      <c r="E105" s="1625"/>
      <c r="F105" s="1625"/>
      <c r="G105" s="1625"/>
      <c r="H105" s="1660"/>
      <c r="I105" s="1625"/>
      <c r="J105" s="1625"/>
      <c r="K105" s="1625"/>
    </row>
    <row r="106" spans="1:12" ht="12.95" customHeight="1" x14ac:dyDescent="0.2">
      <c r="A106" s="427" t="s">
        <v>1416</v>
      </c>
      <c r="B106" s="429">
        <v>1993</v>
      </c>
      <c r="C106" s="1623"/>
      <c r="D106" s="1648"/>
      <c r="E106" s="1624"/>
      <c r="F106" s="1624"/>
      <c r="G106" s="1624"/>
      <c r="H106" s="1624"/>
      <c r="I106" s="1667"/>
      <c r="J106" s="1624"/>
      <c r="K106" s="1624"/>
    </row>
    <row r="107" spans="1:12" ht="12.95" customHeight="1" x14ac:dyDescent="0.2">
      <c r="A107" s="427" t="s">
        <v>78</v>
      </c>
      <c r="B107" s="429">
        <v>1999</v>
      </c>
      <c r="C107" s="1682">
        <v>33957</v>
      </c>
      <c r="D107" s="1623">
        <v>275</v>
      </c>
      <c r="E107" s="1623"/>
      <c r="F107" s="1623"/>
      <c r="G107" s="1623"/>
      <c r="H107" s="1623"/>
      <c r="I107" s="1623"/>
      <c r="J107" s="1624">
        <v>3610</v>
      </c>
      <c r="K107" s="1623"/>
    </row>
    <row r="108" spans="1:12" ht="12.95" customHeight="1" thickBot="1" x14ac:dyDescent="0.25">
      <c r="A108" s="1455" t="s">
        <v>484</v>
      </c>
      <c r="B108" s="1457"/>
      <c r="C108" s="1683">
        <f>SUM(C95:C107)</f>
        <v>33957</v>
      </c>
      <c r="D108" s="1683">
        <f t="shared" ref="D108:K108" si="3">SUM(D95:D107)</f>
        <v>275</v>
      </c>
      <c r="E108" s="1683">
        <f t="shared" si="3"/>
        <v>0</v>
      </c>
      <c r="F108" s="1683">
        <f t="shared" si="3"/>
        <v>0</v>
      </c>
      <c r="G108" s="1683">
        <f t="shared" si="3"/>
        <v>0</v>
      </c>
      <c r="H108" s="1683">
        <f t="shared" si="3"/>
        <v>259587</v>
      </c>
      <c r="I108" s="1683">
        <f t="shared" si="3"/>
        <v>0</v>
      </c>
      <c r="J108" s="1683">
        <f t="shared" si="3"/>
        <v>3610</v>
      </c>
      <c r="K108" s="1644">
        <f t="shared" si="3"/>
        <v>0</v>
      </c>
    </row>
    <row r="109" spans="1:12" ht="14.25" thickTop="1" thickBot="1" x14ac:dyDescent="0.25">
      <c r="A109" s="1458" t="s">
        <v>246</v>
      </c>
      <c r="B109" s="1459" t="s">
        <v>566</v>
      </c>
      <c r="C109" s="1691">
        <f t="shared" ref="C109:K109" si="4">SUM(C12,C18,C40,C63,C67,C75,C82,C93,C108,)</f>
        <v>3154040</v>
      </c>
      <c r="D109" s="1691">
        <f t="shared" si="4"/>
        <v>315700</v>
      </c>
      <c r="E109" s="1691">
        <f t="shared" si="4"/>
        <v>216618</v>
      </c>
      <c r="F109" s="1691">
        <f t="shared" si="4"/>
        <v>280858</v>
      </c>
      <c r="G109" s="1691">
        <f t="shared" si="4"/>
        <v>107843</v>
      </c>
      <c r="H109" s="1691">
        <f t="shared" si="4"/>
        <v>285754</v>
      </c>
      <c r="I109" s="1691">
        <f t="shared" si="4"/>
        <v>62893</v>
      </c>
      <c r="J109" s="1691">
        <f t="shared" si="4"/>
        <v>235722</v>
      </c>
      <c r="K109" s="1679">
        <f t="shared" si="4"/>
        <v>0</v>
      </c>
    </row>
    <row r="110" spans="1:12" ht="30" customHeight="1" thickTop="1" x14ac:dyDescent="0.2">
      <c r="A110" s="1368" t="s">
        <v>343</v>
      </c>
      <c r="B110" s="1369"/>
      <c r="C110" s="1653"/>
      <c r="D110" s="1653"/>
      <c r="E110" s="1653"/>
      <c r="F110" s="1653"/>
      <c r="G110" s="1653"/>
      <c r="H110" s="1653"/>
      <c r="I110" s="1653"/>
      <c r="J110" s="1653"/>
      <c r="K110" s="1665"/>
    </row>
    <row r="111" spans="1:12" ht="12.95" customHeight="1" x14ac:dyDescent="0.2">
      <c r="A111" s="436" t="s">
        <v>818</v>
      </c>
      <c r="B111" s="435">
        <v>2100</v>
      </c>
      <c r="C111" s="1663"/>
      <c r="D111" s="1636"/>
      <c r="E111" s="1690"/>
      <c r="F111" s="1636"/>
      <c r="G111" s="1636"/>
      <c r="H111" s="1690"/>
      <c r="I111" s="1625"/>
      <c r="J111" s="1625"/>
      <c r="K111" s="1625"/>
    </row>
    <row r="112" spans="1:12" ht="12.95" customHeight="1" x14ac:dyDescent="0.2">
      <c r="A112" s="427" t="s">
        <v>819</v>
      </c>
      <c r="B112" s="429">
        <v>2200</v>
      </c>
      <c r="C112" s="1682"/>
      <c r="D112" s="1623"/>
      <c r="E112" s="1690"/>
      <c r="F112" s="1623"/>
      <c r="G112" s="1623"/>
      <c r="H112" s="1690"/>
      <c r="I112" s="1625"/>
      <c r="J112" s="1625"/>
      <c r="K112" s="1625"/>
      <c r="L112" s="473"/>
    </row>
    <row r="113" spans="1:11" ht="12.9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95" customHeight="1" x14ac:dyDescent="0.2">
      <c r="A117" s="427" t="s">
        <v>1651</v>
      </c>
      <c r="B117" s="478">
        <v>3001</v>
      </c>
      <c r="C117" s="1663">
        <v>814796</v>
      </c>
      <c r="D117" s="1636"/>
      <c r="E117" s="1623"/>
      <c r="F117" s="1636"/>
      <c r="G117" s="1636"/>
      <c r="H117" s="1623"/>
      <c r="I117" s="1625"/>
      <c r="J117" s="1624"/>
      <c r="K117" s="1623"/>
    </row>
    <row r="118" spans="1:11" ht="12.95" customHeight="1" x14ac:dyDescent="0.2">
      <c r="A118" s="427" t="s">
        <v>1779</v>
      </c>
      <c r="B118" s="478">
        <v>3002</v>
      </c>
      <c r="C118" s="1682"/>
      <c r="D118" s="1623"/>
      <c r="E118" s="1623"/>
      <c r="F118" s="1623"/>
      <c r="G118" s="1623"/>
      <c r="H118" s="1623"/>
      <c r="I118" s="1625"/>
      <c r="J118" s="1624"/>
      <c r="K118" s="1623"/>
    </row>
    <row r="119" spans="1:11" ht="12.95" customHeight="1" x14ac:dyDescent="0.2">
      <c r="A119" s="427" t="s">
        <v>1780</v>
      </c>
      <c r="B119" s="478">
        <v>3005</v>
      </c>
      <c r="C119" s="1682"/>
      <c r="D119" s="1623"/>
      <c r="E119" s="1623"/>
      <c r="F119" s="1623"/>
      <c r="G119" s="1623"/>
      <c r="H119" s="1623"/>
      <c r="I119" s="1625"/>
      <c r="J119" s="1624"/>
      <c r="K119" s="1623"/>
    </row>
    <row r="120" spans="1:11" ht="12.9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75" customHeight="1" thickBot="1" x14ac:dyDescent="0.25">
      <c r="A122" s="1455" t="s">
        <v>485</v>
      </c>
      <c r="B122" s="1462"/>
      <c r="C122" s="1683">
        <f t="shared" ref="C122:H122" si="5">SUM(C117:C121)</f>
        <v>814796</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95" customHeight="1" x14ac:dyDescent="0.2">
      <c r="A125" s="427" t="s">
        <v>861</v>
      </c>
      <c r="B125" s="481">
        <v>3100</v>
      </c>
      <c r="C125" s="1636"/>
      <c r="D125" s="1690"/>
      <c r="E125" s="1625"/>
      <c r="F125" s="1681"/>
      <c r="G125" s="1625"/>
      <c r="H125" s="1625"/>
      <c r="I125" s="1625"/>
      <c r="J125" s="1625"/>
      <c r="K125" s="1625"/>
    </row>
    <row r="126" spans="1:11" ht="12.95" customHeight="1" x14ac:dyDescent="0.2">
      <c r="A126" s="427" t="s">
        <v>1432</v>
      </c>
      <c r="B126" s="478">
        <v>3105</v>
      </c>
      <c r="C126" s="1623"/>
      <c r="D126" s="1690"/>
      <c r="E126" s="1625"/>
      <c r="F126" s="1623"/>
      <c r="G126" s="1625"/>
      <c r="H126" s="1625"/>
      <c r="I126" s="1625"/>
      <c r="J126" s="1625"/>
      <c r="K126" s="1625"/>
    </row>
    <row r="127" spans="1:11" ht="12.95" customHeight="1" x14ac:dyDescent="0.2">
      <c r="A127" s="427" t="s">
        <v>862</v>
      </c>
      <c r="B127" s="478">
        <v>3110</v>
      </c>
      <c r="C127" s="1682"/>
      <c r="D127" s="1623"/>
      <c r="E127" s="1625"/>
      <c r="F127" s="1623"/>
      <c r="G127" s="1625"/>
      <c r="H127" s="1625"/>
      <c r="I127" s="1625"/>
      <c r="J127" s="1625"/>
      <c r="K127" s="1625"/>
    </row>
    <row r="128" spans="1:11" ht="12.95" customHeight="1" x14ac:dyDescent="0.2">
      <c r="A128" s="427" t="s">
        <v>105</v>
      </c>
      <c r="B128" s="478">
        <v>3120</v>
      </c>
      <c r="C128" s="1623">
        <v>74082</v>
      </c>
      <c r="D128" s="1690"/>
      <c r="E128" s="1625"/>
      <c r="F128" s="1623"/>
      <c r="G128" s="1625"/>
      <c r="H128" s="1625"/>
      <c r="I128" s="1625"/>
      <c r="J128" s="1625"/>
      <c r="K128" s="1625"/>
    </row>
    <row r="129" spans="1:11" ht="12.95" customHeight="1" x14ac:dyDescent="0.2">
      <c r="A129" s="427" t="s">
        <v>1433</v>
      </c>
      <c r="B129" s="478">
        <v>3130</v>
      </c>
      <c r="C129" s="1623"/>
      <c r="D129" s="1690"/>
      <c r="E129" s="1625"/>
      <c r="F129" s="1623"/>
      <c r="G129" s="1625"/>
      <c r="H129" s="1625"/>
      <c r="I129" s="1625"/>
      <c r="J129" s="1625"/>
      <c r="K129" s="1625"/>
    </row>
    <row r="130" spans="1:11" ht="12.95" customHeight="1" x14ac:dyDescent="0.2">
      <c r="A130" s="427" t="s">
        <v>136</v>
      </c>
      <c r="B130" s="478">
        <v>3145</v>
      </c>
      <c r="C130" s="1623"/>
      <c r="D130" s="1690"/>
      <c r="E130" s="1625"/>
      <c r="F130" s="1623"/>
      <c r="G130" s="1625"/>
      <c r="H130" s="1625"/>
      <c r="I130" s="1625"/>
      <c r="J130" s="1625"/>
      <c r="K130" s="1625"/>
    </row>
    <row r="131" spans="1:11" ht="12.95" customHeight="1" x14ac:dyDescent="0.2">
      <c r="A131" s="427" t="s">
        <v>66</v>
      </c>
      <c r="B131" s="478">
        <v>3199</v>
      </c>
      <c r="C131" s="1682"/>
      <c r="D131" s="1624"/>
      <c r="E131" s="1625"/>
      <c r="F131" s="1623"/>
      <c r="G131" s="1625"/>
      <c r="H131" s="1625"/>
      <c r="I131" s="1625"/>
      <c r="J131" s="1625"/>
      <c r="K131" s="1625"/>
    </row>
    <row r="132" spans="1:11" ht="12.95" customHeight="1" thickBot="1" x14ac:dyDescent="0.25">
      <c r="A132" s="1455" t="s">
        <v>1025</v>
      </c>
      <c r="B132" s="1463"/>
      <c r="C132" s="1683">
        <f>SUM(C125:C131)</f>
        <v>74082</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95" customHeight="1" x14ac:dyDescent="0.2">
      <c r="A135" s="427" t="s">
        <v>664</v>
      </c>
      <c r="B135" s="478">
        <v>3220</v>
      </c>
      <c r="C135" s="1682"/>
      <c r="D135" s="1623"/>
      <c r="E135" s="1690"/>
      <c r="F135" s="1625"/>
      <c r="G135" s="1624"/>
      <c r="H135" s="1625"/>
      <c r="I135" s="1625"/>
      <c r="J135" s="1625"/>
      <c r="K135" s="1625"/>
    </row>
    <row r="136" spans="1:11" ht="12.95" customHeight="1" x14ac:dyDescent="0.2">
      <c r="A136" s="427" t="s">
        <v>247</v>
      </c>
      <c r="B136" s="478">
        <v>3225</v>
      </c>
      <c r="C136" s="1682"/>
      <c r="D136" s="1623"/>
      <c r="E136" s="1690"/>
      <c r="F136" s="1625"/>
      <c r="G136" s="1624"/>
      <c r="H136" s="1625"/>
      <c r="I136" s="1625"/>
      <c r="J136" s="1625"/>
      <c r="K136" s="1625"/>
    </row>
    <row r="137" spans="1:11" ht="12.95" customHeight="1" x14ac:dyDescent="0.2">
      <c r="A137" s="427" t="s">
        <v>596</v>
      </c>
      <c r="B137" s="478">
        <v>3235</v>
      </c>
      <c r="C137" s="1648"/>
      <c r="D137" s="1624"/>
      <c r="E137" s="1690"/>
      <c r="F137" s="1625"/>
      <c r="G137" s="1624"/>
      <c r="H137" s="1625"/>
      <c r="I137" s="1625"/>
      <c r="J137" s="1625"/>
      <c r="K137" s="1625"/>
    </row>
    <row r="138" spans="1:11" ht="12.95" customHeight="1" x14ac:dyDescent="0.2">
      <c r="A138" s="427" t="s">
        <v>597</v>
      </c>
      <c r="B138" s="478">
        <v>3240</v>
      </c>
      <c r="C138" s="1648"/>
      <c r="D138" s="1624"/>
      <c r="E138" s="1690"/>
      <c r="F138" s="1625"/>
      <c r="G138" s="1624"/>
      <c r="H138" s="1625"/>
      <c r="I138" s="1625"/>
      <c r="J138" s="1625"/>
      <c r="K138" s="1625"/>
    </row>
    <row r="139" spans="1:11" ht="12.95" customHeight="1" x14ac:dyDescent="0.2">
      <c r="A139" s="427" t="s">
        <v>598</v>
      </c>
      <c r="B139" s="478">
        <v>3270</v>
      </c>
      <c r="C139" s="1648"/>
      <c r="D139" s="1624"/>
      <c r="E139" s="1690"/>
      <c r="F139" s="1625"/>
      <c r="G139" s="1624"/>
      <c r="H139" s="1625"/>
      <c r="I139" s="1625"/>
      <c r="J139" s="1625"/>
      <c r="K139" s="1625"/>
    </row>
    <row r="140" spans="1:11" ht="12.95" customHeight="1" x14ac:dyDescent="0.2">
      <c r="A140" s="427" t="s">
        <v>67</v>
      </c>
      <c r="B140" s="478">
        <v>3299</v>
      </c>
      <c r="C140" s="1682"/>
      <c r="D140" s="1623"/>
      <c r="E140" s="1690"/>
      <c r="F140" s="1632"/>
      <c r="G140" s="1624"/>
      <c r="H140" s="1625"/>
      <c r="I140" s="1625"/>
      <c r="J140" s="1625"/>
      <c r="K140" s="1625"/>
    </row>
    <row r="141" spans="1:11" ht="12.9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95" customHeight="1" x14ac:dyDescent="0.2">
      <c r="A143" s="427" t="s">
        <v>600</v>
      </c>
      <c r="B143" s="478">
        <v>3305</v>
      </c>
      <c r="C143" s="1623"/>
      <c r="D143" s="1625"/>
      <c r="E143" s="1690"/>
      <c r="F143" s="1625"/>
      <c r="G143" s="1623"/>
      <c r="H143" s="1625"/>
      <c r="I143" s="1625"/>
      <c r="J143" s="1625"/>
      <c r="K143" s="1625"/>
    </row>
    <row r="144" spans="1:11" ht="12.9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95" customHeight="1" thickTop="1" x14ac:dyDescent="0.2">
      <c r="A146" s="1313" t="s">
        <v>1049</v>
      </c>
      <c r="B146" s="482">
        <v>3360</v>
      </c>
      <c r="C146" s="1696">
        <v>1613</v>
      </c>
      <c r="D146" s="1697"/>
      <c r="E146" s="1659"/>
      <c r="F146" s="1625"/>
      <c r="G146" s="1698"/>
      <c r="H146" s="1625"/>
      <c r="I146" s="1625"/>
      <c r="J146" s="1625"/>
      <c r="K146" s="1625"/>
    </row>
    <row r="147" spans="1:11" ht="12.95" customHeight="1" thickBot="1" x14ac:dyDescent="0.25">
      <c r="A147" s="1314" t="s">
        <v>916</v>
      </c>
      <c r="B147" s="483">
        <v>3365</v>
      </c>
      <c r="C147" s="1699"/>
      <c r="D147" s="1678"/>
      <c r="E147" s="1690"/>
      <c r="F147" s="1625"/>
      <c r="G147" s="1678"/>
      <c r="H147" s="1625"/>
      <c r="I147" s="1625"/>
      <c r="J147" s="1625"/>
      <c r="K147" s="1625"/>
    </row>
    <row r="148" spans="1:11" ht="12.95" customHeight="1" thickTop="1" thickBot="1" x14ac:dyDescent="0.25">
      <c r="A148" s="1315" t="s">
        <v>137</v>
      </c>
      <c r="B148" s="484">
        <v>3370</v>
      </c>
      <c r="C148" s="1699"/>
      <c r="D148" s="1699"/>
      <c r="E148" s="1659"/>
      <c r="F148" s="1625"/>
      <c r="G148" s="1625"/>
      <c r="H148" s="1625"/>
      <c r="I148" s="1625"/>
      <c r="J148" s="1625"/>
      <c r="K148" s="1625"/>
    </row>
    <row r="149" spans="1:11" ht="12.95" customHeight="1" thickTop="1" thickBot="1" x14ac:dyDescent="0.25">
      <c r="A149" s="1315" t="s">
        <v>762</v>
      </c>
      <c r="B149" s="484">
        <v>3410</v>
      </c>
      <c r="C149" s="1700"/>
      <c r="D149" s="1701"/>
      <c r="E149" s="1702"/>
      <c r="F149" s="1676"/>
      <c r="G149" s="1676"/>
      <c r="H149" s="1676"/>
      <c r="I149" s="1676"/>
      <c r="J149" s="1676"/>
      <c r="K149" s="1676"/>
    </row>
    <row r="150" spans="1:11" ht="12.9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95" customHeight="1" x14ac:dyDescent="0.2">
      <c r="A152" s="427" t="s">
        <v>1434</v>
      </c>
      <c r="B152" s="478">
        <v>3500</v>
      </c>
      <c r="C152" s="1682"/>
      <c r="D152" s="1623"/>
      <c r="E152" s="1690"/>
      <c r="F152" s="1623">
        <v>3634</v>
      </c>
      <c r="G152" s="1624"/>
      <c r="H152" s="1625"/>
      <c r="I152" s="1625"/>
      <c r="J152" s="1625"/>
      <c r="K152" s="1625"/>
    </row>
    <row r="153" spans="1:11" ht="12.95" customHeight="1" x14ac:dyDescent="0.2">
      <c r="A153" s="427" t="s">
        <v>1050</v>
      </c>
      <c r="B153" s="478">
        <v>3510</v>
      </c>
      <c r="C153" s="1682"/>
      <c r="D153" s="1623"/>
      <c r="E153" s="1690"/>
      <c r="F153" s="1623">
        <v>57755</v>
      </c>
      <c r="G153" s="1624"/>
      <c r="H153" s="1625"/>
      <c r="I153" s="1625"/>
      <c r="J153" s="1625"/>
      <c r="K153" s="1625"/>
    </row>
    <row r="154" spans="1:11" ht="12.95" customHeight="1" x14ac:dyDescent="0.2">
      <c r="A154" s="427" t="s">
        <v>69</v>
      </c>
      <c r="B154" s="478">
        <v>3599</v>
      </c>
      <c r="C154" s="1682"/>
      <c r="D154" s="1623"/>
      <c r="E154" s="1690"/>
      <c r="F154" s="1623"/>
      <c r="G154" s="1624"/>
      <c r="H154" s="1625"/>
      <c r="I154" s="1625"/>
      <c r="J154" s="1625"/>
      <c r="K154" s="1625"/>
    </row>
    <row r="155" spans="1:11" ht="12.95" customHeight="1" thickBot="1" x14ac:dyDescent="0.25">
      <c r="A155" s="1455" t="s">
        <v>94</v>
      </c>
      <c r="B155" s="1463"/>
      <c r="C155" s="1683">
        <f>SUM(C152:C154)</f>
        <v>0</v>
      </c>
      <c r="D155" s="1683">
        <f>SUM(D152:D154)</f>
        <v>0</v>
      </c>
      <c r="E155" s="1690"/>
      <c r="F155" s="1683">
        <f>SUM(F152:F154)</f>
        <v>61389</v>
      </c>
      <c r="G155" s="1683">
        <f>SUM(G152:G154)</f>
        <v>0</v>
      </c>
      <c r="H155" s="1625"/>
      <c r="I155" s="1625"/>
      <c r="J155" s="1625"/>
      <c r="K155" s="1625"/>
    </row>
    <row r="156" spans="1:11" ht="12.95" customHeight="1" thickTop="1" thickBot="1" x14ac:dyDescent="0.25">
      <c r="A156" s="1315" t="s">
        <v>377</v>
      </c>
      <c r="B156" s="484">
        <v>3610</v>
      </c>
      <c r="C156" s="1701"/>
      <c r="D156" s="1625"/>
      <c r="E156" s="1659"/>
      <c r="F156" s="1625"/>
      <c r="G156" s="1625"/>
      <c r="H156" s="1625"/>
      <c r="I156" s="1625"/>
      <c r="J156" s="1625"/>
      <c r="K156" s="1625"/>
    </row>
    <row r="157" spans="1:11" ht="12.95" customHeight="1" thickTop="1" thickBot="1" x14ac:dyDescent="0.25">
      <c r="A157" s="1315" t="s">
        <v>50</v>
      </c>
      <c r="B157" s="484">
        <v>3660</v>
      </c>
      <c r="C157" s="1699"/>
      <c r="D157" s="1703"/>
      <c r="E157" s="1690"/>
      <c r="F157" s="1703"/>
      <c r="G157" s="1703"/>
      <c r="H157" s="1625"/>
      <c r="I157" s="1625"/>
      <c r="J157" s="1625"/>
      <c r="K157" s="1625"/>
    </row>
    <row r="158" spans="1:11" ht="12.95" customHeight="1" thickTop="1" thickBot="1" x14ac:dyDescent="0.25">
      <c r="A158" s="1315" t="s">
        <v>993</v>
      </c>
      <c r="B158" s="484">
        <v>3695</v>
      </c>
      <c r="C158" s="1701"/>
      <c r="D158" s="1625"/>
      <c r="E158" s="1690"/>
      <c r="F158" s="1701"/>
      <c r="G158" s="1701"/>
      <c r="H158" s="1625"/>
      <c r="I158" s="1625"/>
      <c r="J158" s="1625"/>
      <c r="K158" s="1625"/>
    </row>
    <row r="159" spans="1:11" ht="12.95" customHeight="1" thickTop="1" thickBot="1" x14ac:dyDescent="0.25">
      <c r="A159" s="1315" t="s">
        <v>1044</v>
      </c>
      <c r="B159" s="484">
        <v>3705</v>
      </c>
      <c r="C159" s="1701">
        <v>221897</v>
      </c>
      <c r="D159" s="1703"/>
      <c r="E159" s="1690"/>
      <c r="F159" s="1701"/>
      <c r="G159" s="1701"/>
      <c r="H159" s="1625"/>
      <c r="I159" s="1625"/>
      <c r="J159" s="1625"/>
      <c r="K159" s="1625"/>
    </row>
    <row r="160" spans="1:11" ht="12.95" customHeight="1" thickTop="1" thickBot="1" x14ac:dyDescent="0.25">
      <c r="A160" s="1315" t="s">
        <v>39</v>
      </c>
      <c r="B160" s="484">
        <v>3766</v>
      </c>
      <c r="C160" s="1701"/>
      <c r="D160" s="1703"/>
      <c r="E160" s="1690"/>
      <c r="F160" s="1701"/>
      <c r="G160" s="1677"/>
      <c r="H160" s="1625"/>
      <c r="I160" s="1625"/>
      <c r="J160" s="1625"/>
      <c r="K160" s="1625"/>
    </row>
    <row r="161" spans="1:11" ht="12.95" customHeight="1" thickTop="1" thickBot="1" x14ac:dyDescent="0.25">
      <c r="A161" s="1315" t="s">
        <v>978</v>
      </c>
      <c r="B161" s="484">
        <v>3767</v>
      </c>
      <c r="C161" s="1701"/>
      <c r="D161" s="1677"/>
      <c r="E161" s="1690"/>
      <c r="F161" s="1677"/>
      <c r="G161" s="1677"/>
      <c r="H161" s="1625"/>
      <c r="I161" s="1625"/>
      <c r="J161" s="1625"/>
      <c r="K161" s="1625"/>
    </row>
    <row r="162" spans="1:11" ht="12.95" customHeight="1" thickTop="1" thickBot="1" x14ac:dyDescent="0.25">
      <c r="A162" s="1315" t="s">
        <v>979</v>
      </c>
      <c r="B162" s="484">
        <v>3775</v>
      </c>
      <c r="C162" s="1701"/>
      <c r="D162" s="1699"/>
      <c r="E162" s="1676"/>
      <c r="F162" s="1699"/>
      <c r="G162" s="1678"/>
      <c r="H162" s="1676"/>
      <c r="I162" s="1625"/>
      <c r="J162" s="1625"/>
      <c r="K162" s="1676"/>
    </row>
    <row r="163" spans="1:11" ht="12.95" customHeight="1" thickTop="1" thickBot="1" x14ac:dyDescent="0.25">
      <c r="A163" s="1315" t="s">
        <v>1435</v>
      </c>
      <c r="B163" s="484">
        <v>3780</v>
      </c>
      <c r="C163" s="1677"/>
      <c r="D163" s="1676"/>
      <c r="E163" s="1677"/>
      <c r="F163" s="1677"/>
      <c r="G163" s="1677"/>
      <c r="H163" s="1677"/>
      <c r="I163" s="1625"/>
      <c r="J163" s="1625"/>
      <c r="K163" s="1677"/>
    </row>
    <row r="164" spans="1:11" ht="12.95" customHeight="1" thickTop="1" thickBot="1" x14ac:dyDescent="0.25">
      <c r="A164" s="1315" t="s">
        <v>853</v>
      </c>
      <c r="B164" s="484">
        <v>3815</v>
      </c>
      <c r="C164" s="1701"/>
      <c r="D164" s="1625"/>
      <c r="E164" s="1690"/>
      <c r="F164" s="1701"/>
      <c r="G164" s="1625"/>
      <c r="H164" s="1625"/>
      <c r="I164" s="1625"/>
      <c r="J164" s="1625"/>
      <c r="K164" s="1625"/>
    </row>
    <row r="165" spans="1:11" ht="12.95" customHeight="1" thickTop="1" thickBot="1" x14ac:dyDescent="0.25">
      <c r="A165" s="1315" t="s">
        <v>394</v>
      </c>
      <c r="B165" s="484">
        <v>3825</v>
      </c>
      <c r="C165" s="1701"/>
      <c r="D165" s="1625"/>
      <c r="E165" s="1690"/>
      <c r="F165" s="1701"/>
      <c r="G165" s="1625"/>
      <c r="H165" s="1625"/>
      <c r="I165" s="1625"/>
      <c r="J165" s="1625"/>
      <c r="K165" s="1625"/>
    </row>
    <row r="166" spans="1:11" ht="12.95" customHeight="1" thickTop="1" thickBot="1" x14ac:dyDescent="0.25">
      <c r="A166" s="1315" t="s">
        <v>345</v>
      </c>
      <c r="B166" s="484">
        <v>3920</v>
      </c>
      <c r="C166" s="1695"/>
      <c r="D166" s="1703"/>
      <c r="E166" s="1625"/>
      <c r="F166" s="1695"/>
      <c r="G166" s="1625"/>
      <c r="H166" s="1676"/>
      <c r="I166" s="1625"/>
      <c r="J166" s="1625"/>
      <c r="K166" s="1625"/>
    </row>
    <row r="167" spans="1:11" ht="12.95" customHeight="1" thickTop="1" thickBot="1" x14ac:dyDescent="0.25">
      <c r="A167" s="1315" t="s">
        <v>346</v>
      </c>
      <c r="B167" s="484">
        <v>3925</v>
      </c>
      <c r="C167" s="1667"/>
      <c r="D167" s="1701">
        <v>50000</v>
      </c>
      <c r="E167" s="1667"/>
      <c r="F167" s="1667"/>
      <c r="G167" s="1625"/>
      <c r="H167" s="1677"/>
      <c r="I167" s="1625"/>
      <c r="J167" s="1625"/>
      <c r="K167" s="1676"/>
    </row>
    <row r="168" spans="1:11" ht="14.25" thickTop="1" thickBot="1" x14ac:dyDescent="0.25">
      <c r="A168" s="1315" t="s">
        <v>70</v>
      </c>
      <c r="B168" s="484">
        <v>3999</v>
      </c>
      <c r="C168" s="1704">
        <v>750</v>
      </c>
      <c r="D168" s="1705"/>
      <c r="E168" s="1705"/>
      <c r="F168" s="1705"/>
      <c r="G168" s="1706"/>
      <c r="H168" s="1707"/>
      <c r="I168" s="1706"/>
      <c r="J168" s="1706"/>
      <c r="K168" s="1707"/>
    </row>
    <row r="169" spans="1:11" ht="12.95" customHeight="1" thickTop="1" thickBot="1" x14ac:dyDescent="0.25">
      <c r="A169" s="2202" t="s">
        <v>395</v>
      </c>
      <c r="B169" s="2203"/>
      <c r="C169" s="1708">
        <f t="shared" ref="C169:K169" si="6">SUM(C132,C141,C145,C146:C150,C155,C156:C167,C168)</f>
        <v>298342</v>
      </c>
      <c r="D169" s="1708">
        <f t="shared" si="6"/>
        <v>50000</v>
      </c>
      <c r="E169" s="1708">
        <f t="shared" si="6"/>
        <v>0</v>
      </c>
      <c r="F169" s="1708">
        <f t="shared" si="6"/>
        <v>61389</v>
      </c>
      <c r="G169" s="1708">
        <f t="shared" si="6"/>
        <v>0</v>
      </c>
      <c r="H169" s="1708">
        <f t="shared" si="6"/>
        <v>0</v>
      </c>
      <c r="I169" s="1708">
        <f t="shared" si="6"/>
        <v>0</v>
      </c>
      <c r="J169" s="1708">
        <f t="shared" si="6"/>
        <v>0</v>
      </c>
      <c r="K169" s="1674">
        <f t="shared" si="6"/>
        <v>0</v>
      </c>
    </row>
    <row r="170" spans="1:11" ht="12.95" customHeight="1" thickTop="1" thickBot="1" x14ac:dyDescent="0.25">
      <c r="A170" s="1455" t="s">
        <v>396</v>
      </c>
      <c r="B170" s="1459" t="s">
        <v>571</v>
      </c>
      <c r="C170" s="1691">
        <f t="shared" ref="C170:K170" si="7">SUM(C122,C169)</f>
        <v>1113138</v>
      </c>
      <c r="D170" s="1691">
        <f t="shared" si="7"/>
        <v>50000</v>
      </c>
      <c r="E170" s="1691">
        <f t="shared" si="7"/>
        <v>0</v>
      </c>
      <c r="F170" s="1691">
        <f t="shared" si="7"/>
        <v>61389</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4" t="s">
        <v>1478</v>
      </c>
      <c r="B172" s="2205"/>
      <c r="C172" s="1666"/>
      <c r="D172" s="1666"/>
      <c r="E172" s="1659"/>
      <c r="F172" s="1625"/>
      <c r="G172" s="1625"/>
      <c r="H172" s="1625"/>
      <c r="I172" s="1625"/>
      <c r="J172" s="1625"/>
      <c r="K172" s="1625"/>
    </row>
    <row r="173" spans="1:11" ht="12.75"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08" t="s">
        <v>1649</v>
      </c>
      <c r="B175" s="2209"/>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2" t="s">
        <v>1648</v>
      </c>
      <c r="B176" s="2213"/>
      <c r="C176" s="1709"/>
      <c r="D176" s="1710"/>
      <c r="E176" s="1711"/>
      <c r="F176" s="1712"/>
      <c r="G176" s="1712"/>
      <c r="H176" s="1712"/>
      <c r="I176" s="1712"/>
      <c r="J176" s="1712"/>
      <c r="K176" s="1712"/>
    </row>
    <row r="177" spans="1:11" ht="12.95" customHeight="1" x14ac:dyDescent="0.2">
      <c r="A177" s="427" t="s">
        <v>1038</v>
      </c>
      <c r="B177" s="429">
        <v>4045</v>
      </c>
      <c r="C177" s="1682"/>
      <c r="D177" s="1625"/>
      <c r="E177" s="1690"/>
      <c r="F177" s="1625"/>
      <c r="G177" s="1625"/>
      <c r="H177" s="1625"/>
      <c r="I177" s="1625"/>
      <c r="J177" s="1625"/>
      <c r="K177" s="1625"/>
    </row>
    <row r="178" spans="1:11" ht="12.95" customHeight="1" x14ac:dyDescent="0.2">
      <c r="A178" s="427" t="s">
        <v>1039</v>
      </c>
      <c r="B178" s="429">
        <v>4050</v>
      </c>
      <c r="C178" s="1682"/>
      <c r="D178" s="1624"/>
      <c r="E178" s="1690"/>
      <c r="F178" s="1625"/>
      <c r="G178" s="1625"/>
      <c r="H178" s="1624"/>
      <c r="I178" s="1625"/>
      <c r="J178" s="1625"/>
      <c r="K178" s="1625"/>
    </row>
    <row r="179" spans="1:11" ht="12.9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10" t="s">
        <v>780</v>
      </c>
      <c r="B181" s="2211"/>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06" t="s">
        <v>1783</v>
      </c>
      <c r="B182" s="2207"/>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95" customHeight="1" x14ac:dyDescent="0.2">
      <c r="A184" s="427" t="s">
        <v>1589</v>
      </c>
      <c r="B184" s="429">
        <v>4100</v>
      </c>
      <c r="C184" s="1663"/>
      <c r="D184" s="1636"/>
      <c r="E184" s="1690"/>
      <c r="F184" s="1636"/>
      <c r="G184" s="1636"/>
      <c r="H184" s="1625"/>
      <c r="I184" s="1625"/>
      <c r="J184" s="1625"/>
      <c r="K184" s="1625"/>
    </row>
    <row r="185" spans="1:11" ht="12.95" customHeight="1" x14ac:dyDescent="0.2">
      <c r="A185" s="427" t="s">
        <v>1590</v>
      </c>
      <c r="B185" s="429">
        <v>4105</v>
      </c>
      <c r="C185" s="1682"/>
      <c r="D185" s="1623"/>
      <c r="E185" s="1690"/>
      <c r="F185" s="1623"/>
      <c r="G185" s="1623"/>
      <c r="H185" s="1625"/>
      <c r="I185" s="1625"/>
      <c r="J185" s="1625"/>
      <c r="K185" s="1625"/>
    </row>
    <row r="186" spans="1:11" ht="12.95" customHeight="1" x14ac:dyDescent="0.2">
      <c r="A186" s="427" t="s">
        <v>1592</v>
      </c>
      <c r="B186" s="429">
        <v>4107</v>
      </c>
      <c r="C186" s="1682"/>
      <c r="D186" s="1623"/>
      <c r="E186" s="1690"/>
      <c r="F186" s="1623"/>
      <c r="G186" s="1623"/>
      <c r="H186" s="1625"/>
      <c r="I186" s="1625"/>
      <c r="J186" s="1625"/>
      <c r="K186" s="1625"/>
    </row>
    <row r="187" spans="1:11" ht="12.95" customHeight="1" x14ac:dyDescent="0.2">
      <c r="A187" s="427" t="s">
        <v>1591</v>
      </c>
      <c r="B187" s="429">
        <v>4199</v>
      </c>
      <c r="C187" s="1682"/>
      <c r="D187" s="1623"/>
      <c r="E187" s="1690"/>
      <c r="F187" s="1623"/>
      <c r="G187" s="1623"/>
      <c r="H187" s="1625"/>
      <c r="I187" s="1625"/>
      <c r="J187" s="1625"/>
      <c r="K187" s="1625"/>
    </row>
    <row r="188" spans="1:11" ht="12.9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95" customHeight="1" x14ac:dyDescent="0.2">
      <c r="A191" s="427" t="s">
        <v>1051</v>
      </c>
      <c r="B191" s="429">
        <v>4210</v>
      </c>
      <c r="C191" s="1623">
        <v>73568</v>
      </c>
      <c r="D191" s="1625"/>
      <c r="E191" s="1690"/>
      <c r="F191" s="1625"/>
      <c r="G191" s="1714"/>
      <c r="H191" s="1625"/>
      <c r="I191" s="1625"/>
      <c r="J191" s="1625"/>
      <c r="K191" s="1625"/>
    </row>
    <row r="192" spans="1:11" ht="12.95" customHeight="1" x14ac:dyDescent="0.2">
      <c r="A192" s="427" t="s">
        <v>1040</v>
      </c>
      <c r="B192" s="429">
        <v>4215</v>
      </c>
      <c r="C192" s="1682"/>
      <c r="D192" s="1625"/>
      <c r="E192" s="1690"/>
      <c r="F192" s="1625"/>
      <c r="G192" s="1714"/>
      <c r="H192" s="1625"/>
      <c r="I192" s="1625"/>
      <c r="J192" s="1625"/>
      <c r="K192" s="1625"/>
    </row>
    <row r="193" spans="1:11" ht="12.95" customHeight="1" x14ac:dyDescent="0.2">
      <c r="A193" s="427" t="s">
        <v>1052</v>
      </c>
      <c r="B193" s="429">
        <v>4220</v>
      </c>
      <c r="C193" s="1682">
        <v>37152</v>
      </c>
      <c r="D193" s="1625"/>
      <c r="E193" s="1690"/>
      <c r="F193" s="1625"/>
      <c r="G193" s="1714"/>
      <c r="H193" s="1625"/>
      <c r="I193" s="1625"/>
      <c r="J193" s="1625"/>
      <c r="K193" s="1625"/>
    </row>
    <row r="194" spans="1:11" ht="12.95" customHeight="1" x14ac:dyDescent="0.2">
      <c r="A194" s="427" t="s">
        <v>1437</v>
      </c>
      <c r="B194" s="429">
        <v>4225</v>
      </c>
      <c r="C194" s="1682"/>
      <c r="D194" s="1625"/>
      <c r="E194" s="1690"/>
      <c r="F194" s="1625"/>
      <c r="G194" s="1714"/>
      <c r="H194" s="1625"/>
      <c r="I194" s="1625"/>
      <c r="J194" s="1625"/>
      <c r="K194" s="1625"/>
    </row>
    <row r="195" spans="1:11" ht="12.95" customHeight="1" x14ac:dyDescent="0.2">
      <c r="A195" s="427" t="s">
        <v>1438</v>
      </c>
      <c r="B195" s="429">
        <v>4226</v>
      </c>
      <c r="C195" s="1682"/>
      <c r="D195" s="1625"/>
      <c r="E195" s="1690"/>
      <c r="F195" s="1625"/>
      <c r="G195" s="1714"/>
      <c r="H195" s="1625"/>
      <c r="I195" s="1625"/>
      <c r="J195" s="1625"/>
      <c r="K195" s="1625"/>
    </row>
    <row r="196" spans="1:11" ht="12.95" customHeight="1" x14ac:dyDescent="0.2">
      <c r="A196" s="427" t="s">
        <v>787</v>
      </c>
      <c r="B196" s="429">
        <v>4240</v>
      </c>
      <c r="C196" s="1648"/>
      <c r="D196" s="1625"/>
      <c r="E196" s="1690"/>
      <c r="F196" s="1625"/>
      <c r="G196" s="1715"/>
      <c r="H196" s="1625"/>
      <c r="I196" s="1625"/>
      <c r="J196" s="1625"/>
      <c r="K196" s="1625"/>
    </row>
    <row r="197" spans="1:11" ht="12.95" customHeight="1" x14ac:dyDescent="0.2">
      <c r="A197" s="427" t="s">
        <v>71</v>
      </c>
      <c r="B197" s="429">
        <v>4299</v>
      </c>
      <c r="C197" s="1682"/>
      <c r="D197" s="1625"/>
      <c r="E197" s="1690"/>
      <c r="F197" s="1625"/>
      <c r="G197" s="1714"/>
      <c r="H197" s="1625"/>
      <c r="I197" s="1625"/>
      <c r="J197" s="1625"/>
      <c r="K197" s="1625"/>
    </row>
    <row r="198" spans="1:11" ht="12.95" customHeight="1" thickBot="1" x14ac:dyDescent="0.25">
      <c r="A198" s="1455" t="s">
        <v>544</v>
      </c>
      <c r="B198" s="1456"/>
      <c r="C198" s="1644">
        <f>SUM(C190:C197)</f>
        <v>110720</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95" customHeight="1" x14ac:dyDescent="0.2">
      <c r="A200" s="427" t="s">
        <v>912</v>
      </c>
      <c r="B200" s="429">
        <v>4300</v>
      </c>
      <c r="C200" s="1623">
        <v>102927</v>
      </c>
      <c r="D200" s="1623"/>
      <c r="E200" s="1625"/>
      <c r="F200" s="1623"/>
      <c r="G200" s="1623"/>
      <c r="H200" s="1625"/>
      <c r="I200" s="1625"/>
      <c r="J200" s="1625"/>
      <c r="K200" s="1625"/>
    </row>
    <row r="201" spans="1:11" ht="12.95" customHeight="1" x14ac:dyDescent="0.2">
      <c r="A201" s="427" t="s">
        <v>913</v>
      </c>
      <c r="B201" s="429">
        <v>4305</v>
      </c>
      <c r="C201" s="1682"/>
      <c r="D201" s="1623"/>
      <c r="E201" s="1625"/>
      <c r="F201" s="1623"/>
      <c r="G201" s="1623"/>
      <c r="H201" s="1625"/>
      <c r="I201" s="1625"/>
      <c r="J201" s="1625"/>
      <c r="K201" s="1625"/>
    </row>
    <row r="202" spans="1:11" ht="12.95" customHeight="1" x14ac:dyDescent="0.2">
      <c r="A202" s="427" t="s">
        <v>1024</v>
      </c>
      <c r="B202" s="429">
        <v>4340</v>
      </c>
      <c r="C202" s="1682"/>
      <c r="D202" s="1623"/>
      <c r="E202" s="1625"/>
      <c r="F202" s="1623"/>
      <c r="G202" s="1623"/>
      <c r="H202" s="1625"/>
      <c r="I202" s="1625"/>
      <c r="J202" s="1625"/>
      <c r="K202" s="1625"/>
    </row>
    <row r="203" spans="1:11" ht="12.95" customHeight="1" x14ac:dyDescent="0.2">
      <c r="A203" s="427" t="s">
        <v>72</v>
      </c>
      <c r="B203" s="429">
        <v>4399</v>
      </c>
      <c r="C203" s="1682"/>
      <c r="D203" s="1623"/>
      <c r="E203" s="1625"/>
      <c r="F203" s="1623"/>
      <c r="G203" s="1623"/>
      <c r="H203" s="1625"/>
      <c r="I203" s="1625"/>
      <c r="J203" s="1625"/>
      <c r="K203" s="1625"/>
    </row>
    <row r="204" spans="1:11" ht="12.95" customHeight="1" thickBot="1" x14ac:dyDescent="0.25">
      <c r="A204" s="1455" t="s">
        <v>397</v>
      </c>
      <c r="B204" s="1456"/>
      <c r="C204" s="1683">
        <f>SUM(C200:C203)</f>
        <v>102927</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95" customHeight="1" x14ac:dyDescent="0.2">
      <c r="A206" s="427" t="s">
        <v>754</v>
      </c>
      <c r="B206" s="429">
        <v>4400</v>
      </c>
      <c r="C206" s="1682"/>
      <c r="D206" s="1623"/>
      <c r="E206" s="1625"/>
      <c r="F206" s="1623"/>
      <c r="G206" s="1623"/>
      <c r="H206" s="1625"/>
      <c r="I206" s="1625"/>
      <c r="J206" s="1625"/>
      <c r="K206" s="1625"/>
    </row>
    <row r="207" spans="1:11" ht="12.95" customHeight="1" x14ac:dyDescent="0.2">
      <c r="A207" s="427" t="s">
        <v>1439</v>
      </c>
      <c r="B207" s="429">
        <v>4421</v>
      </c>
      <c r="C207" s="1682"/>
      <c r="D207" s="1623"/>
      <c r="E207" s="1625"/>
      <c r="F207" s="1623"/>
      <c r="G207" s="1623"/>
      <c r="H207" s="1625"/>
      <c r="I207" s="1625"/>
      <c r="J207" s="1625"/>
      <c r="K207" s="1625"/>
    </row>
    <row r="208" spans="1:11" ht="12.95" customHeight="1" x14ac:dyDescent="0.2">
      <c r="A208" s="427" t="s">
        <v>73</v>
      </c>
      <c r="B208" s="429">
        <v>4499</v>
      </c>
      <c r="C208" s="1682"/>
      <c r="D208" s="1623"/>
      <c r="E208" s="1625"/>
      <c r="F208" s="1623"/>
      <c r="G208" s="1623"/>
      <c r="H208" s="1625"/>
      <c r="I208" s="1625"/>
      <c r="J208" s="1625"/>
      <c r="K208" s="1625"/>
    </row>
    <row r="209" spans="1:11" ht="12.9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95" customHeight="1" x14ac:dyDescent="0.2">
      <c r="A211" s="427" t="s">
        <v>1045</v>
      </c>
      <c r="B211" s="429">
        <v>4600</v>
      </c>
      <c r="C211" s="1682"/>
      <c r="D211" s="1623"/>
      <c r="E211" s="1625"/>
      <c r="F211" s="1623"/>
      <c r="G211" s="1623"/>
      <c r="H211" s="1625"/>
      <c r="I211" s="1625"/>
      <c r="J211" s="1625"/>
      <c r="K211" s="1625"/>
    </row>
    <row r="212" spans="1:11" ht="12.95" customHeight="1" x14ac:dyDescent="0.2">
      <c r="A212" s="427" t="s">
        <v>1046</v>
      </c>
      <c r="B212" s="429">
        <v>4605</v>
      </c>
      <c r="C212" s="1682"/>
      <c r="D212" s="1623"/>
      <c r="E212" s="1625"/>
      <c r="F212" s="1623"/>
      <c r="G212" s="1623"/>
      <c r="H212" s="1625"/>
      <c r="I212" s="1625"/>
      <c r="J212" s="1625"/>
      <c r="K212" s="1625"/>
    </row>
    <row r="213" spans="1:11" ht="12.95" customHeight="1" x14ac:dyDescent="0.2">
      <c r="A213" s="427" t="s">
        <v>1440</v>
      </c>
      <c r="B213" s="475">
        <v>4620</v>
      </c>
      <c r="C213" s="1682"/>
      <c r="D213" s="1623"/>
      <c r="E213" s="1625"/>
      <c r="F213" s="1623"/>
      <c r="G213" s="1623"/>
      <c r="H213" s="1625"/>
      <c r="I213" s="1625"/>
      <c r="J213" s="1625"/>
      <c r="K213" s="1625"/>
    </row>
    <row r="214" spans="1:11" ht="12.95" customHeight="1" x14ac:dyDescent="0.2">
      <c r="A214" s="427" t="s">
        <v>1047</v>
      </c>
      <c r="B214" s="429">
        <v>4625</v>
      </c>
      <c r="C214" s="1682">
        <v>7409</v>
      </c>
      <c r="D214" s="1623"/>
      <c r="E214" s="1625"/>
      <c r="F214" s="1623"/>
      <c r="G214" s="1623"/>
      <c r="H214" s="1625"/>
      <c r="I214" s="1625"/>
      <c r="J214" s="1625"/>
      <c r="K214" s="1625"/>
    </row>
    <row r="215" spans="1:11" ht="12.95" customHeight="1" x14ac:dyDescent="0.2">
      <c r="A215" s="427" t="s">
        <v>1048</v>
      </c>
      <c r="B215" s="429">
        <v>4630</v>
      </c>
      <c r="C215" s="1682"/>
      <c r="D215" s="1623"/>
      <c r="E215" s="1625"/>
      <c r="F215" s="1623"/>
      <c r="G215" s="1623"/>
      <c r="H215" s="1625"/>
      <c r="I215" s="1625"/>
      <c r="J215" s="1625"/>
      <c r="K215" s="1625"/>
    </row>
    <row r="216" spans="1:11" ht="12.95" customHeight="1" x14ac:dyDescent="0.2">
      <c r="A216" s="1316" t="s">
        <v>74</v>
      </c>
      <c r="B216" s="475">
        <v>4699</v>
      </c>
      <c r="C216" s="1682"/>
      <c r="D216" s="1623"/>
      <c r="E216" s="1625"/>
      <c r="F216" s="1623"/>
      <c r="G216" s="1623"/>
      <c r="H216" s="1625"/>
      <c r="I216" s="1625"/>
      <c r="J216" s="1625"/>
      <c r="K216" s="1625"/>
    </row>
    <row r="217" spans="1:11" ht="12.95" customHeight="1" thickBot="1" x14ac:dyDescent="0.25">
      <c r="A217" s="1455" t="s">
        <v>444</v>
      </c>
      <c r="B217" s="1456"/>
      <c r="C217" s="1683">
        <f>SUM(C211:C216)</f>
        <v>7409</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95" customHeight="1" x14ac:dyDescent="0.2">
      <c r="A219" s="427" t="s">
        <v>782</v>
      </c>
      <c r="B219" s="429">
        <v>4770</v>
      </c>
      <c r="C219" s="1682"/>
      <c r="D219" s="1623"/>
      <c r="E219" s="1625"/>
      <c r="F219" s="1625"/>
      <c r="G219" s="1623"/>
      <c r="H219" s="1625"/>
      <c r="I219" s="1625"/>
      <c r="J219" s="1625"/>
      <c r="K219" s="1625"/>
    </row>
    <row r="220" spans="1:11" ht="12.95" customHeight="1" x14ac:dyDescent="0.2">
      <c r="A220" s="427" t="s">
        <v>67</v>
      </c>
      <c r="B220" s="429">
        <v>4799</v>
      </c>
      <c r="C220" s="1682"/>
      <c r="D220" s="1623"/>
      <c r="E220" s="1625"/>
      <c r="F220" s="1625"/>
      <c r="G220" s="1623"/>
      <c r="H220" s="1625"/>
      <c r="I220" s="1625"/>
      <c r="J220" s="1625"/>
      <c r="K220" s="1625"/>
    </row>
    <row r="221" spans="1:11" ht="12.9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95" customHeight="1" thickTop="1" thickBot="1" x14ac:dyDescent="0.25">
      <c r="A222" s="436" t="s">
        <v>752</v>
      </c>
      <c r="B222" s="435">
        <v>4810</v>
      </c>
      <c r="C222" s="1700"/>
      <c r="D222" s="1701"/>
      <c r="E222" s="1625"/>
      <c r="F222" s="1625"/>
      <c r="G222" s="1701"/>
      <c r="H222" s="1625"/>
      <c r="I222" s="1625"/>
      <c r="J222" s="1625"/>
      <c r="K222" s="1625"/>
    </row>
    <row r="223" spans="1:11" ht="12.95" customHeight="1" thickTop="1" x14ac:dyDescent="0.2">
      <c r="A223" s="436" t="s">
        <v>347</v>
      </c>
      <c r="B223" s="435">
        <v>4850</v>
      </c>
      <c r="C223" s="1648"/>
      <c r="D223" s="1624"/>
      <c r="E223" s="1624"/>
      <c r="F223" s="1624"/>
      <c r="G223" s="1624"/>
      <c r="H223" s="1624"/>
      <c r="I223" s="1625"/>
      <c r="J223" s="1624"/>
      <c r="K223" s="1624"/>
    </row>
    <row r="224" spans="1:11" ht="12.95" customHeight="1" x14ac:dyDescent="0.2">
      <c r="A224" s="436" t="s">
        <v>348</v>
      </c>
      <c r="B224" s="435">
        <v>4851</v>
      </c>
      <c r="C224" s="1648"/>
      <c r="D224" s="1624"/>
      <c r="E224" s="1625"/>
      <c r="F224" s="1629"/>
      <c r="G224" s="1624"/>
      <c r="H224" s="1625"/>
      <c r="I224" s="1625"/>
      <c r="J224" s="1625"/>
      <c r="K224" s="1625"/>
    </row>
    <row r="225" spans="1:11" ht="12.95" customHeight="1" x14ac:dyDescent="0.2">
      <c r="A225" s="436" t="s">
        <v>349</v>
      </c>
      <c r="B225" s="435">
        <v>4852</v>
      </c>
      <c r="C225" s="1648"/>
      <c r="D225" s="1624"/>
      <c r="E225" s="1624"/>
      <c r="F225" s="1624"/>
      <c r="G225" s="1624"/>
      <c r="H225" s="1624"/>
      <c r="I225" s="1625"/>
      <c r="J225" s="1624"/>
      <c r="K225" s="1624"/>
    </row>
    <row r="226" spans="1:11" ht="12.95" customHeight="1" x14ac:dyDescent="0.2">
      <c r="A226" s="436" t="s">
        <v>350</v>
      </c>
      <c r="B226" s="435">
        <v>4853</v>
      </c>
      <c r="C226" s="1648"/>
      <c r="D226" s="1624"/>
      <c r="E226" s="1624"/>
      <c r="F226" s="1624"/>
      <c r="G226" s="1624"/>
      <c r="H226" s="1624"/>
      <c r="I226" s="1625"/>
      <c r="J226" s="1624"/>
      <c r="K226" s="1624"/>
    </row>
    <row r="227" spans="1:11" ht="12.95" customHeight="1" x14ac:dyDescent="0.2">
      <c r="A227" s="436" t="s">
        <v>351</v>
      </c>
      <c r="B227" s="435">
        <v>4854</v>
      </c>
      <c r="C227" s="1648"/>
      <c r="D227" s="1624"/>
      <c r="E227" s="1624"/>
      <c r="F227" s="1624"/>
      <c r="G227" s="1624"/>
      <c r="H227" s="1624"/>
      <c r="I227" s="1625"/>
      <c r="J227" s="1624"/>
      <c r="K227" s="1624"/>
    </row>
    <row r="228" spans="1:11" ht="12.95" customHeight="1" x14ac:dyDescent="0.2">
      <c r="A228" s="436" t="s">
        <v>461</v>
      </c>
      <c r="B228" s="435">
        <v>4855</v>
      </c>
      <c r="C228" s="1648"/>
      <c r="D228" s="1624"/>
      <c r="E228" s="1624"/>
      <c r="F228" s="1624"/>
      <c r="G228" s="1624"/>
      <c r="H228" s="1624"/>
      <c r="I228" s="1625"/>
      <c r="J228" s="1624"/>
      <c r="K228" s="1624"/>
    </row>
    <row r="229" spans="1:11" ht="12.95" customHeight="1" x14ac:dyDescent="0.2">
      <c r="A229" s="436" t="s">
        <v>352</v>
      </c>
      <c r="B229" s="435">
        <v>4856</v>
      </c>
      <c r="C229" s="1648"/>
      <c r="D229" s="1624"/>
      <c r="E229" s="1624"/>
      <c r="F229" s="1624"/>
      <c r="G229" s="1624"/>
      <c r="H229" s="1624"/>
      <c r="I229" s="1625"/>
      <c r="J229" s="1624"/>
      <c r="K229" s="1624"/>
    </row>
    <row r="230" spans="1:11" ht="12.95" customHeight="1" x14ac:dyDescent="0.2">
      <c r="A230" s="436" t="s">
        <v>353</v>
      </c>
      <c r="B230" s="435">
        <v>4857</v>
      </c>
      <c r="C230" s="1648"/>
      <c r="D230" s="1624"/>
      <c r="E230" s="1624"/>
      <c r="F230" s="1624"/>
      <c r="G230" s="1624"/>
      <c r="H230" s="1624"/>
      <c r="I230" s="1625"/>
      <c r="J230" s="1624"/>
      <c r="K230" s="1624"/>
    </row>
    <row r="231" spans="1:11" ht="12.95" customHeight="1" x14ac:dyDescent="0.2">
      <c r="A231" s="436" t="s">
        <v>354</v>
      </c>
      <c r="B231" s="435">
        <v>4860</v>
      </c>
      <c r="C231" s="1648"/>
      <c r="D231" s="1624"/>
      <c r="E231" s="1624"/>
      <c r="F231" s="1624"/>
      <c r="G231" s="1624"/>
      <c r="H231" s="1624"/>
      <c r="I231" s="1625"/>
      <c r="J231" s="1624"/>
      <c r="K231" s="1624"/>
    </row>
    <row r="232" spans="1:11" ht="12.95" customHeight="1" x14ac:dyDescent="0.2">
      <c r="A232" s="436" t="s">
        <v>355</v>
      </c>
      <c r="B232" s="435">
        <v>4861</v>
      </c>
      <c r="C232" s="1648"/>
      <c r="D232" s="1624"/>
      <c r="E232" s="1624"/>
      <c r="F232" s="1624"/>
      <c r="G232" s="1624"/>
      <c r="H232" s="1624"/>
      <c r="I232" s="1625"/>
      <c r="J232" s="1624"/>
      <c r="K232" s="1624"/>
    </row>
    <row r="233" spans="1:11" ht="12.95" customHeight="1" x14ac:dyDescent="0.2">
      <c r="A233" s="436" t="s">
        <v>356</v>
      </c>
      <c r="B233" s="435">
        <v>4862</v>
      </c>
      <c r="C233" s="1648"/>
      <c r="D233" s="1624"/>
      <c r="E233" s="1630"/>
      <c r="F233" s="1624"/>
      <c r="G233" s="1624"/>
      <c r="H233" s="1630"/>
      <c r="I233" s="1625"/>
      <c r="J233" s="1630"/>
      <c r="K233" s="1630"/>
    </row>
    <row r="234" spans="1:11" ht="12.95" customHeight="1" x14ac:dyDescent="0.2">
      <c r="A234" s="436" t="s">
        <v>357</v>
      </c>
      <c r="B234" s="435">
        <v>4863</v>
      </c>
      <c r="C234" s="1648"/>
      <c r="D234" s="1624"/>
      <c r="E234" s="1625"/>
      <c r="F234" s="1630"/>
      <c r="G234" s="1673"/>
      <c r="H234" s="1625"/>
      <c r="I234" s="1625"/>
      <c r="J234" s="1625"/>
      <c r="K234" s="1625"/>
    </row>
    <row r="235" spans="1:11" ht="12.95" customHeight="1" x14ac:dyDescent="0.2">
      <c r="A235" s="436" t="s">
        <v>466</v>
      </c>
      <c r="B235" s="435">
        <v>4864</v>
      </c>
      <c r="C235" s="1648"/>
      <c r="D235" s="1624"/>
      <c r="E235" s="1624"/>
      <c r="F235" s="1624"/>
      <c r="G235" s="1624"/>
      <c r="H235" s="1624"/>
      <c r="I235" s="1625"/>
      <c r="J235" s="1624"/>
      <c r="K235" s="1624"/>
    </row>
    <row r="236" spans="1:11" ht="12.95" customHeight="1" x14ac:dyDescent="0.2">
      <c r="A236" s="436" t="s">
        <v>467</v>
      </c>
      <c r="B236" s="435">
        <v>4865</v>
      </c>
      <c r="C236" s="1648"/>
      <c r="D236" s="1624"/>
      <c r="E236" s="1624"/>
      <c r="F236" s="1624"/>
      <c r="G236" s="1624"/>
      <c r="H236" s="1624"/>
      <c r="I236" s="1625"/>
      <c r="J236" s="1624"/>
      <c r="K236" s="1624"/>
    </row>
    <row r="237" spans="1:11" ht="12.95" customHeight="1" x14ac:dyDescent="0.2">
      <c r="A237" s="436" t="s">
        <v>465</v>
      </c>
      <c r="B237" s="435">
        <v>4866</v>
      </c>
      <c r="C237" s="1648"/>
      <c r="D237" s="1624"/>
      <c r="E237" s="1624"/>
      <c r="F237" s="1624"/>
      <c r="G237" s="1624"/>
      <c r="H237" s="1624"/>
      <c r="I237" s="1625"/>
      <c r="J237" s="1624"/>
      <c r="K237" s="1624"/>
    </row>
    <row r="238" spans="1:11" ht="12.95" customHeight="1" x14ac:dyDescent="0.2">
      <c r="A238" s="436" t="s">
        <v>464</v>
      </c>
      <c r="B238" s="435">
        <v>4867</v>
      </c>
      <c r="C238" s="1648"/>
      <c r="D238" s="1624"/>
      <c r="E238" s="1624"/>
      <c r="F238" s="1624"/>
      <c r="G238" s="1624"/>
      <c r="H238" s="1624"/>
      <c r="I238" s="1625"/>
      <c r="J238" s="1624"/>
      <c r="K238" s="1624"/>
    </row>
    <row r="239" spans="1:11" ht="12.95" customHeight="1" x14ac:dyDescent="0.2">
      <c r="A239" s="436" t="s">
        <v>463</v>
      </c>
      <c r="B239" s="435">
        <v>4868</v>
      </c>
      <c r="C239" s="1648"/>
      <c r="D239" s="1624"/>
      <c r="E239" s="1624"/>
      <c r="F239" s="1624"/>
      <c r="G239" s="1624"/>
      <c r="H239" s="1624"/>
      <c r="I239" s="1625"/>
      <c r="J239" s="1624"/>
      <c r="K239" s="1624"/>
    </row>
    <row r="240" spans="1:11" ht="12.95" customHeight="1" x14ac:dyDescent="0.2">
      <c r="A240" s="436" t="s">
        <v>462</v>
      </c>
      <c r="B240" s="435">
        <v>4869</v>
      </c>
      <c r="C240" s="1648"/>
      <c r="D240" s="1624"/>
      <c r="E240" s="1624"/>
      <c r="F240" s="1624"/>
      <c r="G240" s="1624"/>
      <c r="H240" s="1624"/>
      <c r="I240" s="1625"/>
      <c r="J240" s="1624"/>
      <c r="K240" s="1624"/>
    </row>
    <row r="241" spans="1:11" ht="12.95" customHeight="1" x14ac:dyDescent="0.2">
      <c r="A241" s="436" t="s">
        <v>1120</v>
      </c>
      <c r="B241" s="435">
        <v>4870</v>
      </c>
      <c r="C241" s="1648"/>
      <c r="D241" s="1624"/>
      <c r="E241" s="1624"/>
      <c r="F241" s="1624"/>
      <c r="G241" s="1624"/>
      <c r="H241" s="1624"/>
      <c r="I241" s="1625"/>
      <c r="J241" s="1624"/>
      <c r="K241" s="1624"/>
    </row>
    <row r="242" spans="1:11" ht="12.95" customHeight="1" x14ac:dyDescent="0.2">
      <c r="A242" s="436" t="s">
        <v>783</v>
      </c>
      <c r="B242" s="435">
        <v>4871</v>
      </c>
      <c r="C242" s="1648"/>
      <c r="D242" s="1624"/>
      <c r="E242" s="1624"/>
      <c r="F242" s="1624"/>
      <c r="G242" s="1624"/>
      <c r="H242" s="1624"/>
      <c r="I242" s="1625"/>
      <c r="J242" s="1624"/>
      <c r="K242" s="1624"/>
    </row>
    <row r="243" spans="1:11" ht="12.95" customHeight="1" x14ac:dyDescent="0.2">
      <c r="A243" s="436" t="s">
        <v>784</v>
      </c>
      <c r="B243" s="435">
        <v>4872</v>
      </c>
      <c r="C243" s="1648"/>
      <c r="D243" s="1624"/>
      <c r="E243" s="1624"/>
      <c r="F243" s="1624"/>
      <c r="G243" s="1624"/>
      <c r="H243" s="1624"/>
      <c r="I243" s="1625"/>
      <c r="J243" s="1624"/>
      <c r="K243" s="1624"/>
    </row>
    <row r="244" spans="1:11" ht="12.95" customHeight="1" x14ac:dyDescent="0.2">
      <c r="A244" s="436" t="s">
        <v>785</v>
      </c>
      <c r="B244" s="435">
        <v>4873</v>
      </c>
      <c r="C244" s="1648"/>
      <c r="D244" s="1624"/>
      <c r="E244" s="1624"/>
      <c r="F244" s="1624"/>
      <c r="G244" s="1624"/>
      <c r="H244" s="1624"/>
      <c r="I244" s="1625"/>
      <c r="J244" s="1624"/>
      <c r="K244" s="1624"/>
    </row>
    <row r="245" spans="1:11" ht="12.95" customHeight="1" x14ac:dyDescent="0.2">
      <c r="A245" s="436" t="s">
        <v>786</v>
      </c>
      <c r="B245" s="435">
        <v>4874</v>
      </c>
      <c r="C245" s="1648"/>
      <c r="D245" s="1624"/>
      <c r="E245" s="1624"/>
      <c r="F245" s="1624"/>
      <c r="G245" s="1624"/>
      <c r="H245" s="1624"/>
      <c r="I245" s="1625"/>
      <c r="J245" s="1624"/>
      <c r="K245" s="1624"/>
    </row>
    <row r="246" spans="1:11" ht="12.95" customHeight="1" x14ac:dyDescent="0.2">
      <c r="A246" s="436" t="s">
        <v>468</v>
      </c>
      <c r="B246" s="435">
        <v>4875</v>
      </c>
      <c r="C246" s="1648"/>
      <c r="D246" s="1624"/>
      <c r="E246" s="1624"/>
      <c r="F246" s="1624"/>
      <c r="G246" s="1624"/>
      <c r="H246" s="1624"/>
      <c r="I246" s="1625"/>
      <c r="J246" s="1624"/>
      <c r="K246" s="1624"/>
    </row>
    <row r="247" spans="1:11" ht="12.95" customHeight="1" x14ac:dyDescent="0.2">
      <c r="A247" s="436" t="s">
        <v>765</v>
      </c>
      <c r="B247" s="435">
        <v>4876</v>
      </c>
      <c r="C247" s="1648"/>
      <c r="D247" s="1624"/>
      <c r="E247" s="1624"/>
      <c r="F247" s="1624"/>
      <c r="G247" s="1624"/>
      <c r="H247" s="1624"/>
      <c r="I247" s="1625"/>
      <c r="J247" s="1624"/>
      <c r="K247" s="1624"/>
    </row>
    <row r="248" spans="1:11" ht="12.95" customHeight="1" x14ac:dyDescent="0.2">
      <c r="A248" s="436" t="s">
        <v>766</v>
      </c>
      <c r="B248" s="435">
        <v>4877</v>
      </c>
      <c r="C248" s="1648"/>
      <c r="D248" s="1624"/>
      <c r="E248" s="1624"/>
      <c r="F248" s="1624"/>
      <c r="G248" s="1624"/>
      <c r="H248" s="1624"/>
      <c r="I248" s="1625"/>
      <c r="J248" s="1624"/>
      <c r="K248" s="1624"/>
    </row>
    <row r="249" spans="1:11" ht="12.95" customHeight="1" x14ac:dyDescent="0.2">
      <c r="A249" s="436" t="s">
        <v>767</v>
      </c>
      <c r="B249" s="435">
        <v>4878</v>
      </c>
      <c r="C249" s="1648"/>
      <c r="D249" s="1624"/>
      <c r="E249" s="1624"/>
      <c r="F249" s="1624"/>
      <c r="G249" s="1624"/>
      <c r="H249" s="1624"/>
      <c r="I249" s="1625"/>
      <c r="J249" s="1624"/>
      <c r="K249" s="1624"/>
    </row>
    <row r="250" spans="1:11" ht="12.95" customHeight="1" x14ac:dyDescent="0.2">
      <c r="A250" s="436" t="s">
        <v>768</v>
      </c>
      <c r="B250" s="435">
        <v>4879</v>
      </c>
      <c r="C250" s="1648"/>
      <c r="D250" s="1624"/>
      <c r="E250" s="1624"/>
      <c r="F250" s="1624"/>
      <c r="G250" s="1624"/>
      <c r="H250" s="1624"/>
      <c r="I250" s="1625"/>
      <c r="J250" s="1624"/>
      <c r="K250" s="1624"/>
    </row>
    <row r="251" spans="1:11" ht="12.95" customHeight="1" x14ac:dyDescent="0.2">
      <c r="A251" s="220" t="s">
        <v>1441</v>
      </c>
      <c r="B251" s="486">
        <v>4880</v>
      </c>
      <c r="C251" s="1648"/>
      <c r="D251" s="1624"/>
      <c r="E251" s="1624"/>
      <c r="F251" s="1624"/>
      <c r="G251" s="1624"/>
      <c r="H251" s="1624"/>
      <c r="I251" s="1625"/>
      <c r="J251" s="1624"/>
      <c r="K251" s="1624"/>
    </row>
    <row r="252" spans="1:11" ht="12.9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95" customHeight="1" thickTop="1" thickBot="1" x14ac:dyDescent="0.25">
      <c r="A253" s="1317" t="s">
        <v>1407</v>
      </c>
      <c r="B253" s="487">
        <v>4901</v>
      </c>
      <c r="C253" s="1716"/>
      <c r="D253" s="1626"/>
      <c r="E253" s="1625"/>
      <c r="F253" s="1625"/>
      <c r="G253" s="1625"/>
      <c r="H253" s="1625"/>
      <c r="I253" s="1625"/>
      <c r="J253" s="1625"/>
      <c r="K253" s="1625"/>
    </row>
    <row r="254" spans="1:11" ht="12.95" customHeight="1" thickTop="1" thickBot="1" x14ac:dyDescent="0.25">
      <c r="A254" s="1318" t="s">
        <v>1449</v>
      </c>
      <c r="B254" s="488">
        <v>4902</v>
      </c>
      <c r="C254" s="1717"/>
      <c r="D254" s="1718"/>
      <c r="E254" s="1626"/>
      <c r="F254" s="1718"/>
      <c r="G254" s="1718"/>
      <c r="H254" s="1626"/>
      <c r="I254" s="1625"/>
      <c r="J254" s="1626"/>
      <c r="K254" s="1626"/>
    </row>
    <row r="255" spans="1:11" ht="12.95" customHeight="1" thickTop="1" thickBot="1" x14ac:dyDescent="0.25">
      <c r="A255" s="427" t="s">
        <v>1442</v>
      </c>
      <c r="B255" s="429">
        <v>4905</v>
      </c>
      <c r="C255" s="1699"/>
      <c r="D255" s="1625"/>
      <c r="E255" s="1625"/>
      <c r="F255" s="1703"/>
      <c r="G255" s="1699"/>
      <c r="H255" s="1625"/>
      <c r="I255" s="1625"/>
      <c r="J255" s="1625"/>
      <c r="K255" s="1625"/>
    </row>
    <row r="256" spans="1:11" ht="12.95" customHeight="1" thickTop="1" thickBot="1" x14ac:dyDescent="0.25">
      <c r="A256" s="427" t="s">
        <v>1443</v>
      </c>
      <c r="B256" s="429">
        <v>4909</v>
      </c>
      <c r="C256" s="1701"/>
      <c r="D256" s="1625"/>
      <c r="E256" s="1625"/>
      <c r="F256" s="1701"/>
      <c r="G256" s="1701"/>
      <c r="H256" s="1625"/>
      <c r="I256" s="1625"/>
      <c r="J256" s="1625"/>
      <c r="K256" s="1625"/>
    </row>
    <row r="257" spans="1:11" ht="12.95" customHeight="1" thickTop="1" thickBot="1" x14ac:dyDescent="0.25">
      <c r="A257" s="427" t="s">
        <v>191</v>
      </c>
      <c r="B257" s="429">
        <v>4920</v>
      </c>
      <c r="C257" s="1701"/>
      <c r="D257" s="1703"/>
      <c r="E257" s="1625"/>
      <c r="F257" s="1699"/>
      <c r="G257" s="1699"/>
      <c r="H257" s="1625"/>
      <c r="I257" s="1625"/>
      <c r="J257" s="1625"/>
      <c r="K257" s="1625"/>
    </row>
    <row r="258" spans="1:11" ht="12.95" customHeight="1" thickTop="1" thickBot="1" x14ac:dyDescent="0.25">
      <c r="A258" s="427" t="s">
        <v>418</v>
      </c>
      <c r="B258" s="429">
        <v>4930</v>
      </c>
      <c r="C258" s="1701">
        <v>17178</v>
      </c>
      <c r="D258" s="1701"/>
      <c r="E258" s="1625"/>
      <c r="F258" s="1701"/>
      <c r="G258" s="1701"/>
      <c r="H258" s="1625"/>
      <c r="I258" s="1625"/>
      <c r="J258" s="1625"/>
      <c r="K258" s="1625"/>
    </row>
    <row r="259" spans="1:11" ht="12.95" customHeight="1" thickTop="1" thickBot="1" x14ac:dyDescent="0.25">
      <c r="A259" s="427" t="s">
        <v>753</v>
      </c>
      <c r="B259" s="429">
        <v>4932</v>
      </c>
      <c r="C259" s="1701"/>
      <c r="D259" s="1701"/>
      <c r="E259" s="1625"/>
      <c r="F259" s="1701"/>
      <c r="G259" s="1701"/>
      <c r="H259" s="1625"/>
      <c r="I259" s="1625"/>
      <c r="J259" s="1625"/>
      <c r="K259" s="1625"/>
    </row>
    <row r="260" spans="1:11" ht="12.95" customHeight="1" thickTop="1" thickBot="1" x14ac:dyDescent="0.25">
      <c r="A260" s="427" t="s">
        <v>884</v>
      </c>
      <c r="B260" s="429">
        <v>4960</v>
      </c>
      <c r="C260" s="1700"/>
      <c r="D260" s="1701"/>
      <c r="E260" s="1625"/>
      <c r="F260" s="1701"/>
      <c r="G260" s="1701"/>
      <c r="H260" s="1625"/>
      <c r="I260" s="1625"/>
      <c r="J260" s="1625"/>
      <c r="K260" s="1625"/>
    </row>
    <row r="261" spans="1:11" ht="12.95" customHeight="1" thickTop="1" thickBot="1" x14ac:dyDescent="0.25">
      <c r="A261" s="1589" t="s">
        <v>1899</v>
      </c>
      <c r="B261" s="429">
        <v>4981</v>
      </c>
      <c r="C261" s="1700"/>
      <c r="D261" s="1701"/>
      <c r="E261" s="1625"/>
      <c r="F261" s="1701"/>
      <c r="G261" s="1701"/>
      <c r="H261" s="1625"/>
      <c r="I261" s="1625"/>
      <c r="J261" s="1625"/>
      <c r="K261" s="1625"/>
    </row>
    <row r="262" spans="1:11" ht="12.95" customHeight="1" thickTop="1" thickBot="1" x14ac:dyDescent="0.25">
      <c r="A262" s="1590" t="s">
        <v>1900</v>
      </c>
      <c r="B262" s="429">
        <v>4982</v>
      </c>
      <c r="C262" s="1700"/>
      <c r="D262" s="1701"/>
      <c r="E262" s="1625"/>
      <c r="F262" s="1701"/>
      <c r="G262" s="1701"/>
      <c r="H262" s="1625"/>
      <c r="I262" s="1625"/>
      <c r="J262" s="1625"/>
      <c r="K262" s="1625"/>
    </row>
    <row r="263" spans="1:11" ht="12.95" customHeight="1" thickTop="1" thickBot="1" x14ac:dyDescent="0.25">
      <c r="A263" s="427" t="s">
        <v>564</v>
      </c>
      <c r="B263" s="429">
        <v>4991</v>
      </c>
      <c r="C263" s="1700">
        <v>5166</v>
      </c>
      <c r="D263" s="1701"/>
      <c r="E263" s="1625"/>
      <c r="F263" s="1701"/>
      <c r="G263" s="1701"/>
      <c r="H263" s="1625"/>
      <c r="I263" s="1625"/>
      <c r="J263" s="1625"/>
      <c r="K263" s="1625"/>
    </row>
    <row r="264" spans="1:11" ht="12.95" customHeight="1" thickTop="1" thickBot="1" x14ac:dyDescent="0.25">
      <c r="A264" s="427" t="s">
        <v>374</v>
      </c>
      <c r="B264" s="429">
        <v>4992</v>
      </c>
      <c r="C264" s="1700">
        <v>8916</v>
      </c>
      <c r="D264" s="1701"/>
      <c r="E264" s="1625"/>
      <c r="F264" s="1701"/>
      <c r="G264" s="1701"/>
      <c r="H264" s="1625"/>
      <c r="I264" s="1625"/>
      <c r="J264" s="1625"/>
      <c r="K264" s="1625"/>
    </row>
    <row r="265" spans="1:11" s="489" customFormat="1" ht="12.9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252316</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252316</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4519494</v>
      </c>
      <c r="D268" s="1691">
        <f t="shared" si="12"/>
        <v>365700</v>
      </c>
      <c r="E268" s="1691">
        <f t="shared" si="12"/>
        <v>216618</v>
      </c>
      <c r="F268" s="1691">
        <f t="shared" si="12"/>
        <v>342247</v>
      </c>
      <c r="G268" s="1691">
        <f t="shared" si="12"/>
        <v>107843</v>
      </c>
      <c r="H268" s="1691">
        <f t="shared" si="12"/>
        <v>285754</v>
      </c>
      <c r="I268" s="1691">
        <f t="shared" si="12"/>
        <v>62893</v>
      </c>
      <c r="J268" s="1691">
        <f t="shared" si="12"/>
        <v>235722</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
FOR THE YEAR ENDING JUNE 30, 2020
&amp;R&amp;8Page &amp;P</oddHeader>
    <oddFooter>&amp;L&amp;8Printed Date: &amp;D
&amp;F&amp;C&amp;8See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sharepoint/v3"/>
    <ds:schemaRef ds:uri="4d435f69-8686-490b-bd6d-b153bf22ab50"/>
    <ds:schemaRef ds:uri="http://purl.org/dc/terms/"/>
    <ds:schemaRef ds:uri="http://purl.org/dc/dcmitype/"/>
    <ds:schemaRef ds:uri="http://schemas.openxmlformats.org/package/2006/metadata/core-properties"/>
    <ds:schemaRef ds:uri="http://schemas.microsoft.com/office/infopath/2007/PartnerControls"/>
    <ds:schemaRef ds:uri="http://www.w3.org/XML/1998/namespace"/>
    <ds:schemaRef ds:uri="http://schemas.microsoft.com/office/2006/documentManagement/types"/>
    <ds:schemaRef ds:uri="d21dc803-237d-4c68-8692-8d731fd29118"/>
    <ds:schemaRef ds:uri="6ce3111e-7420-4802-b50a-75d4e9a0b980"/>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Cap Outlay Deprec 26</vt:lpstr>
      <vt:lpstr>Rest Tax Levies-Tort Im 25</vt:lpstr>
      <vt:lpstr>PCTC-OEPP 27-28</vt:lpstr>
      <vt:lpstr>Contracts Paid in CY 29</vt:lpstr>
      <vt:lpstr>AC32</vt:lpstr>
      <vt:lpstr>ICR Computation 30</vt:lpstr>
      <vt:lpstr>Shared Outsourced Services 31</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2020-09-09T21:37:16Z</cp:lastPrinted>
  <dcterms:created xsi:type="dcterms:W3CDTF">2003-10-29T19:06:34Z</dcterms:created>
  <dcterms:modified xsi:type="dcterms:W3CDTF">2020-10-09T14:31:05Z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A44787D4-0540-4523-9961-78E4036D8C6D}">
    <vt:lpwstr>{E122D8E0-CC7D-4299-9456-630D69D4F81D}</vt:lpwstr>
  </property>
</Properties>
</file>