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2F6013C-FD46-404D-A1C7-2CFAD81DDDCA}" xr6:coauthVersionLast="36" xr6:coauthVersionMax="36" xr10:uidLastSave="{00000000-0000-0000-0000-000000000000}"/>
  <bookViews>
    <workbookView xWindow="1920" yWindow="32760" windowWidth="18825" windowHeight="105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184" l="1"/>
  <c r="J7" i="184"/>
  <c r="L53" i="184"/>
  <c r="J6" i="184"/>
  <c r="L52" i="184"/>
  <c r="M68" i="184"/>
  <c r="L68" i="184"/>
  <c r="G17" i="184" s="1"/>
  <c r="K68" i="184"/>
  <c r="J68" i="184"/>
  <c r="G15" i="184" s="1"/>
  <c r="I68" i="184"/>
  <c r="H68" i="184"/>
  <c r="G13" i="184" s="1"/>
  <c r="H13" i="184" s="1"/>
  <c r="G68" i="184"/>
  <c r="K19" i="184"/>
  <c r="J19" i="184"/>
  <c r="I19" i="184"/>
  <c r="L18" i="184"/>
  <c r="H18" i="184"/>
  <c r="L17" i="184"/>
  <c r="L16" i="184"/>
  <c r="G16" i="184"/>
  <c r="L15" i="184"/>
  <c r="L14" i="184"/>
  <c r="G14" i="184"/>
  <c r="L13" i="184"/>
  <c r="L12" i="184"/>
  <c r="G12" i="184"/>
  <c r="L19" i="184"/>
  <c r="H16" i="184"/>
  <c r="C31" i="3"/>
  <c r="G26" i="3"/>
  <c r="D222" i="29"/>
  <c r="C12" i="3"/>
  <c r="C25" i="3"/>
  <c r="C34" i="3" s="1"/>
  <c r="H79" i="29"/>
  <c r="F301" i="29"/>
  <c r="G301" i="29"/>
  <c r="G182" i="29"/>
  <c r="F182" i="29"/>
  <c r="G124" i="29"/>
  <c r="D4" i="3"/>
  <c r="G123" i="29"/>
  <c r="G71" i="29"/>
  <c r="G63" i="29"/>
  <c r="B974" i="106" s="1"/>
  <c r="G55" i="29"/>
  <c r="G45" i="29"/>
  <c r="G5" i="29"/>
  <c r="E5" i="29"/>
  <c r="F5" i="29"/>
  <c r="C9" i="4"/>
  <c r="L5" i="3"/>
  <c r="L4" i="3"/>
  <c r="C5" i="3"/>
  <c r="C65" i="5"/>
  <c r="G5" i="5"/>
  <c r="C5" i="29"/>
  <c r="D13" i="29"/>
  <c r="C13" i="29"/>
  <c r="G12" i="3"/>
  <c r="G79" i="4"/>
  <c r="C4" i="3"/>
  <c r="C79" i="4"/>
  <c r="D31" i="3"/>
  <c r="E182" i="29"/>
  <c r="F79" i="4"/>
  <c r="K4" i="3"/>
  <c r="K79" i="4"/>
  <c r="D5" i="29"/>
  <c r="C10" i="29"/>
  <c r="D71" i="29"/>
  <c r="B809" i="106" s="1"/>
  <c r="C71" i="29"/>
  <c r="D17" i="29"/>
  <c r="C17" i="29"/>
  <c r="D107" i="5"/>
  <c r="C107" i="5"/>
  <c r="F36" i="183"/>
  <c r="F35" i="183"/>
  <c r="F34" i="183"/>
  <c r="F33" i="183"/>
  <c r="F32" i="183"/>
  <c r="F31" i="183"/>
  <c r="F30" i="183"/>
  <c r="F29" i="183"/>
  <c r="F28" i="183"/>
  <c r="F27" i="183"/>
  <c r="F26" i="183"/>
  <c r="F25" i="183"/>
  <c r="F24" i="183"/>
  <c r="F23" i="183"/>
  <c r="F22" i="183"/>
  <c r="F21" i="183"/>
  <c r="F20" i="183"/>
  <c r="F37" i="183" s="1"/>
  <c r="F19" i="183"/>
  <c r="E36" i="183"/>
  <c r="E35" i="183"/>
  <c r="E34" i="183"/>
  <c r="E33" i="183"/>
  <c r="E32" i="183"/>
  <c r="E31" i="183"/>
  <c r="E30" i="183"/>
  <c r="E29" i="183"/>
  <c r="E28" i="183"/>
  <c r="E27" i="183"/>
  <c r="E26" i="183"/>
  <c r="E25" i="183"/>
  <c r="E24" i="183"/>
  <c r="E23" i="183"/>
  <c r="E22" i="183"/>
  <c r="E21" i="183"/>
  <c r="E20" i="183"/>
  <c r="E19" i="183"/>
  <c r="E18" i="183"/>
  <c r="E37" i="183" s="1"/>
  <c r="F18" i="183"/>
  <c r="F17" i="183"/>
  <c r="E17" i="183"/>
  <c r="B7885" i="106"/>
  <c r="D7885" i="106"/>
  <c r="B7884" i="106"/>
  <c r="B7883" i="106"/>
  <c r="B7882" i="106"/>
  <c r="D7882" i="106"/>
  <c r="D7884" i="106"/>
  <c r="D7883" i="106"/>
  <c r="B11" i="7"/>
  <c r="D7836" i="106"/>
  <c r="J88" i="28"/>
  <c r="J85" i="28"/>
  <c r="B7819" i="106"/>
  <c r="D7819" i="106" s="1"/>
  <c r="B7818" i="106"/>
  <c r="D7818" i="106" s="1"/>
  <c r="D37" i="183"/>
  <c r="A15" i="183"/>
  <c r="D82" i="36"/>
  <c r="D81" i="36"/>
  <c r="D80" i="36"/>
  <c r="D79" i="36"/>
  <c r="D79" i="34"/>
  <c r="D179" i="34" s="1"/>
  <c r="A46" i="24"/>
  <c r="F2" i="8"/>
  <c r="B2" i="24"/>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B15" i="7"/>
  <c r="D168" i="34"/>
  <c r="D167" i="34"/>
  <c r="C168" i="34"/>
  <c r="C167" i="34"/>
  <c r="F168" i="34"/>
  <c r="F167" i="34"/>
  <c r="B7812" i="106"/>
  <c r="B7811" i="106"/>
  <c r="D7811" i="106" s="1"/>
  <c r="B7810" i="106"/>
  <c r="B7809" i="106"/>
  <c r="B7816" i="106"/>
  <c r="D7816" i="106"/>
  <c r="B7815" i="106"/>
  <c r="D7815" i="106"/>
  <c r="B7814" i="106"/>
  <c r="D7814" i="106"/>
  <c r="B7813" i="106"/>
  <c r="D7813" i="106"/>
  <c r="D7812" i="106"/>
  <c r="D7810" i="106"/>
  <c r="D7809" i="106"/>
  <c r="B7808" i="106"/>
  <c r="D7808" i="106"/>
  <c r="B7807" i="106"/>
  <c r="D7807" i="106"/>
  <c r="B7806" i="106"/>
  <c r="B7805" i="106"/>
  <c r="D7805" i="106" s="1"/>
  <c r="B7804" i="106"/>
  <c r="D7804" i="106" s="1"/>
  <c r="B7803" i="106"/>
  <c r="D7803" i="106" s="1"/>
  <c r="B7802" i="106"/>
  <c r="D7802" i="106" s="1"/>
  <c r="B7801" i="106"/>
  <c r="D7801" i="106" s="1"/>
  <c r="D7806" i="106"/>
  <c r="B5196" i="106"/>
  <c r="F29" i="34"/>
  <c r="B7881" i="106" s="1"/>
  <c r="D7881"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H12" i="182"/>
  <c r="H34" i="182" s="1"/>
  <c r="J11" i="182"/>
  <c r="I11" i="182"/>
  <c r="H11" i="182"/>
  <c r="I34" i="182"/>
  <c r="K356" i="29"/>
  <c r="B3673" i="106"/>
  <c r="K355" i="29"/>
  <c r="B7794" i="106"/>
  <c r="K354" i="29"/>
  <c r="H357" i="29"/>
  <c r="B7237" i="106" s="1"/>
  <c r="L334" i="29"/>
  <c r="K333" i="29"/>
  <c r="B7788" i="106"/>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c r="K357" i="29"/>
  <c r="B3674" i="106" s="1"/>
  <c r="B7792" i="106"/>
  <c r="K15" i="4"/>
  <c r="J15" i="4"/>
  <c r="B7796" i="106" s="1"/>
  <c r="L357" i="29"/>
  <c r="L285" i="29"/>
  <c r="D285" i="29"/>
  <c r="L160" i="29"/>
  <c r="L137" i="29"/>
  <c r="H137" i="29"/>
  <c r="E137" i="29"/>
  <c r="E139" i="29"/>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c r="A7" i="169"/>
  <c r="B4" i="177"/>
  <c r="B4" i="176"/>
  <c r="B4" i="175"/>
  <c r="G43" i="174"/>
  <c r="D47" i="174"/>
  <c r="B4" i="174"/>
  <c r="E34" i="173"/>
  <c r="A4" i="173"/>
  <c r="D47" i="171"/>
  <c r="A5" i="171"/>
  <c r="C110" i="170"/>
  <c r="C112" i="170" s="1"/>
  <c r="C115" i="170" s="1"/>
  <c r="C117" i="170" s="1"/>
  <c r="C119" i="170" s="1"/>
  <c r="C123" i="170" s="1"/>
  <c r="C44" i="170"/>
  <c r="C48" i="170" s="1"/>
  <c r="C50" i="170"/>
  <c r="C52" i="170" s="1"/>
  <c r="C54" i="170" s="1"/>
  <c r="C56" i="170" s="1"/>
  <c r="C72" i="170"/>
  <c r="C74" i="170" s="1"/>
  <c r="C76" i="170" s="1"/>
  <c r="C78" i="170" s="1"/>
  <c r="C80" i="170" s="1"/>
  <c r="C82" i="170" s="1"/>
  <c r="C85" i="170" s="1"/>
  <c r="C87" i="170" s="1"/>
  <c r="C89" i="170" s="1"/>
  <c r="C91" i="170" s="1"/>
  <c r="C96" i="170" s="1"/>
  <c r="C98" i="170" s="1"/>
  <c r="C100" i="170" s="1"/>
  <c r="C102" i="170" s="1"/>
  <c r="C106" i="170" s="1"/>
  <c r="C36" i="170"/>
  <c r="C39" i="170"/>
  <c r="C13" i="170"/>
  <c r="C15" i="170"/>
  <c r="C18" i="170" s="1"/>
  <c r="C21" i="170"/>
  <c r="C24" i="170" s="1"/>
  <c r="C28" i="170" s="1"/>
  <c r="B2" i="177"/>
  <c r="A2" i="170"/>
  <c r="B2" i="174"/>
  <c r="A2" i="173"/>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F160" i="34"/>
  <c r="B7867" i="106" s="1"/>
  <c r="D7867" i="106"/>
  <c r="B7769" i="106"/>
  <c r="D7769" i="106"/>
  <c r="B7768" i="106"/>
  <c r="B7766" i="106"/>
  <c r="D7766" i="106" s="1"/>
  <c r="B7765" i="106"/>
  <c r="B7764" i="106"/>
  <c r="D7764" i="106"/>
  <c r="B7758" i="106"/>
  <c r="D7758" i="106"/>
  <c r="K6" i="29"/>
  <c r="B7763" i="106"/>
  <c r="D7763" i="106" s="1"/>
  <c r="B7762" i="106"/>
  <c r="D7762" i="106" s="1"/>
  <c r="K12" i="12"/>
  <c r="K23" i="12"/>
  <c r="B7800" i="106"/>
  <c r="J12" i="12"/>
  <c r="J21" i="12"/>
  <c r="J23" i="12" s="1"/>
  <c r="B7729" i="106"/>
  <c r="D7729" i="106" s="1"/>
  <c r="B7734" i="106"/>
  <c r="B7726" i="106"/>
  <c r="D7726" i="106"/>
  <c r="D76" i="36"/>
  <c r="F159" i="34"/>
  <c r="B30" i="36"/>
  <c r="B33" i="36"/>
  <c r="B43" i="36" s="1"/>
  <c r="B56" i="36"/>
  <c r="B66" i="36" s="1"/>
  <c r="B70" i="36" s="1"/>
  <c r="B74" i="36" s="1"/>
  <c r="D73" i="36"/>
  <c r="C188" i="5"/>
  <c r="B4395" i="106"/>
  <c r="D4395" i="106" s="1"/>
  <c r="C198" i="5"/>
  <c r="B5246" i="106" s="1"/>
  <c r="D5246" i="106"/>
  <c r="C204" i="5"/>
  <c r="C209" i="5"/>
  <c r="B4411" i="106" s="1"/>
  <c r="D4411" i="106" s="1"/>
  <c r="C217" i="5"/>
  <c r="B5286" i="106"/>
  <c r="D5286" i="106" s="1"/>
  <c r="C221" i="5"/>
  <c r="B5304" i="106" s="1"/>
  <c r="D5304" i="106" s="1"/>
  <c r="C252" i="5"/>
  <c r="B7761" i="106"/>
  <c r="D7761" i="106" s="1"/>
  <c r="L127" i="29"/>
  <c r="L129" i="29" s="1"/>
  <c r="L139" i="29"/>
  <c r="L149" i="29"/>
  <c r="D84" i="36"/>
  <c r="D78" i="36"/>
  <c r="K75" i="29"/>
  <c r="C14" i="4"/>
  <c r="B2558" i="106" s="1"/>
  <c r="D2558" i="106" s="1"/>
  <c r="K130" i="29"/>
  <c r="K185" i="29"/>
  <c r="F62" i="34" s="1"/>
  <c r="B7833" i="106"/>
  <c r="D7833" i="106" s="1"/>
  <c r="K122" i="29"/>
  <c r="F15" i="184" s="1"/>
  <c r="F19" i="184" s="1"/>
  <c r="K67" i="29"/>
  <c r="E17" i="184" s="1"/>
  <c r="G33" i="108"/>
  <c r="K64" i="29"/>
  <c r="D31" i="108"/>
  <c r="K59" i="29"/>
  <c r="E15" i="184" s="1"/>
  <c r="K56" i="29"/>
  <c r="E14" i="184" s="1"/>
  <c r="H14" i="184" s="1"/>
  <c r="K51" i="29"/>
  <c r="E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s="1"/>
  <c r="D78" i="106"/>
  <c r="D79" i="106"/>
  <c r="D80" i="106"/>
  <c r="D81" i="106"/>
  <c r="D82" i="106"/>
  <c r="D83" i="106"/>
  <c r="D84" i="106"/>
  <c r="D85" i="106"/>
  <c r="B86" i="106"/>
  <c r="D86" i="106" s="1"/>
  <c r="D87" i="106"/>
  <c r="B88" i="106"/>
  <c r="D88" i="106"/>
  <c r="D89" i="106"/>
  <c r="D90" i="106"/>
  <c r="B91" i="106"/>
  <c r="D91" i="106" s="1"/>
  <c r="B92" i="106"/>
  <c r="D92" i="106" s="1"/>
  <c r="D94" i="106"/>
  <c r="D95" i="106"/>
  <c r="D96" i="106"/>
  <c r="B97" i="106"/>
  <c r="D97" i="106"/>
  <c r="D98" i="106"/>
  <c r="D99" i="106"/>
  <c r="D100" i="106"/>
  <c r="D101" i="106"/>
  <c r="D102" i="106"/>
  <c r="D103" i="106"/>
  <c r="B104" i="106"/>
  <c r="D104" i="106"/>
  <c r="B105" i="106"/>
  <c r="D105" i="106"/>
  <c r="D106" i="106"/>
  <c r="D107" i="106"/>
  <c r="B108" i="106"/>
  <c r="D108" i="106"/>
  <c r="D13" i="3"/>
  <c r="B109" i="106"/>
  <c r="D109" i="106" s="1"/>
  <c r="D110" i="106"/>
  <c r="D111" i="106"/>
  <c r="D112" i="106"/>
  <c r="D113" i="106"/>
  <c r="D114" i="106"/>
  <c r="D115" i="106"/>
  <c r="D116" i="106"/>
  <c r="B117" i="106"/>
  <c r="D117" i="106"/>
  <c r="D118" i="106"/>
  <c r="B119" i="106"/>
  <c r="D119" i="106" s="1"/>
  <c r="D120" i="106"/>
  <c r="D121" i="106"/>
  <c r="D34" i="3"/>
  <c r="B123" i="106"/>
  <c r="D123" i="106"/>
  <c r="D125" i="106"/>
  <c r="B126" i="106"/>
  <c r="D126" i="106" s="1"/>
  <c r="D127" i="106"/>
  <c r="D128" i="106"/>
  <c r="B129" i="106"/>
  <c r="D129" i="106" s="1"/>
  <c r="B130" i="106"/>
  <c r="D130" i="106" s="1"/>
  <c r="E13" i="3"/>
  <c r="B131" i="106" s="1"/>
  <c r="D131" i="106"/>
  <c r="D132" i="106"/>
  <c r="D133" i="106"/>
  <c r="B134" i="106"/>
  <c r="D134" i="106"/>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s="1"/>
  <c r="D158" i="106"/>
  <c r="D159" i="106"/>
  <c r="D160" i="106"/>
  <c r="D161" i="106"/>
  <c r="D162" i="106"/>
  <c r="D163" i="106"/>
  <c r="B164" i="106"/>
  <c r="D164" i="106" s="1"/>
  <c r="D165" i="106"/>
  <c r="B166" i="106"/>
  <c r="D166" i="106"/>
  <c r="D167" i="106"/>
  <c r="D168" i="106"/>
  <c r="F34" i="3"/>
  <c r="B170" i="106"/>
  <c r="D170" i="106" s="1"/>
  <c r="D172" i="106"/>
  <c r="B173" i="106"/>
  <c r="D173" i="106"/>
  <c r="D174" i="106"/>
  <c r="D175" i="106"/>
  <c r="D176" i="106"/>
  <c r="B177" i="106"/>
  <c r="D177" i="106" s="1"/>
  <c r="D178" i="106"/>
  <c r="B179" i="106"/>
  <c r="D179" i="106"/>
  <c r="G13" i="3"/>
  <c r="B180" i="106"/>
  <c r="D180" i="106" s="1"/>
  <c r="D181" i="106"/>
  <c r="D182" i="106"/>
  <c r="D183" i="106"/>
  <c r="B184" i="106"/>
  <c r="D184" i="106"/>
  <c r="B185" i="106"/>
  <c r="D185" i="106"/>
  <c r="D186" i="106"/>
  <c r="D187" i="106"/>
  <c r="G34" i="3"/>
  <c r="B189" i="106"/>
  <c r="D189" i="106" s="1"/>
  <c r="D191" i="106"/>
  <c r="D192" i="106"/>
  <c r="D193" i="106"/>
  <c r="D194" i="106"/>
  <c r="D195" i="106"/>
  <c r="D196" i="106"/>
  <c r="D197" i="106"/>
  <c r="B198" i="106"/>
  <c r="D198" i="106"/>
  <c r="B199" i="106"/>
  <c r="D199" i="106"/>
  <c r="D200" i="106"/>
  <c r="D201" i="106"/>
  <c r="B202" i="106"/>
  <c r="D202" i="106"/>
  <c r="H13" i="3"/>
  <c r="B203" i="106"/>
  <c r="D203" i="106" s="1"/>
  <c r="D204" i="106"/>
  <c r="D205" i="106"/>
  <c r="B206" i="106"/>
  <c r="D206" i="106" s="1"/>
  <c r="D207" i="106"/>
  <c r="B208" i="106"/>
  <c r="D208" i="106"/>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s="1"/>
  <c r="B280" i="106"/>
  <c r="D280" i="106" s="1"/>
  <c r="M41" i="3"/>
  <c r="B281" i="106" s="1"/>
  <c r="D281" i="106" s="1"/>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c r="B728" i="106"/>
  <c r="D728" i="106"/>
  <c r="B729" i="106"/>
  <c r="D729" i="106"/>
  <c r="B730" i="106"/>
  <c r="D730" i="106"/>
  <c r="B732" i="106"/>
  <c r="D732" i="106"/>
  <c r="B733" i="106"/>
  <c r="D733" i="106"/>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s="1"/>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c r="B786" i="106"/>
  <c r="D786" i="106"/>
  <c r="B787" i="106"/>
  <c r="D787" i="106"/>
  <c r="B788" i="106"/>
  <c r="D788" i="106"/>
  <c r="D47" i="29"/>
  <c r="B789" i="106"/>
  <c r="D789" i="106" s="1"/>
  <c r="B790" i="106"/>
  <c r="D790" i="106" s="1"/>
  <c r="B791" i="106"/>
  <c r="D791" i="106" s="1"/>
  <c r="D53" i="29"/>
  <c r="B792" i="106" s="1"/>
  <c r="D792" i="106"/>
  <c r="B793" i="106"/>
  <c r="D793" i="106"/>
  <c r="B794" i="106"/>
  <c r="D794" i="106"/>
  <c r="D57" i="29"/>
  <c r="B795" i="106"/>
  <c r="D795"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D809" i="106"/>
  <c r="D810" i="106"/>
  <c r="D72" i="29"/>
  <c r="B811" i="106" s="1"/>
  <c r="D811" i="106"/>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s="1"/>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s="1"/>
  <c r="B854" i="106"/>
  <c r="D854" i="106"/>
  <c r="B855" i="106"/>
  <c r="D855" i="106"/>
  <c r="B856" i="106"/>
  <c r="D856" i="106"/>
  <c r="B857" i="106"/>
  <c r="D857" i="106"/>
  <c r="B858" i="106"/>
  <c r="D858" i="106"/>
  <c r="B859" i="106"/>
  <c r="D859" i="106"/>
  <c r="D860" i="106"/>
  <c r="E65" i="29"/>
  <c r="B861" i="106" s="1"/>
  <c r="D861" i="106"/>
  <c r="B862" i="106"/>
  <c r="D862" i="106"/>
  <c r="B863" i="106"/>
  <c r="D863" i="106"/>
  <c r="B864" i="106"/>
  <c r="D864" i="106"/>
  <c r="B865" i="106"/>
  <c r="D865" i="106"/>
  <c r="D866" i="106"/>
  <c r="B867" i="106"/>
  <c r="D867" i="106" s="1"/>
  <c r="D868" i="106"/>
  <c r="E72" i="29"/>
  <c r="B869" i="106"/>
  <c r="D869" i="106" s="1"/>
  <c r="B870" i="106"/>
  <c r="D870" i="106" s="1"/>
  <c r="B872" i="106"/>
  <c r="D872" i="106" s="1"/>
  <c r="E84" i="29"/>
  <c r="B2789" i="106" s="1"/>
  <c r="D2789" i="106" s="1"/>
  <c r="E100" i="29"/>
  <c r="D874" i="106"/>
  <c r="D875" i="106"/>
  <c r="D876" i="106"/>
  <c r="D877" i="106"/>
  <c r="D878" i="106"/>
  <c r="B879" i="106"/>
  <c r="D879" i="106"/>
  <c r="B880" i="106"/>
  <c r="D880" i="106"/>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6" i="106"/>
  <c r="D906" i="106"/>
  <c r="B907" i="106"/>
  <c r="D907" i="106"/>
  <c r="F53" i="29"/>
  <c r="B908" i="106"/>
  <c r="D908" i="106" s="1"/>
  <c r="B909" i="106"/>
  <c r="D909" i="106" s="1"/>
  <c r="B910" i="106"/>
  <c r="D910" i="106" s="1"/>
  <c r="F57" i="29"/>
  <c r="B911" i="106" s="1"/>
  <c r="D911" i="106"/>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s="1"/>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D974" i="106"/>
  <c r="B975" i="106"/>
  <c r="D975" i="106"/>
  <c r="D976" i="106"/>
  <c r="G65" i="29"/>
  <c r="B977" i="106" s="1"/>
  <c r="D977" i="106" s="1"/>
  <c r="B978" i="106"/>
  <c r="D978" i="106" s="1"/>
  <c r="B979" i="106"/>
  <c r="D979" i="106" s="1"/>
  <c r="B980" i="106"/>
  <c r="D980" i="106" s="1"/>
  <c r="B981" i="106"/>
  <c r="D981" i="106" s="1"/>
  <c r="D982" i="106"/>
  <c r="B983" i="106"/>
  <c r="D983" i="106"/>
  <c r="D984" i="106"/>
  <c r="G72" i="29"/>
  <c r="B985" i="106" s="1"/>
  <c r="D985" i="106" s="1"/>
  <c r="B986" i="106"/>
  <c r="D986" i="106"/>
  <c r="B988" i="106"/>
  <c r="D988" i="106"/>
  <c r="D990" i="106"/>
  <c r="D991" i="106"/>
  <c r="D992" i="106"/>
  <c r="D993" i="106"/>
  <c r="D994" i="106"/>
  <c r="B995" i="106"/>
  <c r="D995" i="106" s="1"/>
  <c r="B996" i="106"/>
  <c r="D996" i="106" s="1"/>
  <c r="D997" i="106"/>
  <c r="D998" i="106"/>
  <c r="D999" i="106"/>
  <c r="D1000" i="106"/>
  <c r="D1001" i="106"/>
  <c r="B1002" i="106"/>
  <c r="D1002" i="106"/>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c r="B1018" i="106"/>
  <c r="D1018" i="106"/>
  <c r="B1019" i="106"/>
  <c r="D1019" i="106"/>
  <c r="B1020" i="106"/>
  <c r="D1020" i="106"/>
  <c r="H47" i="29"/>
  <c r="B1022" i="106"/>
  <c r="D1022" i="106" s="1"/>
  <c r="B1023" i="106"/>
  <c r="D1023" i="106" s="1"/>
  <c r="H53" i="29"/>
  <c r="B1024" i="106" s="1"/>
  <c r="D1024" i="106" s="1"/>
  <c r="B1025" i="106"/>
  <c r="D1025" i="106"/>
  <c r="B1026" i="106"/>
  <c r="D1026" i="106"/>
  <c r="H57" i="29"/>
  <c r="B1027" i="106"/>
  <c r="D1027" i="106" s="1"/>
  <c r="B1028" i="106"/>
  <c r="D1028" i="106" s="1"/>
  <c r="B1029" i="106"/>
  <c r="D1029" i="106" s="1"/>
  <c r="B1030" i="106"/>
  <c r="D1030" i="106" s="1"/>
  <c r="B1031" i="106"/>
  <c r="D1031" i="106" s="1"/>
  <c r="B1032" i="106"/>
  <c r="D1032" i="106" s="1"/>
  <c r="B1033" i="106"/>
  <c r="D1033" i="106" s="1"/>
  <c r="D1034" i="106"/>
  <c r="H65" i="29"/>
  <c r="B1035" i="106"/>
  <c r="D1035" i="106" s="1"/>
  <c r="B1036" i="106"/>
  <c r="D1036" i="106" s="1"/>
  <c r="B1037" i="106"/>
  <c r="D1037" i="106" s="1"/>
  <c r="B1038" i="106"/>
  <c r="D1038" i="106" s="1"/>
  <c r="B1039" i="106"/>
  <c r="D1039" i="106" s="1"/>
  <c r="D1040" i="106"/>
  <c r="B1041" i="106"/>
  <c r="D1041" i="106"/>
  <c r="D1042" i="106"/>
  <c r="H72" i="29"/>
  <c r="B1043" i="106" s="1"/>
  <c r="D1043" i="106"/>
  <c r="B1044" i="106"/>
  <c r="D1044" i="106"/>
  <c r="B1046" i="106"/>
  <c r="D1046" i="106"/>
  <c r="H84" i="29"/>
  <c r="B2081" i="106"/>
  <c r="D2081" i="106" s="1"/>
  <c r="H92" i="29"/>
  <c r="K92" i="29" s="1"/>
  <c r="B2089" i="106"/>
  <c r="D2089" i="106" s="1"/>
  <c r="H100" i="29"/>
  <c r="B7012" i="106" s="1"/>
  <c r="D7012" i="106"/>
  <c r="B1048" i="106"/>
  <c r="D1048" i="106"/>
  <c r="B1049" i="106"/>
  <c r="D1049" i="106"/>
  <c r="D1050" i="106"/>
  <c r="B1051" i="106"/>
  <c r="D1051" i="106" s="1"/>
  <c r="D1052" i="106"/>
  <c r="H110" i="29"/>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s="1"/>
  <c r="D1095" i="106"/>
  <c r="D1096" i="106"/>
  <c r="D1097" i="106"/>
  <c r="D1098" i="106"/>
  <c r="D1099" i="106"/>
  <c r="K18" i="29"/>
  <c r="B1100" i="106"/>
  <c r="D1100" i="106" s="1"/>
  <c r="D1101" i="106"/>
  <c r="D1102" i="106"/>
  <c r="D1103" i="106"/>
  <c r="K12" i="29"/>
  <c r="B1104" i="106"/>
  <c r="D1104" i="106" s="1"/>
  <c r="K14" i="29"/>
  <c r="B1106" i="106" s="1"/>
  <c r="D1106" i="106"/>
  <c r="K15" i="29"/>
  <c r="B1107" i="106"/>
  <c r="D1107" i="106" s="1"/>
  <c r="K36" i="29"/>
  <c r="K37" i="29"/>
  <c r="B1110" i="106"/>
  <c r="D1110" i="106" s="1"/>
  <c r="K38" i="29"/>
  <c r="B1111" i="106" s="1"/>
  <c r="D1111" i="106" s="1"/>
  <c r="K39" i="29"/>
  <c r="B1112" i="106"/>
  <c r="D1112" i="106" s="1"/>
  <c r="K40" i="29"/>
  <c r="B1113" i="106" s="1"/>
  <c r="D1113" i="106" s="1"/>
  <c r="K41" i="29"/>
  <c r="B1114" i="106"/>
  <c r="D1114" i="106" s="1"/>
  <c r="K46" i="29"/>
  <c r="B1118" i="106" s="1"/>
  <c r="D1118" i="106" s="1"/>
  <c r="K49" i="29"/>
  <c r="B1120" i="106"/>
  <c r="D1120" i="106" s="1"/>
  <c r="K55" i="29"/>
  <c r="K60" i="29"/>
  <c r="D27" i="108"/>
  <c r="K61" i="29"/>
  <c r="B1128" i="106"/>
  <c r="D1128" i="106" s="1"/>
  <c r="K62" i="29"/>
  <c r="B1129" i="106" s="1"/>
  <c r="D1129" i="106"/>
  <c r="K63" i="29"/>
  <c r="B1130" i="106"/>
  <c r="D1130" i="106" s="1"/>
  <c r="D1132" i="106"/>
  <c r="K68" i="29"/>
  <c r="G34" i="108"/>
  <c r="K69" i="29"/>
  <c r="B1136" i="106"/>
  <c r="D1136" i="106" s="1"/>
  <c r="K70" i="29"/>
  <c r="B1137" i="106" s="1"/>
  <c r="D1137" i="106" s="1"/>
  <c r="D1138" i="106"/>
  <c r="K71" i="29"/>
  <c r="B1139" i="106" s="1"/>
  <c r="D1139" i="106"/>
  <c r="D1140" i="106"/>
  <c r="K73" i="29"/>
  <c r="B1142" i="106" s="1"/>
  <c r="D1142" i="106" s="1"/>
  <c r="K78" i="29"/>
  <c r="B2973" i="106"/>
  <c r="D2973" i="106" s="1"/>
  <c r="K79" i="29"/>
  <c r="B2974" i="106" s="1"/>
  <c r="D2974" i="106" s="1"/>
  <c r="K80" i="29"/>
  <c r="K81" i="29"/>
  <c r="B2976" i="106" s="1"/>
  <c r="D2976" i="106"/>
  <c r="K82" i="29"/>
  <c r="B2977" i="106"/>
  <c r="D2977" i="106" s="1"/>
  <c r="K83" i="29"/>
  <c r="B2978" i="106" s="1"/>
  <c r="D2978" i="106"/>
  <c r="K93" i="29"/>
  <c r="K94" i="29"/>
  <c r="K95" i="29"/>
  <c r="K96" i="29"/>
  <c r="K97" i="29"/>
  <c r="K98" i="29"/>
  <c r="K99" i="29"/>
  <c r="B7010" i="106"/>
  <c r="D7010" i="106" s="1"/>
  <c r="K101" i="29"/>
  <c r="B7015" i="106" s="1"/>
  <c r="D7015" i="106"/>
  <c r="K105" i="29"/>
  <c r="K106" i="29"/>
  <c r="B1147" i="106" s="1"/>
  <c r="D1147" i="106" s="1"/>
  <c r="D1148" i="106"/>
  <c r="K109" i="29"/>
  <c r="B1149" i="106" s="1"/>
  <c r="D1149" i="106" s="1"/>
  <c r="D1150" i="106"/>
  <c r="K107" i="29"/>
  <c r="B2795" i="106" s="1"/>
  <c r="D2795" i="106" s="1"/>
  <c r="K108" i="29"/>
  <c r="B2796" i="106"/>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s="1"/>
  <c r="D1223" i="106" s="1"/>
  <c r="B1224" i="106"/>
  <c r="D1224" i="106"/>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s="1"/>
  <c r="B1268" i="106"/>
  <c r="D1268" i="106" s="1"/>
  <c r="B1269" i="106"/>
  <c r="D1269" i="106" s="1"/>
  <c r="B1270" i="106"/>
  <c r="D1270" i="106" s="1"/>
  <c r="D1271" i="106"/>
  <c r="H147" i="29"/>
  <c r="H149" i="29"/>
  <c r="B1272" i="106" s="1"/>
  <c r="D1272" i="106" s="1"/>
  <c r="B1274" i="106"/>
  <c r="D1274" i="106"/>
  <c r="K123" i="29"/>
  <c r="K124" i="29"/>
  <c r="B1276" i="106" s="1"/>
  <c r="D1276" i="106" s="1"/>
  <c r="K126" i="29"/>
  <c r="B1277" i="106"/>
  <c r="D1277" i="106" s="1"/>
  <c r="D1278" i="106"/>
  <c r="K125" i="29"/>
  <c r="K128" i="29"/>
  <c r="B1280" i="106" s="1"/>
  <c r="D1280" i="106" s="1"/>
  <c r="K120" i="29"/>
  <c r="K134" i="29"/>
  <c r="K135" i="29"/>
  <c r="B2987" i="106"/>
  <c r="D2987" i="106" s="1"/>
  <c r="K136" i="29"/>
  <c r="B2988" i="106" s="1"/>
  <c r="D2988" i="106" s="1"/>
  <c r="K138" i="29"/>
  <c r="B2094" i="106"/>
  <c r="D2094" i="106" s="1"/>
  <c r="K142" i="29"/>
  <c r="K143" i="29"/>
  <c r="B1284" i="106"/>
  <c r="D1284" i="106" s="1"/>
  <c r="K146" i="29"/>
  <c r="B1285" i="106" s="1"/>
  <c r="D1285" i="106" s="1"/>
  <c r="D1286" i="106"/>
  <c r="K144" i="29"/>
  <c r="B2810" i="106" s="1"/>
  <c r="D2810" i="106" s="1"/>
  <c r="K145" i="29"/>
  <c r="B2811" i="106"/>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c r="B1311" i="106"/>
  <c r="D1311" i="106"/>
  <c r="B1312" i="106"/>
  <c r="D1312" i="106"/>
  <c r="B1313" i="106"/>
  <c r="D1313" i="106"/>
  <c r="H168" i="29"/>
  <c r="B1314" i="106"/>
  <c r="D1314" i="106" s="1"/>
  <c r="B1315" i="106"/>
  <c r="D1315" i="106" s="1"/>
  <c r="B1316" i="106"/>
  <c r="D1316" i="106" s="1"/>
  <c r="D1319" i="106"/>
  <c r="D1320" i="106"/>
  <c r="D1321" i="106"/>
  <c r="D1322" i="106"/>
  <c r="K163" i="29"/>
  <c r="B1324" i="106"/>
  <c r="D1324" i="106" s="1"/>
  <c r="K164" i="29"/>
  <c r="B1325" i="106" s="1"/>
  <c r="D1325" i="106" s="1"/>
  <c r="K169" i="29"/>
  <c r="B1326" i="106"/>
  <c r="D1326" i="106" s="1"/>
  <c r="K167" i="29"/>
  <c r="B1327" i="106" s="1"/>
  <c r="D1327" i="106" s="1"/>
  <c r="K165" i="29"/>
  <c r="B2818" i="106"/>
  <c r="D2818" i="106" s="1"/>
  <c r="K166" i="29"/>
  <c r="K170" i="29"/>
  <c r="K171" i="29"/>
  <c r="B1330" i="106" s="1"/>
  <c r="D1330" i="106" s="1"/>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c r="D1355" i="106"/>
  <c r="D1356" i="106"/>
  <c r="B1357" i="106"/>
  <c r="D1357" i="106"/>
  <c r="F184" i="29"/>
  <c r="B1360" i="106"/>
  <c r="D1360" i="106" s="1"/>
  <c r="D1361" i="106"/>
  <c r="D1362" i="106"/>
  <c r="B1363" i="106"/>
  <c r="D1363" i="106" s="1"/>
  <c r="G184" i="29"/>
  <c r="B1364" i="106" s="1"/>
  <c r="D1364" i="106" s="1"/>
  <c r="B1366" i="106"/>
  <c r="D1366" i="106"/>
  <c r="D1367" i="106"/>
  <c r="D1368" i="106"/>
  <c r="B1369" i="106"/>
  <c r="D1369" i="106"/>
  <c r="H184" i="29"/>
  <c r="B1370" i="106"/>
  <c r="D1370" i="106" s="1"/>
  <c r="B1371" i="106"/>
  <c r="D1371" i="106" s="1"/>
  <c r="B1372" i="106"/>
  <c r="D1372" i="106" s="1"/>
  <c r="B1373" i="106"/>
  <c r="D1373" i="106" s="1"/>
  <c r="D1374" i="106"/>
  <c r="H204" i="29"/>
  <c r="H208" i="29"/>
  <c r="B1375" i="106" s="1"/>
  <c r="D1375" i="106" s="1"/>
  <c r="H194" i="29"/>
  <c r="K182" i="29"/>
  <c r="B1377" i="106" s="1"/>
  <c r="D1377" i="106" s="1"/>
  <c r="D1378" i="106"/>
  <c r="D1379" i="106"/>
  <c r="K183" i="29"/>
  <c r="B1380" i="106"/>
  <c r="D1380" i="106" s="1"/>
  <c r="K180" i="29"/>
  <c r="K188" i="29"/>
  <c r="B3007" i="106"/>
  <c r="D3007" i="106" s="1"/>
  <c r="K189" i="29"/>
  <c r="B3008" i="106" s="1"/>
  <c r="D3008" i="106" s="1"/>
  <c r="K190" i="29"/>
  <c r="K191" i="29"/>
  <c r="B3010" i="106" s="1"/>
  <c r="D3010" i="106" s="1"/>
  <c r="K192" i="29"/>
  <c r="K193" i="29"/>
  <c r="B3012" i="106" s="1"/>
  <c r="D3012" i="106" s="1"/>
  <c r="K195" i="29"/>
  <c r="B2839" i="106"/>
  <c r="D2839" i="106" s="1"/>
  <c r="K199" i="29"/>
  <c r="B1383" i="106" s="1"/>
  <c r="D1383" i="106" s="1"/>
  <c r="K200" i="29"/>
  <c r="B1384" i="106"/>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c r="B1407" i="106"/>
  <c r="D1407" i="106"/>
  <c r="B1408" i="106"/>
  <c r="D1408" i="106"/>
  <c r="B1409" i="106"/>
  <c r="D1409" i="106"/>
  <c r="D229" i="29"/>
  <c r="B1411" i="106"/>
  <c r="D1411" i="106" s="1"/>
  <c r="B1412" i="106"/>
  <c r="D1412" i="106" s="1"/>
  <c r="B1413" i="106"/>
  <c r="D1413" i="106" s="1"/>
  <c r="B1414" i="106"/>
  <c r="D1414" i="106" s="1"/>
  <c r="B1415" i="106"/>
  <c r="D1415" i="106" s="1"/>
  <c r="B1416" i="106"/>
  <c r="D1416" i="106" s="1"/>
  <c r="D238" i="29"/>
  <c r="B1418" i="106"/>
  <c r="D1418" i="106"/>
  <c r="B1419" i="106"/>
  <c r="D1419" i="106"/>
  <c r="B1420" i="106"/>
  <c r="D1420" i="106"/>
  <c r="D243" i="29"/>
  <c r="B1421" i="106"/>
  <c r="D1421" i="106" s="1"/>
  <c r="B1422" i="106"/>
  <c r="D1422" i="106" s="1"/>
  <c r="B1423" i="106"/>
  <c r="D1423" i="106" s="1"/>
  <c r="D257" i="29"/>
  <c r="B1424" i="106" s="1"/>
  <c r="D1424" i="106" s="1"/>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c r="D1443" i="106"/>
  <c r="D277" i="29"/>
  <c r="B1444" i="106" s="1"/>
  <c r="D1444" i="106" s="1"/>
  <c r="B1445" i="106"/>
  <c r="D1445" i="106"/>
  <c r="B1447" i="106"/>
  <c r="D1447" i="106"/>
  <c r="B1449" i="106"/>
  <c r="D1449" i="106"/>
  <c r="B1450" i="106"/>
  <c r="D1450" i="106"/>
  <c r="B1451" i="106"/>
  <c r="D1451" i="106"/>
  <c r="H293" i="29"/>
  <c r="B1452" i="106"/>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c r="D1471" i="106" s="1"/>
  <c r="K223" i="29"/>
  <c r="B1472" i="106" s="1"/>
  <c r="D1472" i="106" s="1"/>
  <c r="K224" i="29"/>
  <c r="B1473" i="106"/>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c r="D1476" i="106" s="1"/>
  <c r="K234" i="29"/>
  <c r="B1477" i="106" s="1"/>
  <c r="D1477" i="106" s="1"/>
  <c r="K235" i="29"/>
  <c r="B1478" i="106"/>
  <c r="D1478" i="106" s="1"/>
  <c r="K236" i="29"/>
  <c r="B1479" i="106" s="1"/>
  <c r="D1479" i="106" s="1"/>
  <c r="K237" i="29"/>
  <c r="B1480" i="106"/>
  <c r="D1480" i="106" s="1"/>
  <c r="K240" i="29"/>
  <c r="B1482" i="106" s="1"/>
  <c r="D1482" i="106" s="1"/>
  <c r="K241" i="29"/>
  <c r="B1483" i="106"/>
  <c r="D1483" i="106" s="1"/>
  <c r="K242" i="29"/>
  <c r="B1484" i="106" s="1"/>
  <c r="D1484" i="106" s="1"/>
  <c r="K245" i="29"/>
  <c r="B1486" i="106"/>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c r="D1489" i="106" s="1"/>
  <c r="K260" i="29"/>
  <c r="B1490" i="106" s="1"/>
  <c r="D1490" i="106" s="1"/>
  <c r="K263" i="29"/>
  <c r="K264" i="29"/>
  <c r="B1493" i="106" s="1"/>
  <c r="D1493" i="106" s="1"/>
  <c r="K265" i="29"/>
  <c r="B1494" i="106"/>
  <c r="D1494" i="106" s="1"/>
  <c r="K266" i="29"/>
  <c r="B1495" i="106" s="1"/>
  <c r="D1495" i="106" s="1"/>
  <c r="K267" i="29"/>
  <c r="B1496" i="106"/>
  <c r="D1496" i="106" s="1"/>
  <c r="K268" i="29"/>
  <c r="B1497" i="106" s="1"/>
  <c r="D1497" i="106" s="1"/>
  <c r="K269" i="29"/>
  <c r="B1498" i="106"/>
  <c r="D1498" i="106" s="1"/>
  <c r="D1499" i="106"/>
  <c r="K272" i="29"/>
  <c r="B1501" i="106"/>
  <c r="D1501" i="106" s="1"/>
  <c r="K273" i="29"/>
  <c r="B1502" i="106" s="1"/>
  <c r="D1502" i="106" s="1"/>
  <c r="K274" i="29"/>
  <c r="B1503" i="106"/>
  <c r="D1503" i="106" s="1"/>
  <c r="K275" i="29"/>
  <c r="B1504" i="106" s="1"/>
  <c r="D1504" i="106" s="1"/>
  <c r="D1505" i="106"/>
  <c r="K276" i="29"/>
  <c r="B1506" i="106" s="1"/>
  <c r="D1506" i="106" s="1"/>
  <c r="D1507" i="106"/>
  <c r="K278" i="29"/>
  <c r="B1509" i="106" s="1"/>
  <c r="D1509" i="106" s="1"/>
  <c r="K280" i="29"/>
  <c r="B1511" i="106"/>
  <c r="D1511" i="106" s="1"/>
  <c r="K288" i="29"/>
  <c r="K289" i="29"/>
  <c r="B1513" i="106"/>
  <c r="D1513" i="106" s="1"/>
  <c r="K292" i="29"/>
  <c r="B1514" i="106" s="1"/>
  <c r="D1514" i="106" s="1"/>
  <c r="K290" i="29"/>
  <c r="B2845" i="106"/>
  <c r="D2845" i="106" s="1"/>
  <c r="K291" i="29"/>
  <c r="B2846" i="106" s="1"/>
  <c r="D2846" i="106" s="1"/>
  <c r="D1516" i="106"/>
  <c r="K283" i="29"/>
  <c r="K284" i="29"/>
  <c r="B1519" i="106"/>
  <c r="D1519" i="106" s="1"/>
  <c r="D1520" i="106"/>
  <c r="D1521" i="106"/>
  <c r="B1522" i="106"/>
  <c r="D1522" i="106" s="1"/>
  <c r="C303" i="29"/>
  <c r="B1525" i="106"/>
  <c r="D1525" i="106"/>
  <c r="D1526" i="106"/>
  <c r="D1527" i="106"/>
  <c r="B1528" i="106"/>
  <c r="D1528" i="106"/>
  <c r="D303" i="29"/>
  <c r="B1529" i="106"/>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c r="D1544" i="106"/>
  <c r="D1545" i="106"/>
  <c r="B1546" i="106"/>
  <c r="D1546" i="106"/>
  <c r="G303" i="29"/>
  <c r="B1547" i="106"/>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c r="B1785" i="106"/>
  <c r="D1785" i="106"/>
  <c r="B1786" i="106"/>
  <c r="D1786" i="106"/>
  <c r="D1787" i="106"/>
  <c r="B1788" i="106"/>
  <c r="D1788" i="106" s="1"/>
  <c r="D1789" i="106"/>
  <c r="D1790" i="106"/>
  <c r="C19" i="7"/>
  <c r="B1791" i="106" s="1"/>
  <c r="D1791" i="106" s="1"/>
  <c r="F4" i="7"/>
  <c r="B1792" i="106"/>
  <c r="D1792" i="106" s="1"/>
  <c r="F5" i="7"/>
  <c r="B1793" i="106" s="1"/>
  <c r="D1793" i="106" s="1"/>
  <c r="F6" i="7"/>
  <c r="B1794" i="106"/>
  <c r="D1794" i="106" s="1"/>
  <c r="F7" i="7"/>
  <c r="B1795" i="106" s="1"/>
  <c r="D1795" i="106" s="1"/>
  <c r="F8" i="7"/>
  <c r="B1796" i="106"/>
  <c r="D1796" i="106" s="1"/>
  <c r="F10" i="7"/>
  <c r="B1797" i="106" s="1"/>
  <c r="D1797" i="106" s="1"/>
  <c r="D1798" i="106"/>
  <c r="F9" i="7"/>
  <c r="B1799" i="106" s="1"/>
  <c r="D1799" i="106" s="1"/>
  <c r="F11" i="7"/>
  <c r="B1800" i="106"/>
  <c r="D1800" i="106" s="1"/>
  <c r="F12" i="7"/>
  <c r="B1801" i="106" s="1"/>
  <c r="D1801" i="106" s="1"/>
  <c r="F14" i="7"/>
  <c r="B1802" i="106"/>
  <c r="D1802" i="106" s="1"/>
  <c r="D1803" i="106"/>
  <c r="F15" i="7"/>
  <c r="B1804" i="106"/>
  <c r="D1804" i="106" s="1"/>
  <c r="D1805" i="106"/>
  <c r="D1806" i="106"/>
  <c r="B1808" i="106"/>
  <c r="D1808" i="106" s="1"/>
  <c r="B1809" i="106"/>
  <c r="D1809" i="106" s="1"/>
  <c r="B1810" i="106"/>
  <c r="D1810" i="106" s="1"/>
  <c r="B1811" i="106"/>
  <c r="D1811" i="106" s="1"/>
  <c r="B1812" i="106"/>
  <c r="D1812" i="106" s="1"/>
  <c r="B1813" i="106"/>
  <c r="D1813" i="106" s="1"/>
  <c r="D1814" i="106"/>
  <c r="B1815" i="106"/>
  <c r="D1815" i="106"/>
  <c r="B1816" i="106"/>
  <c r="D1816" i="106"/>
  <c r="B1817" i="106"/>
  <c r="D1817" i="106"/>
  <c r="B1818" i="106"/>
  <c r="D1818" i="106"/>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s="1"/>
  <c r="D1869" i="106" s="1"/>
  <c r="F11" i="8"/>
  <c r="B1870" i="106"/>
  <c r="D1870" i="106" s="1"/>
  <c r="F8" i="8"/>
  <c r="B1871" i="106" s="1"/>
  <c r="D1871" i="106" s="1"/>
  <c r="F9" i="8"/>
  <c r="B1872" i="106"/>
  <c r="D1872" i="106" s="1"/>
  <c r="F10" i="8"/>
  <c r="B1873" i="106" s="1"/>
  <c r="D1873" i="106" s="1"/>
  <c r="F14" i="8"/>
  <c r="B1874" i="106"/>
  <c r="D1874" i="106" s="1"/>
  <c r="F13" i="8"/>
  <c r="B3688" i="106" s="1"/>
  <c r="D3688" i="106" s="1"/>
  <c r="F17" i="8"/>
  <c r="B1876" i="106"/>
  <c r="D1876" i="106" s="1"/>
  <c r="F18" i="8"/>
  <c r="B1877" i="106" s="1"/>
  <c r="D1877" i="106" s="1"/>
  <c r="F20" i="8"/>
  <c r="B1878" i="106"/>
  <c r="D1878" i="106" s="1"/>
  <c r="F19" i="8"/>
  <c r="B3689" i="106" s="1"/>
  <c r="D3689" i="106" s="1"/>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c r="D1940" i="106" s="1"/>
  <c r="D1941" i="106"/>
  <c r="D1942" i="106"/>
  <c r="D1943" i="106"/>
  <c r="D1944" i="106"/>
  <c r="D1945" i="106"/>
  <c r="D1946" i="106"/>
  <c r="D1947" i="106"/>
  <c r="B1948" i="106"/>
  <c r="D1948" i="106"/>
  <c r="D1949" i="106"/>
  <c r="B1950" i="106"/>
  <c r="D1950" i="106" s="1"/>
  <c r="D1951" i="106"/>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c r="B1993" i="106"/>
  <c r="D1993" i="106"/>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c r="B2021" i="106"/>
  <c r="D2021" i="106"/>
  <c r="B2022" i="106"/>
  <c r="D2022" i="106"/>
  <c r="B2023" i="106"/>
  <c r="D2023" i="106"/>
  <c r="B2024" i="106"/>
  <c r="D2024" i="106"/>
  <c r="E16" i="11"/>
  <c r="B2025" i="106"/>
  <c r="D2025" i="106" s="1"/>
  <c r="F8" i="11"/>
  <c r="B2027" i="106" s="1"/>
  <c r="D2027" i="106" s="1"/>
  <c r="F10" i="11"/>
  <c r="B2028" i="106"/>
  <c r="D2028" i="106" s="1"/>
  <c r="F12" i="11"/>
  <c r="B2029" i="106" s="1"/>
  <c r="D2029" i="106" s="1"/>
  <c r="F13" i="11"/>
  <c r="B2030" i="106"/>
  <c r="D2030" i="106" s="1"/>
  <c r="D2032" i="106"/>
  <c r="B2033" i="106"/>
  <c r="D2033" i="106"/>
  <c r="B2034" i="106"/>
  <c r="D2034" i="106"/>
  <c r="B2035" i="106"/>
  <c r="D2035" i="106"/>
  <c r="B2036" i="106"/>
  <c r="D2036" i="106"/>
  <c r="H16" i="11"/>
  <c r="B2037" i="106"/>
  <c r="D2037" i="106" s="1"/>
  <c r="D2038" i="106"/>
  <c r="B2039" i="106"/>
  <c r="D2039" i="106"/>
  <c r="B2040" i="106"/>
  <c r="D2040" i="106"/>
  <c r="B2041" i="106"/>
  <c r="D2041" i="106"/>
  <c r="B2042" i="106"/>
  <c r="D2042" i="106"/>
  <c r="I16" i="11"/>
  <c r="B2043" i="106"/>
  <c r="D2043" i="106" s="1"/>
  <c r="D2044" i="106"/>
  <c r="B2045" i="106"/>
  <c r="D2045" i="106"/>
  <c r="B2046" i="106"/>
  <c r="D2046" i="106"/>
  <c r="B2047" i="106"/>
  <c r="D2047" i="106"/>
  <c r="B2048" i="106"/>
  <c r="D2048" i="106"/>
  <c r="J16" i="11"/>
  <c r="B2049" i="106"/>
  <c r="D2049" i="106" s="1"/>
  <c r="D2050" i="106"/>
  <c r="K8" i="11"/>
  <c r="B2051" i="106"/>
  <c r="D2051" i="106" s="1"/>
  <c r="K10" i="11"/>
  <c r="B2052" i="106" s="1"/>
  <c r="D2052" i="106" s="1"/>
  <c r="K12" i="11"/>
  <c r="B2053" i="106"/>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c r="B2092" i="106"/>
  <c r="D2092" i="106"/>
  <c r="D2095" i="106"/>
  <c r="D2096" i="106"/>
  <c r="D2097" i="106"/>
  <c r="D2098" i="106"/>
  <c r="D2099" i="106"/>
  <c r="D2100" i="106"/>
  <c r="D2101" i="106"/>
  <c r="D2103" i="106"/>
  <c r="D2104" i="106"/>
  <c r="I47" i="4"/>
  <c r="B2105" i="106" s="1"/>
  <c r="D2105" i="106" s="1"/>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c r="B2813" i="106"/>
  <c r="D2813" i="106"/>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c r="D2838" i="106"/>
  <c r="B2840" i="106"/>
  <c r="D2840" i="106" s="1"/>
  <c r="B2843" i="106"/>
  <c r="D2843" i="106" s="1"/>
  <c r="B2844" i="106"/>
  <c r="D2844" i="106" s="1"/>
  <c r="D2847" i="106"/>
  <c r="B2848" i="106"/>
  <c r="D2848" i="106"/>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s="1"/>
  <c r="I13" i="3"/>
  <c r="B2888" i="106" s="1"/>
  <c r="D2888" i="106" s="1"/>
  <c r="D2889" i="106"/>
  <c r="D2890" i="106"/>
  <c r="B2891" i="106"/>
  <c r="D2891" i="106"/>
  <c r="B2892" i="106"/>
  <c r="D2892" i="106"/>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c r="D2909" i="106"/>
  <c r="I34" i="3"/>
  <c r="B2910" i="106" s="1"/>
  <c r="D2910" i="106"/>
  <c r="B2911" i="106"/>
  <c r="D2911" i="106"/>
  <c r="B2912" i="106"/>
  <c r="D2912" i="106"/>
  <c r="B2914" i="106"/>
  <c r="D2914" i="106"/>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5" i="106"/>
  <c r="D2975"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9" i="106"/>
  <c r="D3009" i="106"/>
  <c r="B3011" i="106"/>
  <c r="D3011"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c r="D3231" i="106" s="1"/>
  <c r="B3234" i="106"/>
  <c r="D3234" i="106" s="1"/>
  <c r="D44" i="4"/>
  <c r="B3236" i="106"/>
  <c r="D3236" i="106"/>
  <c r="D76" i="4"/>
  <c r="B3237" i="106"/>
  <c r="D3237" i="106" s="1"/>
  <c r="D3240" i="106"/>
  <c r="D3241" i="106"/>
  <c r="D3242" i="106"/>
  <c r="D3243" i="106"/>
  <c r="D3244" i="106"/>
  <c r="D3245" i="106"/>
  <c r="D3246" i="106"/>
  <c r="D3247" i="106"/>
  <c r="D3248" i="106"/>
  <c r="D3249" i="106"/>
  <c r="D3250" i="106"/>
  <c r="B3251" i="106"/>
  <c r="D3251" i="106"/>
  <c r="F44" i="4"/>
  <c r="B3252" i="106"/>
  <c r="D3252" i="106" s="1"/>
  <c r="B3253" i="106"/>
  <c r="D3253" i="106" s="1"/>
  <c r="F76" i="4"/>
  <c r="F77" i="4" s="1"/>
  <c r="B3255" i="106" s="1"/>
  <c r="D3255" i="106" s="1"/>
  <c r="B3257" i="106"/>
  <c r="D3257" i="106" s="1"/>
  <c r="G44" i="4"/>
  <c r="B3258" i="106" s="1"/>
  <c r="D3258" i="106" s="1"/>
  <c r="B3259" i="106"/>
  <c r="D3259" i="106"/>
  <c r="G76" i="4"/>
  <c r="B3260" i="106"/>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H76" i="4"/>
  <c r="B3298" i="106"/>
  <c r="D3298" i="106" s="1"/>
  <c r="D3301" i="106"/>
  <c r="D3302" i="106"/>
  <c r="D3303" i="106"/>
  <c r="D3304" i="106"/>
  <c r="D3305" i="106"/>
  <c r="D3306" i="106"/>
  <c r="D3307" i="106"/>
  <c r="D3308" i="106"/>
  <c r="D3309" i="106"/>
  <c r="D3310" i="106"/>
  <c r="D3311" i="106"/>
  <c r="D3312" i="106"/>
  <c r="D3313" i="106"/>
  <c r="D3314" i="106"/>
  <c r="D3315" i="106"/>
  <c r="B3316" i="106"/>
  <c r="D3316" i="106"/>
  <c r="I44" i="4"/>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c r="D3381" i="106" s="1"/>
  <c r="D3382" i="106"/>
  <c r="D3383" i="106"/>
  <c r="D3384" i="106"/>
  <c r="D3385" i="106"/>
  <c r="D3386" i="106"/>
  <c r="B3387" i="106"/>
  <c r="D3387" i="106"/>
  <c r="B3388" i="106"/>
  <c r="D3388" i="106"/>
  <c r="B3389" i="106"/>
  <c r="D3389" i="106"/>
  <c r="B3392" i="106"/>
  <c r="D3392" i="106"/>
  <c r="D3393" i="106"/>
  <c r="D3394" i="106"/>
  <c r="D3395" i="106"/>
  <c r="D3396" i="106"/>
  <c r="D3397" i="106"/>
  <c r="D3398"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s="1"/>
  <c r="D3420" i="106"/>
  <c r="D3421" i="106"/>
  <c r="B3422" i="106"/>
  <c r="D3422" i="106" s="1"/>
  <c r="D3423" i="106"/>
  <c r="D3424" i="106"/>
  <c r="B3425" i="106"/>
  <c r="D3425" i="106" s="1"/>
  <c r="D3426" i="106"/>
  <c r="B3427" i="106"/>
  <c r="D3427"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c r="B3451" i="106"/>
  <c r="D3451" i="106"/>
  <c r="B3452" i="106"/>
  <c r="D3452" i="106"/>
  <c r="B3453" i="106"/>
  <c r="D3453" i="106"/>
  <c r="F15" i="11"/>
  <c r="B3454" i="106"/>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c r="B3562" i="106"/>
  <c r="D3562" i="106"/>
  <c r="D3563" i="106"/>
  <c r="D3564" i="106"/>
  <c r="K34" i="3"/>
  <c r="B3565" i="106"/>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s="1"/>
  <c r="B3620" i="106"/>
  <c r="D3620" i="106" s="1"/>
  <c r="C352" i="29"/>
  <c r="D3623" i="106"/>
  <c r="B3624" i="106"/>
  <c r="D3624" i="106" s="1"/>
  <c r="B3625" i="106"/>
  <c r="D3625" i="106" s="1"/>
  <c r="D350" i="29"/>
  <c r="B3626" i="106" s="1"/>
  <c r="D3626" i="106" s="1"/>
  <c r="B3627" i="106"/>
  <c r="D3627" i="106"/>
  <c r="D3630" i="106"/>
  <c r="B3631" i="106"/>
  <c r="D3631" i="106" s="1"/>
  <c r="B3632" i="106"/>
  <c r="D3632" i="106" s="1"/>
  <c r="E350" i="29"/>
  <c r="B3634" i="106"/>
  <c r="D3634" i="106"/>
  <c r="D3637" i="106"/>
  <c r="B3638" i="106"/>
  <c r="D3638" i="106" s="1"/>
  <c r="B3639" i="106"/>
  <c r="D3639" i="106" s="1"/>
  <c r="F350" i="29"/>
  <c r="B3641" i="106"/>
  <c r="D3641" i="106"/>
  <c r="D3644" i="106"/>
  <c r="B3645" i="106"/>
  <c r="D3645" i="106" s="1"/>
  <c r="B3646" i="106"/>
  <c r="D3646" i="106" s="1"/>
  <c r="G350" i="29"/>
  <c r="G352" i="29" s="1"/>
  <c r="B3648" i="106"/>
  <c r="D3648" i="106" s="1"/>
  <c r="D3651" i="106"/>
  <c r="B3652" i="106"/>
  <c r="D3652" i="106"/>
  <c r="B3653" i="106"/>
  <c r="D3653" i="106"/>
  <c r="H350" i="29"/>
  <c r="B3654" i="106"/>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c r="D3669" i="106" s="1"/>
  <c r="K351" i="29"/>
  <c r="B3671" i="106" s="1"/>
  <c r="D3671" i="106" s="1"/>
  <c r="D3673" i="106"/>
  <c r="K360" i="29"/>
  <c r="B3675" i="106" s="1"/>
  <c r="D3675" i="106" s="1"/>
  <c r="K361" i="29"/>
  <c r="B7239" i="106"/>
  <c r="D7239" i="106" s="1"/>
  <c r="D3677" i="106"/>
  <c r="K363" i="29"/>
  <c r="B7241" i="106"/>
  <c r="D7241" i="106" s="1"/>
  <c r="K364" i="29"/>
  <c r="D3679" i="106"/>
  <c r="D3680" i="106"/>
  <c r="B3682" i="106"/>
  <c r="D3682" i="106"/>
  <c r="B3683" i="106"/>
  <c r="D3683" i="106"/>
  <c r="B3684" i="106"/>
  <c r="D3684" i="106"/>
  <c r="B3685" i="106"/>
  <c r="D3685" i="106"/>
  <c r="B3686" i="106"/>
  <c r="D3686" i="106"/>
  <c r="B3687" i="106"/>
  <c r="D3687" i="106"/>
  <c r="D3690" i="106"/>
  <c r="D3691" i="106"/>
  <c r="D3692" i="106"/>
  <c r="D3693" i="106"/>
  <c r="D3694" i="106"/>
  <c r="D3695" i="106"/>
  <c r="D3696" i="106"/>
  <c r="D3697" i="106"/>
  <c r="B3698" i="106"/>
  <c r="D3698" i="106"/>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c r="D4101" i="106"/>
  <c r="B4106" i="106"/>
  <c r="D4106" i="106" s="1"/>
  <c r="B4107" i="106"/>
  <c r="D4107" i="106" s="1"/>
  <c r="F17" i="7"/>
  <c r="B4108" i="106" s="1"/>
  <c r="D4108" i="106" s="1"/>
  <c r="F18" i="7"/>
  <c r="B4109" i="106"/>
  <c r="D4109" i="106" s="1"/>
  <c r="B4110" i="106"/>
  <c r="D4110" i="106" s="1"/>
  <c r="B4111" i="106"/>
  <c r="D4111" i="106" s="1"/>
  <c r="D4112" i="106"/>
  <c r="B4113" i="106"/>
  <c r="D4113" i="106"/>
  <c r="B4114" i="106"/>
  <c r="D4114" i="106"/>
  <c r="B4115" i="106"/>
  <c r="D4115" i="106"/>
  <c r="B4116" i="106"/>
  <c r="D4116" i="106"/>
  <c r="B4117" i="106"/>
  <c r="D4117" i="106"/>
  <c r="B4118" i="106"/>
  <c r="D4118" i="106"/>
  <c r="D4119" i="106"/>
  <c r="D4120" i="106"/>
  <c r="B4121" i="106"/>
  <c r="D4121" i="106"/>
  <c r="D4129" i="106"/>
  <c r="C18" i="4"/>
  <c r="B4131" i="106" s="1"/>
  <c r="D4131" i="106" s="1"/>
  <c r="D18" i="4"/>
  <c r="B4132" i="106"/>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s="1"/>
  <c r="H49" i="8"/>
  <c r="B4173" i="106" s="1"/>
  <c r="D4173" i="106" s="1"/>
  <c r="D4174" i="106"/>
  <c r="E18" i="4"/>
  <c r="B4175" i="106" s="1"/>
  <c r="D4175" i="106" s="1"/>
  <c r="G18" i="4"/>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D4399" i="106"/>
  <c r="D4400" i="106"/>
  <c r="D4401"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s="1"/>
  <c r="D4800" i="106"/>
  <c r="B4801" i="106"/>
  <c r="D4801" i="106"/>
  <c r="B4802" i="106"/>
  <c r="D4802" i="106"/>
  <c r="D4803" i="106"/>
  <c r="B4804" i="106"/>
  <c r="D4804" i="106" s="1"/>
  <c r="B4805" i="106"/>
  <c r="D4805" i="106" s="1"/>
  <c r="B4806" i="106"/>
  <c r="D4806" i="106" s="1"/>
  <c r="D4807" i="106"/>
  <c r="B4808" i="106"/>
  <c r="D4808" i="106"/>
  <c r="D4809" i="106"/>
  <c r="B4810" i="106"/>
  <c r="D4810" i="106" s="1"/>
  <c r="B4811" i="106"/>
  <c r="D4811" i="106" s="1"/>
  <c r="D4812" i="106"/>
  <c r="B4813" i="106"/>
  <c r="D4813" i="106"/>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D4879" i="106"/>
  <c r="D4880" i="106"/>
  <c r="B4881" i="106"/>
  <c r="D4881" i="106"/>
  <c r="B4882" i="106"/>
  <c r="D4882" i="106"/>
  <c r="B4883" i="106"/>
  <c r="D4883" i="106"/>
  <c r="B4884" i="106"/>
  <c r="D4884" i="106"/>
  <c r="B4885" i="106"/>
  <c r="D4885" i="106"/>
  <c r="B4886" i="106"/>
  <c r="D4886"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c r="B5023" i="106"/>
  <c r="D5023" i="106"/>
  <c r="B5024" i="106"/>
  <c r="D5024" i="106"/>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c r="D5140" i="106"/>
  <c r="D5141" i="106"/>
  <c r="B5142" i="106"/>
  <c r="D5142" i="106"/>
  <c r="D5143" i="106"/>
  <c r="D5144" i="106"/>
  <c r="D5145" i="106"/>
  <c r="D5146" i="106"/>
  <c r="B5148" i="106"/>
  <c r="D5148" i="106"/>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c r="B5168" i="106"/>
  <c r="D5168" i="106"/>
  <c r="D5169" i="106"/>
  <c r="D5170" i="106"/>
  <c r="B5171" i="106"/>
  <c r="D5171" i="106"/>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c r="D5313" i="106"/>
  <c r="D5314" i="106"/>
  <c r="B5315" i="106"/>
  <c r="D5315" i="106"/>
  <c r="D5316" i="106"/>
  <c r="B5317" i="106"/>
  <c r="D5317" i="106" s="1"/>
  <c r="D5318" i="106"/>
  <c r="D5319" i="106"/>
  <c r="D5321" i="106"/>
  <c r="D5322" i="106"/>
  <c r="D5323" i="106"/>
  <c r="D5324" i="106"/>
  <c r="D5325" i="106"/>
  <c r="B5328" i="106"/>
  <c r="D5328" i="106"/>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c r="B5375" i="106"/>
  <c r="D5375" i="106"/>
  <c r="D5376" i="106"/>
  <c r="D5377" i="106"/>
  <c r="D5378" i="106"/>
  <c r="D5379" i="106"/>
  <c r="D5380" i="106"/>
  <c r="D5381" i="106"/>
  <c r="D5382" i="106"/>
  <c r="B5384" i="106"/>
  <c r="D5384" i="106" s="1"/>
  <c r="D5385" i="106"/>
  <c r="D5386" i="106"/>
  <c r="B5387" i="106"/>
  <c r="D5387" i="106" s="1"/>
  <c r="D5388" i="106"/>
  <c r="D5389" i="106"/>
  <c r="D5390" i="106"/>
  <c r="B5391" i="106"/>
  <c r="D5391" i="106"/>
  <c r="D5392" i="106"/>
  <c r="B5393" i="106"/>
  <c r="D5393" i="106" s="1"/>
  <c r="B5395" i="106"/>
  <c r="D5395" i="106" s="1"/>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c r="D5499" i="106"/>
  <c r="D5500" i="106"/>
  <c r="D5502" i="106"/>
  <c r="D5503" i="106"/>
  <c r="D5504" i="106"/>
  <c r="D5505" i="106"/>
  <c r="D5506" i="106"/>
  <c r="B5509" i="106"/>
  <c r="D5509" i="106" s="1"/>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s="1"/>
  <c r="D5605" i="106"/>
  <c r="B5606" i="106"/>
  <c r="D5606" i="106"/>
  <c r="D5607" i="106"/>
  <c r="D5608" i="106"/>
  <c r="B5609" i="106"/>
  <c r="D5609" i="106"/>
  <c r="D5610" i="106"/>
  <c r="D5611" i="106"/>
  <c r="D5612" i="106"/>
  <c r="D5613" i="106"/>
  <c r="B5615" i="106"/>
  <c r="D5615" i="106"/>
  <c r="D5616" i="106"/>
  <c r="B5617" i="106"/>
  <c r="D5617" i="106" s="1"/>
  <c r="B5619" i="106"/>
  <c r="D5619" i="106" s="1"/>
  <c r="D5620" i="106"/>
  <c r="D5621" i="106"/>
  <c r="D5622" i="106"/>
  <c r="D5623" i="106"/>
  <c r="D5624" i="106"/>
  <c r="B5625" i="106"/>
  <c r="D5625" i="106"/>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c r="B5755" i="106"/>
  <c r="D5755" i="106"/>
  <c r="B5757" i="106"/>
  <c r="D5757" i="106"/>
  <c r="D5758" i="106"/>
  <c r="D5759" i="106"/>
  <c r="D5760" i="106"/>
  <c r="D5761" i="106"/>
  <c r="D5762" i="106"/>
  <c r="B5763" i="106"/>
  <c r="D5763" i="106" s="1"/>
  <c r="D5764" i="106"/>
  <c r="B5765" i="106"/>
  <c r="D5765" i="106"/>
  <c r="D5766" i="106"/>
  <c r="D5767" i="106"/>
  <c r="D5768" i="106"/>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c r="B5791" i="106"/>
  <c r="D5791" i="106"/>
  <c r="D5792" i="106"/>
  <c r="D5793" i="106"/>
  <c r="D5794" i="106"/>
  <c r="D5795" i="106"/>
  <c r="D5796"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s="1"/>
  <c r="D5856" i="106"/>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s="1"/>
  <c r="B6231" i="106"/>
  <c r="D6231" i="106" s="1"/>
  <c r="B6232" i="106"/>
  <c r="D6232" i="106" s="1"/>
  <c r="B6233" i="106"/>
  <c r="D6233" i="106" s="1"/>
  <c r="B6234" i="106"/>
  <c r="D6234" i="106" s="1"/>
  <c r="B6235" i="106"/>
  <c r="D6235" i="106" s="1"/>
  <c r="B6236" i="106"/>
  <c r="D6236" i="106" s="1"/>
  <c r="B6237" i="106"/>
  <c r="D6237" i="106" s="1"/>
  <c r="J44" i="4"/>
  <c r="B6238" i="106" s="1"/>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s="1"/>
  <c r="B6845" i="106"/>
  <c r="D6845" i="106" s="1"/>
  <c r="B6846" i="106"/>
  <c r="D6846" i="106" s="1"/>
  <c r="B6847" i="106"/>
  <c r="D6847" i="106" s="1"/>
  <c r="K7" i="29"/>
  <c r="B6848" i="106" s="1"/>
  <c r="D6848" i="106" s="1"/>
  <c r="B6849" i="106"/>
  <c r="D6849" i="106"/>
  <c r="B6850" i="106"/>
  <c r="D6850" i="106"/>
  <c r="B6851" i="106"/>
  <c r="D6851" i="106"/>
  <c r="B6852" i="106"/>
  <c r="D6852" i="106"/>
  <c r="K9" i="29"/>
  <c r="B6853" i="106"/>
  <c r="D6853" i="106" s="1"/>
  <c r="B6854" i="106"/>
  <c r="D6854" i="106" s="1"/>
  <c r="B6855" i="106"/>
  <c r="D6855" i="106" s="1"/>
  <c r="B6856" i="106"/>
  <c r="D6856" i="106" s="1"/>
  <c r="B6857" i="106"/>
  <c r="D6857" i="106" s="1"/>
  <c r="K11" i="29"/>
  <c r="B6858" i="106" s="1"/>
  <c r="D6858" i="106" s="1"/>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s="1"/>
  <c r="B6872" i="106"/>
  <c r="D6872" i="106" s="1"/>
  <c r="B6873" i="106"/>
  <c r="D6873" i="106" s="1"/>
  <c r="B6874" i="106"/>
  <c r="D6874" i="106" s="1"/>
  <c r="B6875" i="106"/>
  <c r="D6875" i="106" s="1"/>
  <c r="B6876" i="106"/>
  <c r="D6876" i="106" s="1"/>
  <c r="K20" i="29"/>
  <c r="B6878" i="106"/>
  <c r="D6878" i="106"/>
  <c r="K21" i="29"/>
  <c r="B6879" i="106"/>
  <c r="D6879" i="106" s="1"/>
  <c r="B6880" i="106"/>
  <c r="D6880" i="106" s="1"/>
  <c r="K22" i="29"/>
  <c r="B6881" i="106" s="1"/>
  <c r="D6881" i="106" s="1"/>
  <c r="B6882" i="106"/>
  <c r="D6882" i="106"/>
  <c r="K23" i="29"/>
  <c r="B6883" i="106"/>
  <c r="D6883" i="106" s="1"/>
  <c r="B6884" i="106"/>
  <c r="D6884" i="106" s="1"/>
  <c r="K24" i="29"/>
  <c r="B6886" i="106"/>
  <c r="D6886" i="106"/>
  <c r="K25" i="29"/>
  <c r="B6887" i="106"/>
  <c r="D6887" i="106" s="1"/>
  <c r="B6888" i="106"/>
  <c r="D6888" i="106" s="1"/>
  <c r="K26" i="29"/>
  <c r="B6889" i="106" s="1"/>
  <c r="D6889" i="106" s="1"/>
  <c r="B6890" i="106"/>
  <c r="D6890" i="106"/>
  <c r="K27" i="29"/>
  <c r="B6891" i="106"/>
  <c r="D6891" i="106" s="1"/>
  <c r="B6892" i="106"/>
  <c r="D6892" i="106" s="1"/>
  <c r="K28" i="29"/>
  <c r="B6894" i="106"/>
  <c r="D6894" i="106"/>
  <c r="K29" i="29"/>
  <c r="B6895" i="106"/>
  <c r="D6895" i="106" s="1"/>
  <c r="B6896" i="106"/>
  <c r="D6896" i="106" s="1"/>
  <c r="K30" i="29"/>
  <c r="B6897" i="106" s="1"/>
  <c r="D6897" i="106" s="1"/>
  <c r="B6898" i="106"/>
  <c r="D6898" i="106"/>
  <c r="K31" i="29"/>
  <c r="B6899" i="106"/>
  <c r="D6899" i="106" s="1"/>
  <c r="B6900" i="106"/>
  <c r="D6900" i="106" s="1"/>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s="1"/>
  <c r="J47" i="29"/>
  <c r="B6925" i="106" s="1"/>
  <c r="D6925" i="106" s="1"/>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s="1"/>
  <c r="D6941" i="106"/>
  <c r="I53" i="29"/>
  <c r="B6942" i="106"/>
  <c r="D6942" i="106" s="1"/>
  <c r="J53" i="29"/>
  <c r="B6943" i="106" s="1"/>
  <c r="D6943" i="106" s="1"/>
  <c r="B6944" i="106"/>
  <c r="D6944" i="106"/>
  <c r="B6945" i="106"/>
  <c r="D6945" i="106"/>
  <c r="B6946" i="106"/>
  <c r="D6946" i="106"/>
  <c r="B6947" i="106"/>
  <c r="D6947" i="106"/>
  <c r="I57" i="29"/>
  <c r="B6948" i="106"/>
  <c r="D6948" i="106" s="1"/>
  <c r="J57" i="29"/>
  <c r="B6949" i="106" s="1"/>
  <c r="D6949" i="106" s="1"/>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s="1"/>
  <c r="J65" i="29"/>
  <c r="B6962" i="106" s="1"/>
  <c r="D6962" i="106" s="1"/>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s="1"/>
  <c r="J72" i="29"/>
  <c r="B6974" i="106" s="1"/>
  <c r="D6974" i="106" s="1"/>
  <c r="B6975" i="106"/>
  <c r="D6975" i="106"/>
  <c r="B6976" i="106"/>
  <c r="D6976" i="106"/>
  <c r="B6979" i="106"/>
  <c r="D6979" i="106"/>
  <c r="B6980" i="106"/>
  <c r="D6980" i="106"/>
  <c r="B6981" i="106"/>
  <c r="D6981" i="106"/>
  <c r="K85" i="29"/>
  <c r="B6982" i="106"/>
  <c r="D6982" i="106" s="1"/>
  <c r="B6983" i="106"/>
  <c r="D6983" i="106" s="1"/>
  <c r="K86" i="29"/>
  <c r="B6984" i="106" s="1"/>
  <c r="D6984" i="106" s="1"/>
  <c r="B6985" i="106"/>
  <c r="D6985" i="106"/>
  <c r="K87" i="29"/>
  <c r="B6986" i="106"/>
  <c r="D6986" i="106" s="1"/>
  <c r="B6987" i="106"/>
  <c r="D6987" i="106" s="1"/>
  <c r="K88" i="29"/>
  <c r="B6988" i="106" s="1"/>
  <c r="D6988" i="106" s="1"/>
  <c r="B6989" i="106"/>
  <c r="D6989" i="106"/>
  <c r="K89" i="29"/>
  <c r="B6990" i="106"/>
  <c r="D6990" i="106" s="1"/>
  <c r="B6991" i="106"/>
  <c r="D6991" i="106" s="1"/>
  <c r="K90" i="29"/>
  <c r="B6992" i="106" s="1"/>
  <c r="D6992" i="106" s="1"/>
  <c r="B6993" i="106"/>
  <c r="D6993" i="106"/>
  <c r="K91" i="29"/>
  <c r="B6994" i="106"/>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s="1"/>
  <c r="J127" i="29"/>
  <c r="B7034" i="106" s="1"/>
  <c r="D7034" i="106" s="1"/>
  <c r="B7035" i="106"/>
  <c r="D7035" i="106"/>
  <c r="B7036" i="106"/>
  <c r="D7036" i="106"/>
  <c r="I129" i="29"/>
  <c r="B7037" i="106"/>
  <c r="D7037" i="106" s="1"/>
  <c r="J129" i="29"/>
  <c r="B7038" i="106" s="1"/>
  <c r="D7038" i="106" s="1"/>
  <c r="B7039" i="106"/>
  <c r="D7039" i="106"/>
  <c r="B7040" i="106"/>
  <c r="D7040" i="106"/>
  <c r="B7043" i="106"/>
  <c r="D7043" i="106"/>
  <c r="B7044" i="106"/>
  <c r="D7044" i="106"/>
  <c r="B7045" i="106"/>
  <c r="D7045" i="106"/>
  <c r="B7046" i="106"/>
  <c r="D7046" i="106"/>
  <c r="B7047" i="106"/>
  <c r="D7047" i="106"/>
  <c r="B7049" i="106"/>
  <c r="D7049" i="106"/>
  <c r="D7053" i="106"/>
  <c r="D7056" i="106"/>
  <c r="B7057" i="106"/>
  <c r="D7057" i="106"/>
  <c r="B7058" i="106"/>
  <c r="D7058" i="106"/>
  <c r="B7059" i="106"/>
  <c r="D7059" i="106"/>
  <c r="B7060" i="106"/>
  <c r="D7060" i="106"/>
  <c r="B7061" i="106"/>
  <c r="D7061" i="106"/>
  <c r="B7062" i="106"/>
  <c r="D7062" i="106"/>
  <c r="I184" i="29"/>
  <c r="B7063" i="106"/>
  <c r="D7063" i="106" s="1"/>
  <c r="J184" i="29"/>
  <c r="B7064" i="106" s="1"/>
  <c r="D7064" i="106" s="1"/>
  <c r="B7065" i="106"/>
  <c r="D7065" i="106"/>
  <c r="B7066" i="106"/>
  <c r="D7066" i="106"/>
  <c r="B7067" i="106"/>
  <c r="D7067" i="106"/>
  <c r="B7069" i="106"/>
  <c r="D7069" i="106"/>
  <c r="I210" i="29"/>
  <c r="B7071" i="106"/>
  <c r="D7071" i="106" s="1"/>
  <c r="J210" i="29"/>
  <c r="B7072" i="106" s="1"/>
  <c r="D7072" i="106" s="1"/>
  <c r="B7073" i="106"/>
  <c r="D7073" i="106"/>
  <c r="B7074" i="106"/>
  <c r="D7074" i="106"/>
  <c r="B7075" i="106"/>
  <c r="D7075" i="106"/>
  <c r="B7076" i="106"/>
  <c r="D7076" i="106"/>
  <c r="B7077" i="106"/>
  <c r="D7077" i="106"/>
  <c r="B7078" i="106"/>
  <c r="D7078" i="106"/>
  <c r="B7079" i="106"/>
  <c r="D7079" i="106"/>
  <c r="B7081" i="106"/>
  <c r="D7081" i="106"/>
  <c r="B7083" i="106"/>
  <c r="D7083" i="106"/>
  <c r="B7084" i="106"/>
  <c r="D7084" i="106"/>
  <c r="B7085" i="106"/>
  <c r="D7085" i="106"/>
  <c r="B7087" i="106"/>
  <c r="D7087" i="106"/>
  <c r="B7088" i="106"/>
  <c r="D7088" i="106"/>
  <c r="B7089" i="106"/>
  <c r="D7089" i="106"/>
  <c r="B7091" i="106"/>
  <c r="D7091" i="106"/>
  <c r="B7092" i="106"/>
  <c r="D7092" i="106"/>
  <c r="B7093" i="106"/>
  <c r="D7093" i="106"/>
  <c r="B7095" i="106"/>
  <c r="D7095" i="106"/>
  <c r="B7096" i="106"/>
  <c r="D7096" i="106"/>
  <c r="B7097" i="106"/>
  <c r="D7097" i="106"/>
  <c r="B7099" i="106"/>
  <c r="D7099" i="106"/>
  <c r="B7100" i="106"/>
  <c r="D7100" i="106"/>
  <c r="B7101" i="106"/>
  <c r="D7101" i="106"/>
  <c r="B7102" i="106"/>
  <c r="D7102" i="106"/>
  <c r="I303" i="29"/>
  <c r="B7103" i="106"/>
  <c r="D7103" i="106" s="1"/>
  <c r="J303" i="29"/>
  <c r="B7104" i="106" s="1"/>
  <c r="D7104" i="106" s="1"/>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E57" i="184" s="1"/>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E58" i="184" s="1"/>
  <c r="N58" i="184" s="1"/>
  <c r="B7136" i="106"/>
  <c r="D7136" i="106"/>
  <c r="B7137" i="106"/>
  <c r="D7137" i="106"/>
  <c r="B7138" i="106"/>
  <c r="D7138" i="106"/>
  <c r="B7139" i="106"/>
  <c r="D7139" i="106"/>
  <c r="B7140" i="106"/>
  <c r="D7140" i="106"/>
  <c r="B7141" i="106"/>
  <c r="D7141" i="106"/>
  <c r="B7142" i="106"/>
  <c r="D7142" i="106"/>
  <c r="B7143" i="106"/>
  <c r="D7143" i="106"/>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E60" i="184" s="1"/>
  <c r="N60" i="184" s="1"/>
  <c r="B7154" i="106"/>
  <c r="D7154" i="106"/>
  <c r="B7155" i="106"/>
  <c r="D7155" i="106"/>
  <c r="B7156" i="106"/>
  <c r="D7156" i="106"/>
  <c r="B7157" i="106"/>
  <c r="D7157" i="106"/>
  <c r="B7158" i="106"/>
  <c r="D7158" i="106"/>
  <c r="B7159" i="106"/>
  <c r="D7159" i="106"/>
  <c r="B7160" i="106"/>
  <c r="D7160" i="106"/>
  <c r="B7161" i="106"/>
  <c r="D7161" i="106"/>
  <c r="K323" i="29"/>
  <c r="E61" i="184" s="1"/>
  <c r="N61" i="184" s="1"/>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E62" i="184" s="1"/>
  <c r="N62" i="184" s="1"/>
  <c r="B7172" i="106"/>
  <c r="D7172" i="106"/>
  <c r="B7173" i="106"/>
  <c r="D7173" i="106"/>
  <c r="B7174" i="106"/>
  <c r="D7174" i="106"/>
  <c r="B7175" i="106"/>
  <c r="D7175" i="106"/>
  <c r="B7176" i="106"/>
  <c r="D7176" i="106"/>
  <c r="B7177" i="106"/>
  <c r="D7177" i="106"/>
  <c r="B7178" i="106"/>
  <c r="D7178" i="106"/>
  <c r="B7179" i="106"/>
  <c r="D7179" i="106"/>
  <c r="K325" i="29"/>
  <c r="E63" i="184" s="1"/>
  <c r="N63" i="184" s="1"/>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E64" i="184" s="1"/>
  <c r="N64" i="184" s="1"/>
  <c r="B7190" i="106"/>
  <c r="D7190" i="106"/>
  <c r="B7191" i="106"/>
  <c r="D7191" i="106"/>
  <c r="B7192" i="106"/>
  <c r="D7192" i="106"/>
  <c r="B7193" i="106"/>
  <c r="D7193" i="106"/>
  <c r="B7194" i="106"/>
  <c r="D7194" i="106"/>
  <c r="B7195" i="106"/>
  <c r="D7195" i="106"/>
  <c r="B7196" i="106"/>
  <c r="D7196" i="106"/>
  <c r="B7197" i="106"/>
  <c r="D7197" i="106"/>
  <c r="K327" i="29"/>
  <c r="E65" i="184" s="1"/>
  <c r="N65" i="184" s="1"/>
  <c r="B7198" i="106"/>
  <c r="D7198" i="106" s="1"/>
  <c r="C330" i="29"/>
  <c r="B7199" i="106" s="1"/>
  <c r="D7199" i="106" s="1"/>
  <c r="D330" i="29"/>
  <c r="E330" i="29"/>
  <c r="F330" i="29"/>
  <c r="G330" i="29"/>
  <c r="B7203" i="106" s="1"/>
  <c r="D7203" i="106" s="1"/>
  <c r="H330" i="29"/>
  <c r="B7204" i="106"/>
  <c r="D7204" i="106" s="1"/>
  <c r="I330" i="29"/>
  <c r="B7205" i="106" s="1"/>
  <c r="D7205" i="106" s="1"/>
  <c r="J330" i="29"/>
  <c r="B7206" i="106"/>
  <c r="D7206" i="106" s="1"/>
  <c r="K328" i="29"/>
  <c r="E66" i="184" s="1"/>
  <c r="N66" i="184" s="1"/>
  <c r="K329" i="29"/>
  <c r="E67" i="184" s="1"/>
  <c r="N67" i="184" s="1"/>
  <c r="B7705" i="106"/>
  <c r="D7705" i="106" s="1"/>
  <c r="B7208" i="106"/>
  <c r="D7208" i="106" s="1"/>
  <c r="K337" i="29"/>
  <c r="B7209" i="106" s="1"/>
  <c r="D7209" i="106" s="1"/>
  <c r="B7210" i="106"/>
  <c r="D7210" i="106"/>
  <c r="K338" i="29"/>
  <c r="B7212" i="106"/>
  <c r="D7212" i="106" s="1"/>
  <c r="K339" i="29"/>
  <c r="B7213" i="106" s="1"/>
  <c r="D7213" i="106" s="1"/>
  <c r="H340" i="29"/>
  <c r="H342" i="29"/>
  <c r="B7226" i="106"/>
  <c r="D7226" i="106" s="1"/>
  <c r="B7227" i="106"/>
  <c r="D7227" i="106" s="1"/>
  <c r="B7228" i="106"/>
  <c r="D7228" i="106" s="1"/>
  <c r="B7229" i="106"/>
  <c r="D7229" i="106" s="1"/>
  <c r="I350" i="29"/>
  <c r="J350" i="29"/>
  <c r="B7231" i="106"/>
  <c r="D7231" i="106" s="1"/>
  <c r="B7232" i="106"/>
  <c r="D7232" i="106" s="1"/>
  <c r="B7233" i="106"/>
  <c r="D7233" i="106" s="1"/>
  <c r="D7236" i="106"/>
  <c r="D7237" i="106"/>
  <c r="B7238" i="106"/>
  <c r="D7238" i="106" s="1"/>
  <c r="B7240" i="106"/>
  <c r="D7240" i="106" s="1"/>
  <c r="B7242" i="106"/>
  <c r="D7242" i="106" s="1"/>
  <c r="A7245" i="106"/>
  <c r="A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c r="B7606" i="106"/>
  <c r="B7607" i="106"/>
  <c r="B7608" i="106"/>
  <c r="F9" i="11"/>
  <c r="B7609" i="106" s="1"/>
  <c r="B7610" i="106"/>
  <c r="B7611" i="106"/>
  <c r="B7612" i="106"/>
  <c r="K9" i="11"/>
  <c r="B7613" i="106"/>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c r="B7736" i="106"/>
  <c r="D7736" i="106"/>
  <c r="B7737" i="106"/>
  <c r="D7737" i="106"/>
  <c r="B7738" i="106"/>
  <c r="D7738" i="106"/>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6" i="106"/>
  <c r="D7797" i="106"/>
  <c r="D7798" i="106"/>
  <c r="D7799" i="106"/>
  <c r="D7800" i="106"/>
  <c r="B6" i="36"/>
  <c r="B7" i="36"/>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c r="D7846" i="106" s="1"/>
  <c r="D112" i="34"/>
  <c r="C113" i="34"/>
  <c r="D113" i="34"/>
  <c r="F113" i="34"/>
  <c r="C114" i="34"/>
  <c r="D114" i="34"/>
  <c r="F114" i="34"/>
  <c r="B7848" i="106" s="1"/>
  <c r="D7848" i="106" s="1"/>
  <c r="C115" i="34"/>
  <c r="D115" i="34"/>
  <c r="F115" i="34"/>
  <c r="B7849" i="106"/>
  <c r="D7849" i="106" s="1"/>
  <c r="C116" i="34"/>
  <c r="D116" i="34"/>
  <c r="F116" i="34"/>
  <c r="B7850" i="106" s="1"/>
  <c r="D7850" i="106" s="1"/>
  <c r="C117" i="34"/>
  <c r="D117" i="34"/>
  <c r="F117" i="34"/>
  <c r="B7851" i="106"/>
  <c r="D7851" i="106" s="1"/>
  <c r="C118" i="34"/>
  <c r="D118" i="34"/>
  <c r="F118" i="34"/>
  <c r="B7852" i="106" s="1"/>
  <c r="D7852" i="106" s="1"/>
  <c r="C119" i="34"/>
  <c r="D119" i="34"/>
  <c r="F119" i="34"/>
  <c r="B7853" i="106"/>
  <c r="D7853" i="106" s="1"/>
  <c r="C120" i="34"/>
  <c r="D120" i="34"/>
  <c r="F120" i="34"/>
  <c r="B7854" i="106" s="1"/>
  <c r="D7854" i="106" s="1"/>
  <c r="C121" i="34"/>
  <c r="D121" i="34"/>
  <c r="F121" i="34"/>
  <c r="C122" i="34"/>
  <c r="F122" i="34"/>
  <c r="B7855" i="106"/>
  <c r="D7855" i="106" s="1"/>
  <c r="C123" i="34"/>
  <c r="D123" i="34"/>
  <c r="F123" i="34"/>
  <c r="D124" i="34"/>
  <c r="D125" i="34"/>
  <c r="D126" i="34"/>
  <c r="D127" i="34"/>
  <c r="D128" i="34"/>
  <c r="C129" i="34"/>
  <c r="D129" i="34"/>
  <c r="F129" i="34"/>
  <c r="B7861" i="106" s="1"/>
  <c r="D7861" i="106" s="1"/>
  <c r="C130" i="34"/>
  <c r="D130" i="34"/>
  <c r="F130" i="34"/>
  <c r="B7862" i="106"/>
  <c r="D7862" i="106" s="1"/>
  <c r="C131" i="34"/>
  <c r="D131" i="34"/>
  <c r="F131" i="34"/>
  <c r="B7863" i="106" s="1"/>
  <c r="D7863" i="106" s="1"/>
  <c r="C132" i="34"/>
  <c r="D132" i="34"/>
  <c r="F132" i="34"/>
  <c r="B7864" i="106"/>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c r="D7868" i="106" s="1"/>
  <c r="C162" i="34"/>
  <c r="D162" i="34"/>
  <c r="F162" i="34"/>
  <c r="B7869" i="106" s="1"/>
  <c r="D7869" i="106" s="1"/>
  <c r="C163" i="34"/>
  <c r="D163" i="34"/>
  <c r="F163" i="34"/>
  <c r="B7870" i="106"/>
  <c r="D7870" i="106" s="1"/>
  <c r="C164" i="34"/>
  <c r="D164" i="34"/>
  <c r="F164" i="34"/>
  <c r="B7871" i="106" s="1"/>
  <c r="D7871" i="106" s="1"/>
  <c r="C165" i="34"/>
  <c r="D165" i="34"/>
  <c r="F165" i="34"/>
  <c r="B7872" i="106"/>
  <c r="D7872" i="106" s="1"/>
  <c r="C166" i="34"/>
  <c r="D166" i="34"/>
  <c r="F166" i="34"/>
  <c r="B7873" i="106" s="1"/>
  <c r="D7873" i="106" s="1"/>
  <c r="C169" i="34"/>
  <c r="D169" i="34"/>
  <c r="F169" i="34"/>
  <c r="B7874" i="106"/>
  <c r="D7874" i="106" s="1"/>
  <c r="C170" i="34"/>
  <c r="D170" i="34"/>
  <c r="F170" i="34"/>
  <c r="B7875" i="106" s="1"/>
  <c r="D7875" i="106" s="1"/>
  <c r="C171" i="34"/>
  <c r="D171" i="34"/>
  <c r="F171" i="34"/>
  <c r="B7876" i="106"/>
  <c r="D7876" i="106" s="1"/>
  <c r="F179" i="34"/>
  <c r="F3" i="11"/>
  <c r="B7591" i="106"/>
  <c r="F5" i="11"/>
  <c r="B2026" i="106"/>
  <c r="D2026" i="106" s="1"/>
  <c r="C16" i="11"/>
  <c r="B2013" i="106" s="1"/>
  <c r="D2013" i="106" s="1"/>
  <c r="C49" i="8"/>
  <c r="B7817" i="106"/>
  <c r="D7817" i="106" s="1"/>
  <c r="B4" i="7"/>
  <c r="B1744" i="106" s="1"/>
  <c r="D1744" i="106" s="1"/>
  <c r="B5" i="7"/>
  <c r="B1745" i="106"/>
  <c r="D1745" i="106" s="1"/>
  <c r="B6" i="7"/>
  <c r="D6" i="7" s="1"/>
  <c r="B1762" i="106" s="1"/>
  <c r="D1762" i="106" s="1"/>
  <c r="B7" i="7"/>
  <c r="B1747" i="106" s="1"/>
  <c r="D1747" i="106" s="1"/>
  <c r="B8" i="7"/>
  <c r="B1748" i="106"/>
  <c r="D1748" i="106" s="1"/>
  <c r="B9" i="7"/>
  <c r="B1751" i="106" s="1"/>
  <c r="D1751" i="106" s="1"/>
  <c r="B10" i="7"/>
  <c r="B1749" i="106"/>
  <c r="D1749" i="106" s="1"/>
  <c r="B1752" i="106"/>
  <c r="D1752" i="106" s="1"/>
  <c r="B12" i="7"/>
  <c r="B1753" i="106" s="1"/>
  <c r="D1753" i="106" s="1"/>
  <c r="B13" i="7"/>
  <c r="B3725" i="106"/>
  <c r="D3725" i="106" s="1"/>
  <c r="B14" i="7"/>
  <c r="B1754" i="106" s="1"/>
  <c r="D1754" i="106" s="1"/>
  <c r="B1756" i="106"/>
  <c r="D1756" i="106"/>
  <c r="B16" i="7"/>
  <c r="B3446" i="106"/>
  <c r="D3446" i="106" s="1"/>
  <c r="B17" i="7"/>
  <c r="B4102" i="106" s="1"/>
  <c r="D4102" i="106" s="1"/>
  <c r="B18" i="7"/>
  <c r="B4103" i="106"/>
  <c r="D4103" i="106" s="1"/>
  <c r="K5" i="29"/>
  <c r="B1093" i="106" s="1"/>
  <c r="D1093" i="106" s="1"/>
  <c r="K10" i="29"/>
  <c r="B3062" i="106"/>
  <c r="D3062" i="106" s="1"/>
  <c r="K13" i="29"/>
  <c r="B1105" i="106" s="1"/>
  <c r="D1105" i="106" s="1"/>
  <c r="C33" i="29"/>
  <c r="D33" i="29"/>
  <c r="B778" i="106" s="1"/>
  <c r="D778" i="106" s="1"/>
  <c r="F33" i="29"/>
  <c r="B894" i="106"/>
  <c r="D894" i="106" s="1"/>
  <c r="G33" i="29"/>
  <c r="B952" i="106" s="1"/>
  <c r="D952" i="106" s="1"/>
  <c r="H33" i="29"/>
  <c r="B1010" i="106"/>
  <c r="D1010" i="106" s="1"/>
  <c r="I33" i="29"/>
  <c r="B6902" i="106" s="1"/>
  <c r="D6902" i="106" s="1"/>
  <c r="J33" i="29"/>
  <c r="B6903" i="106"/>
  <c r="D6903" i="106" s="1"/>
  <c r="L33" i="29"/>
  <c r="L42" i="29"/>
  <c r="K44" i="29"/>
  <c r="B1116" i="106" s="1"/>
  <c r="K45" i="29"/>
  <c r="B1117" i="106"/>
  <c r="D1117" i="106" s="1"/>
  <c r="C47" i="29"/>
  <c r="L47" i="29"/>
  <c r="K50" i="29"/>
  <c r="E12" i="184" s="1"/>
  <c r="C53" i="29"/>
  <c r="B734" i="106"/>
  <c r="D734" i="106" s="1"/>
  <c r="L53" i="29"/>
  <c r="L74" i="29" s="1"/>
  <c r="L57" i="29"/>
  <c r="L65" i="29"/>
  <c r="L72" i="29"/>
  <c r="L84" i="29"/>
  <c r="L92" i="29"/>
  <c r="L100" i="29"/>
  <c r="L110" i="29"/>
  <c r="L112" i="29"/>
  <c r="L147" i="29"/>
  <c r="L168" i="29"/>
  <c r="L172" i="29" s="1"/>
  <c r="L174" i="29" s="1"/>
  <c r="L184" i="29"/>
  <c r="L194" i="29"/>
  <c r="L196" i="29" s="1"/>
  <c r="L204" i="29"/>
  <c r="L208" i="29" s="1"/>
  <c r="L229" i="29"/>
  <c r="L238" i="29"/>
  <c r="L243" i="29"/>
  <c r="L279" i="29" s="1"/>
  <c r="L257" i="29"/>
  <c r="L261" i="29"/>
  <c r="L270" i="29"/>
  <c r="L277" i="29"/>
  <c r="L293" i="29"/>
  <c r="L303" i="29"/>
  <c r="L312" i="29" s="1"/>
  <c r="L310" i="29"/>
  <c r="L330" i="29"/>
  <c r="L342" i="29" s="1"/>
  <c r="L340" i="29"/>
  <c r="L350" i="29"/>
  <c r="L352" i="29" s="1"/>
  <c r="L362" i="29"/>
  <c r="L365" i="29" s="1"/>
  <c r="C12" i="5"/>
  <c r="D12" i="5"/>
  <c r="B5334" i="106"/>
  <c r="D5334" i="106" s="1"/>
  <c r="E12" i="5"/>
  <c r="B5513" i="106" s="1"/>
  <c r="D5513" i="106" s="1"/>
  <c r="F12" i="5"/>
  <c r="B5557" i="106"/>
  <c r="D5557" i="106" s="1"/>
  <c r="G12" i="5"/>
  <c r="B5725" i="106" s="1"/>
  <c r="D5725" i="106" s="1"/>
  <c r="H12" i="5"/>
  <c r="B5873" i="106"/>
  <c r="D5873" i="106" s="1"/>
  <c r="I12" i="5"/>
  <c r="B5918" i="106" s="1"/>
  <c r="D5918" i="106" s="1"/>
  <c r="J12" i="5"/>
  <c r="B6301" i="106"/>
  <c r="D6301" i="106" s="1"/>
  <c r="K12" i="5"/>
  <c r="B5987" i="106" s="1"/>
  <c r="D5987" i="106" s="1"/>
  <c r="C18" i="5"/>
  <c r="B5071" i="106"/>
  <c r="D5071" i="106" s="1"/>
  <c r="D18" i="5"/>
  <c r="B5339" i="106" s="1"/>
  <c r="D5339" i="106" s="1"/>
  <c r="E18" i="5"/>
  <c r="B5518" i="106"/>
  <c r="D5518" i="106" s="1"/>
  <c r="F18" i="5"/>
  <c r="B5562" i="106" s="1"/>
  <c r="D5562" i="106" s="1"/>
  <c r="G18" i="5"/>
  <c r="B5730" i="106"/>
  <c r="D5730" i="106" s="1"/>
  <c r="H18" i="5"/>
  <c r="B5878" i="106" s="1"/>
  <c r="D5878" i="106" s="1"/>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c r="D5342" i="106" s="1"/>
  <c r="E67" i="5"/>
  <c r="B5521" i="106" s="1"/>
  <c r="D5521" i="106" s="1"/>
  <c r="F67" i="5"/>
  <c r="B5582" i="106"/>
  <c r="D5582" i="106" s="1"/>
  <c r="G67" i="5"/>
  <c r="B5733" i="106" s="1"/>
  <c r="D5733" i="106" s="1"/>
  <c r="H67" i="5"/>
  <c r="B5881" i="106"/>
  <c r="D5881" i="106" s="1"/>
  <c r="I67" i="5"/>
  <c r="B5926" i="106" s="1"/>
  <c r="D5926" i="106" s="1"/>
  <c r="J67" i="5"/>
  <c r="B6318" i="106"/>
  <c r="D6318" i="106" s="1"/>
  <c r="K67" i="5"/>
  <c r="B5995" i="106" s="1"/>
  <c r="D5995" i="106" s="1"/>
  <c r="C82" i="5"/>
  <c r="B5102" i="106"/>
  <c r="D5102" i="106" s="1"/>
  <c r="D82" i="5"/>
  <c r="B5348" i="106" s="1"/>
  <c r="D5348" i="106" s="1"/>
  <c r="C93" i="5"/>
  <c r="B5112" i="106"/>
  <c r="D5112" i="106" s="1"/>
  <c r="C108" i="5"/>
  <c r="B5120" i="106" s="1"/>
  <c r="D5120" i="106" s="1"/>
  <c r="D108" i="5"/>
  <c r="B5355" i="106"/>
  <c r="D5355" i="106" s="1"/>
  <c r="E108" i="5"/>
  <c r="B5526" i="106" s="1"/>
  <c r="D5526" i="106" s="1"/>
  <c r="F108" i="5"/>
  <c r="B5587" i="106"/>
  <c r="D5587" i="106" s="1"/>
  <c r="G108" i="5"/>
  <c r="B5737" i="106" s="1"/>
  <c r="D5737" i="106" s="1"/>
  <c r="H108" i="5"/>
  <c r="B5886" i="106"/>
  <c r="D5886" i="106" s="1"/>
  <c r="I108" i="5"/>
  <c r="B5930" i="106" s="1"/>
  <c r="D5930" i="106" s="1"/>
  <c r="J108" i="5"/>
  <c r="B6351" i="106"/>
  <c r="D6351" i="106" s="1"/>
  <c r="K108" i="5"/>
  <c r="B5999" i="106" s="1"/>
  <c r="D5999" i="106" s="1"/>
  <c r="C114" i="5"/>
  <c r="B5125" i="106"/>
  <c r="D5125" i="106" s="1"/>
  <c r="D114" i="5"/>
  <c r="B5360" i="106" s="1"/>
  <c r="D5360" i="106" s="1"/>
  <c r="F114" i="5"/>
  <c r="B5592" i="106"/>
  <c r="D5592" i="106" s="1"/>
  <c r="G114" i="5"/>
  <c r="B5741" i="106" s="1"/>
  <c r="D5741" i="106" s="1"/>
  <c r="C122" i="5"/>
  <c r="B5132" i="106"/>
  <c r="D5132" i="106" s="1"/>
  <c r="D122" i="5"/>
  <c r="B5367" i="106" s="1"/>
  <c r="D5367" i="106" s="1"/>
  <c r="E122" i="5"/>
  <c r="B5534" i="106"/>
  <c r="D5534" i="106" s="1"/>
  <c r="F122" i="5"/>
  <c r="B5599" i="106" s="1"/>
  <c r="D5599" i="106" s="1"/>
  <c r="F132" i="5"/>
  <c r="B5614" i="106"/>
  <c r="D5614" i="106" s="1"/>
  <c r="F155" i="5"/>
  <c r="F169" i="5" s="1"/>
  <c r="B5644" i="106" s="1"/>
  <c r="D5644" i="106" s="1"/>
  <c r="G122" i="5"/>
  <c r="B5748" i="106"/>
  <c r="D5748" i="106" s="1"/>
  <c r="H122" i="5"/>
  <c r="B5893" i="106" s="1"/>
  <c r="D5893" i="106" s="1"/>
  <c r="J122" i="5"/>
  <c r="B6357" i="106"/>
  <c r="D6357" i="106" s="1"/>
  <c r="K122" i="5"/>
  <c r="B6006" i="106" s="1"/>
  <c r="D6006" i="106" s="1"/>
  <c r="C132" i="5"/>
  <c r="B5147" i="106"/>
  <c r="D5147" i="106" s="1"/>
  <c r="D132" i="5"/>
  <c r="B5369" i="106" s="1"/>
  <c r="D5369" i="106" s="1"/>
  <c r="C141" i="5"/>
  <c r="B5161" i="106"/>
  <c r="D5161" i="106" s="1"/>
  <c r="D141" i="5"/>
  <c r="B5383" i="106" s="1"/>
  <c r="D5383" i="106" s="1"/>
  <c r="G141" i="5"/>
  <c r="G145" i="5"/>
  <c r="B5756" i="106" s="1"/>
  <c r="D5756" i="106" s="1"/>
  <c r="G155" i="5"/>
  <c r="B4357" i="106"/>
  <c r="D4357" i="106" s="1"/>
  <c r="C145" i="5"/>
  <c r="B5165" i="106" s="1"/>
  <c r="D5165" i="106" s="1"/>
  <c r="C155" i="5"/>
  <c r="B5178" i="106"/>
  <c r="D5178" i="106" s="1"/>
  <c r="D155" i="5"/>
  <c r="B5394" i="106" s="1"/>
  <c r="D5394" i="106" s="1"/>
  <c r="E169" i="5"/>
  <c r="H169" i="5"/>
  <c r="B5899" i="106" s="1"/>
  <c r="D5899" i="106" s="1"/>
  <c r="I169" i="5"/>
  <c r="B4363" i="106"/>
  <c r="D4363" i="106" s="1"/>
  <c r="J169" i="5"/>
  <c r="B6396" i="106" s="1"/>
  <c r="D6396" i="106" s="1"/>
  <c r="K169" i="5"/>
  <c r="B5000" i="106"/>
  <c r="D5000" i="106" s="1"/>
  <c r="C175" i="5"/>
  <c r="B5225" i="106" s="1"/>
  <c r="D5225" i="106" s="1"/>
  <c r="D175" i="5"/>
  <c r="B5423" i="106"/>
  <c r="D5423" i="106" s="1"/>
  <c r="E175" i="5"/>
  <c r="B4372" i="106" s="1"/>
  <c r="D4372" i="106" s="1"/>
  <c r="F175" i="5"/>
  <c r="B5655" i="106"/>
  <c r="D5655" i="106" s="1"/>
  <c r="G175" i="5"/>
  <c r="B5780" i="106" s="1"/>
  <c r="D5780" i="106" s="1"/>
  <c r="H175" i="5"/>
  <c r="I175" i="5"/>
  <c r="B4373" i="106" s="1"/>
  <c r="D4373" i="106" s="1"/>
  <c r="J175" i="5"/>
  <c r="B6400" i="106"/>
  <c r="D6400" i="106" s="1"/>
  <c r="K175" i="5"/>
  <c r="B4951" i="106" s="1"/>
  <c r="D4951" i="106" s="1"/>
  <c r="C181" i="5"/>
  <c r="B5232" i="106"/>
  <c r="D5232" i="106" s="1"/>
  <c r="D181" i="5"/>
  <c r="B5425" i="106" s="1"/>
  <c r="D5425" i="106" s="1"/>
  <c r="F181" i="5"/>
  <c r="B5658" i="106"/>
  <c r="D5658" i="106" s="1"/>
  <c r="G181" i="5"/>
  <c r="B5784" i="106" s="1"/>
  <c r="D5784" i="106" s="1"/>
  <c r="H181" i="5"/>
  <c r="B5908" i="106"/>
  <c r="D5908" i="106" s="1"/>
  <c r="K181" i="5"/>
  <c r="B6016" i="106" s="1"/>
  <c r="D6016" i="106" s="1"/>
  <c r="D188" i="5"/>
  <c r="F188" i="5"/>
  <c r="F125" i="34" s="1"/>
  <c r="B7857" i="106" s="1"/>
  <c r="D7857" i="106" s="1"/>
  <c r="G188" i="5"/>
  <c r="G198" i="5"/>
  <c r="B6409" i="106" s="1"/>
  <c r="D6409" i="106" s="1"/>
  <c r="B5260" i="106"/>
  <c r="D5260" i="106"/>
  <c r="D204" i="5"/>
  <c r="B5444" i="106"/>
  <c r="D5444" i="106" s="1"/>
  <c r="F204" i="5"/>
  <c r="B5677" i="106" s="1"/>
  <c r="D5677" i="106" s="1"/>
  <c r="G204" i="5"/>
  <c r="B5803" i="106"/>
  <c r="D5803" i="106" s="1"/>
  <c r="D209" i="5"/>
  <c r="B4412" i="106" s="1"/>
  <c r="D4412" i="106" s="1"/>
  <c r="F209" i="5"/>
  <c r="B4413" i="106"/>
  <c r="D4413" i="106" s="1"/>
  <c r="G209" i="5"/>
  <c r="B4414" i="106" s="1"/>
  <c r="D4414" i="106" s="1"/>
  <c r="D217" i="5"/>
  <c r="B5470" i="106"/>
  <c r="D5470" i="106" s="1"/>
  <c r="F217" i="5"/>
  <c r="B5703" i="106" s="1"/>
  <c r="D5703" i="106" s="1"/>
  <c r="G217" i="5"/>
  <c r="B5829" i="106"/>
  <c r="D5829" i="106" s="1"/>
  <c r="D221" i="5"/>
  <c r="B5488" i="106" s="1"/>
  <c r="D5488" i="106" s="1"/>
  <c r="G221" i="5"/>
  <c r="B5847" i="106"/>
  <c r="D5847" i="106" s="1"/>
  <c r="G252" i="5"/>
  <c r="B6837" i="106" s="1"/>
  <c r="D6837" i="106" s="1"/>
  <c r="B6833" i="106"/>
  <c r="D6833" i="106"/>
  <c r="D252" i="5"/>
  <c r="B6834" i="106"/>
  <c r="D6834" i="106" s="1"/>
  <c r="E252" i="5"/>
  <c r="E266" i="5" s="1"/>
  <c r="F252" i="5"/>
  <c r="B6836" i="106"/>
  <c r="D6836" i="106" s="1"/>
  <c r="H252" i="5"/>
  <c r="H266" i="5" s="1"/>
  <c r="J252" i="5"/>
  <c r="J266" i="5" s="1"/>
  <c r="K252" i="5"/>
  <c r="K266" i="5" s="1"/>
  <c r="G14" i="4"/>
  <c r="B2609" i="106" s="1"/>
  <c r="D2609" i="106" s="1"/>
  <c r="D14" i="4"/>
  <c r="B2570" i="106"/>
  <c r="D2570" i="106" s="1"/>
  <c r="D7" i="118"/>
  <c r="D8" i="118"/>
  <c r="D9" i="118"/>
  <c r="H14" i="118"/>
  <c r="H19" i="118"/>
  <c r="H24" i="118"/>
  <c r="H28" i="118"/>
  <c r="K28" i="118" s="1"/>
  <c r="O27" i="118" s="1"/>
  <c r="O29" i="118" s="1"/>
  <c r="D22" i="37"/>
  <c r="L22" i="37"/>
  <c r="D24" i="37"/>
  <c r="B4270" i="106"/>
  <c r="D4270" i="106" s="1"/>
  <c r="B5752" i="106"/>
  <c r="D5752" i="106" s="1"/>
  <c r="H33" i="118"/>
  <c r="C129" i="29"/>
  <c r="B1124" i="106"/>
  <c r="D1124" i="106" s="1"/>
  <c r="E33" i="108"/>
  <c r="B1126" i="106"/>
  <c r="D1126" i="106"/>
  <c r="J22" i="37"/>
  <c r="F19" i="7"/>
  <c r="B1807" i="106" s="1"/>
  <c r="D1807" i="106" s="1"/>
  <c r="F46" i="34"/>
  <c r="F38" i="34"/>
  <c r="B7830" i="106" s="1"/>
  <c r="D7830" i="106" s="1"/>
  <c r="E38" i="108"/>
  <c r="E35" i="108"/>
  <c r="G29" i="108"/>
  <c r="F28" i="108"/>
  <c r="F27" i="108"/>
  <c r="E26" i="108"/>
  <c r="D54" i="36"/>
  <c r="H112" i="29"/>
  <c r="B7018" i="106" s="1"/>
  <c r="D7018" i="106" s="1"/>
  <c r="J77" i="4"/>
  <c r="B6262" i="106"/>
  <c r="D6262" i="106" s="1"/>
  <c r="B3647" i="106"/>
  <c r="D3647" i="106" s="1"/>
  <c r="K76" i="4"/>
  <c r="B3586" i="106" s="1"/>
  <c r="D3586" i="106" s="1"/>
  <c r="L13" i="11"/>
  <c r="B2060" i="106"/>
  <c r="D2060" i="106" s="1"/>
  <c r="K184" i="29"/>
  <c r="F13" i="4" s="1"/>
  <c r="B2596" i="106" s="1"/>
  <c r="D2596" i="106" s="1"/>
  <c r="G210" i="29"/>
  <c r="B1365" i="106" s="1"/>
  <c r="L5" i="11"/>
  <c r="B2056" i="106"/>
  <c r="D2056" i="106" s="1"/>
  <c r="J352" i="29"/>
  <c r="J367" i="29" s="1"/>
  <c r="B7245" i="106" s="1"/>
  <c r="D7245" i="106" s="1"/>
  <c r="J41" i="3"/>
  <c r="D51" i="36" s="1"/>
  <c r="D6103" i="106"/>
  <c r="E29" i="108"/>
  <c r="B1308" i="106"/>
  <c r="D1308" i="106" s="1"/>
  <c r="E174" i="29"/>
  <c r="B1309" i="106" s="1"/>
  <c r="D1309" i="106" s="1"/>
  <c r="D9" i="7"/>
  <c r="B1767" i="106" s="1"/>
  <c r="D1767" i="106" s="1"/>
  <c r="D11" i="37"/>
  <c r="H29" i="118"/>
  <c r="N22" i="3"/>
  <c r="B283" i="106" s="1"/>
  <c r="D283" i="106" s="1"/>
  <c r="F14" i="4"/>
  <c r="B2597" i="106"/>
  <c r="D2597" i="106" s="1"/>
  <c r="B7727" i="106"/>
  <c r="D7727" i="106" s="1"/>
  <c r="F49" i="34"/>
  <c r="F44" i="34"/>
  <c r="G38" i="108"/>
  <c r="D37" i="108"/>
  <c r="E30" i="108"/>
  <c r="F37" i="108"/>
  <c r="E28" i="108"/>
  <c r="F26" i="108"/>
  <c r="D26" i="108"/>
  <c r="D41" i="108" s="1"/>
  <c r="D31" i="36"/>
  <c r="B7235" i="106"/>
  <c r="D7235" i="106" s="1"/>
  <c r="B4087" i="106"/>
  <c r="D4087" i="106" s="1"/>
  <c r="K41" i="3"/>
  <c r="B3568" i="106" s="1"/>
  <c r="L15" i="11"/>
  <c r="B3459" i="106"/>
  <c r="D3459" i="106" s="1"/>
  <c r="B3254" i="106"/>
  <c r="D3254" i="106" s="1"/>
  <c r="I24" i="12"/>
  <c r="B1996" i="106" s="1"/>
  <c r="B3649" i="106"/>
  <c r="D3649" i="106"/>
  <c r="G367" i="29"/>
  <c r="D5" i="4"/>
  <c r="B3406" i="106" s="1"/>
  <c r="D3406" i="106" s="1"/>
  <c r="I342" i="29"/>
  <c r="F76" i="34" s="1"/>
  <c r="B7887" i="106" s="1"/>
  <c r="D7887" i="106" s="1"/>
  <c r="K350" i="29"/>
  <c r="F21" i="8"/>
  <c r="B1879" i="106" s="1"/>
  <c r="K24" i="12"/>
  <c r="B3621" i="106"/>
  <c r="D3621" i="106" s="1"/>
  <c r="C367" i="29"/>
  <c r="F41" i="34"/>
  <c r="F35" i="34"/>
  <c r="B7827" i="106" s="1"/>
  <c r="D7827" i="106" s="1"/>
  <c r="D3583" i="106"/>
  <c r="F66" i="34"/>
  <c r="F45" i="34"/>
  <c r="K285" i="29"/>
  <c r="B3724" i="106" s="1"/>
  <c r="D3724" i="106" s="1"/>
  <c r="B1410" i="106"/>
  <c r="D1410" i="106"/>
  <c r="B1329" i="106"/>
  <c r="D1329" i="106"/>
  <c r="F61" i="34"/>
  <c r="D12" i="7"/>
  <c r="B1769" i="106" s="1"/>
  <c r="D1769" i="106" s="1"/>
  <c r="D13" i="7"/>
  <c r="B3726" i="106" s="1"/>
  <c r="D3726" i="106" s="1"/>
  <c r="I170" i="5"/>
  <c r="B4216" i="106"/>
  <c r="D4216" i="106" s="1"/>
  <c r="B5096" i="106"/>
  <c r="D5096" i="106" s="1"/>
  <c r="D4" i="7"/>
  <c r="B1760" i="106" s="1"/>
  <c r="D1760" i="106" s="1"/>
  <c r="G5" i="4"/>
  <c r="B3409" i="106" s="1"/>
  <c r="D3409" i="106" s="1"/>
  <c r="C109" i="5"/>
  <c r="B5121" i="106" s="1"/>
  <c r="D5121" i="106" s="1"/>
  <c r="I267" i="5"/>
  <c r="B4435" i="106" s="1"/>
  <c r="B4396" i="106"/>
  <c r="D4396" i="106"/>
  <c r="B5066" i="106"/>
  <c r="D5066" i="106" s="1"/>
  <c r="F112" i="34"/>
  <c r="B7847" i="106" s="1"/>
  <c r="D7847" i="106" s="1"/>
  <c r="F124" i="34"/>
  <c r="B7856" i="106" s="1"/>
  <c r="D7856" i="106" s="1"/>
  <c r="D5" i="7"/>
  <c r="B1761" i="106"/>
  <c r="D1761" i="106" s="1"/>
  <c r="K170" i="5"/>
  <c r="K6" i="4" s="1"/>
  <c r="B3570" i="106" s="1"/>
  <c r="D3570" i="106" s="1"/>
  <c r="D15" i="7"/>
  <c r="B1772" i="106"/>
  <c r="D1772" i="106" s="1"/>
  <c r="H170" i="5"/>
  <c r="B5906" i="106" s="1"/>
  <c r="D11" i="7"/>
  <c r="B1768" i="106"/>
  <c r="D1768" i="106" s="1"/>
  <c r="H109" i="5"/>
  <c r="B6025" i="106" s="1"/>
  <c r="F133" i="34"/>
  <c r="B7865" i="106" s="1"/>
  <c r="D7865" i="106" s="1"/>
  <c r="C41" i="3"/>
  <c r="B93" i="106" s="1"/>
  <c r="D93" i="106" s="1"/>
  <c r="H295" i="29"/>
  <c r="B1454" i="106"/>
  <c r="D1454" i="106" s="1"/>
  <c r="B4156" i="106"/>
  <c r="D4156" i="106" s="1"/>
  <c r="H172" i="29"/>
  <c r="H174" i="29" s="1"/>
  <c r="B1318" i="106" s="1"/>
  <c r="B2823" i="106"/>
  <c r="D2823" i="106" s="1"/>
  <c r="H352" i="29"/>
  <c r="B3656" i="106" s="1"/>
  <c r="D3656" i="106" s="1"/>
  <c r="K168" i="29"/>
  <c r="K172" i="29"/>
  <c r="E102" i="29"/>
  <c r="B2790" i="106"/>
  <c r="D2790" i="106" s="1"/>
  <c r="J342" i="29"/>
  <c r="B7223" i="106" s="1"/>
  <c r="D7223" i="106" s="1"/>
  <c r="G342" i="29"/>
  <c r="F75" i="34" s="1"/>
  <c r="B7886" i="106" s="1"/>
  <c r="D7886" i="106" s="1"/>
  <c r="B7220" i="106"/>
  <c r="D7220" i="106" s="1"/>
  <c r="K137" i="29"/>
  <c r="K84" i="29"/>
  <c r="B2088" i="106"/>
  <c r="D2088" i="106" s="1"/>
  <c r="B79" i="36"/>
  <c r="B77" i="36"/>
  <c r="D18" i="7"/>
  <c r="B4105" i="106" s="1"/>
  <c r="D4105" i="106" s="1"/>
  <c r="F108" i="34"/>
  <c r="B7844" i="106" s="1"/>
  <c r="D7844" i="106" s="1"/>
  <c r="J109" i="5"/>
  <c r="J4" i="4" s="1"/>
  <c r="F96" i="34"/>
  <c r="B7838" i="106" s="1"/>
  <c r="D7838" i="106" s="1"/>
  <c r="D14" i="7"/>
  <c r="B1770" i="106" s="1"/>
  <c r="D1770" i="106" s="1"/>
  <c r="F5" i="4"/>
  <c r="B3408" i="106" s="1"/>
  <c r="D3408" i="106"/>
  <c r="C5" i="4"/>
  <c r="B3405" i="106"/>
  <c r="D3405" i="106" s="1"/>
  <c r="B6840" i="106"/>
  <c r="D6840" i="106" s="1"/>
  <c r="B6839" i="106"/>
  <c r="D6839" i="106" s="1"/>
  <c r="B6838" i="106"/>
  <c r="D6838" i="106" s="1"/>
  <c r="D169" i="5"/>
  <c r="B5412" i="106" s="1"/>
  <c r="D5412" i="106" s="1"/>
  <c r="F16" i="11"/>
  <c r="B2031" i="106" s="1"/>
  <c r="D2031" i="106"/>
  <c r="F48" i="34"/>
  <c r="F40" i="34"/>
  <c r="B7200" i="106"/>
  <c r="D7200" i="106"/>
  <c r="D342" i="29"/>
  <c r="B7217" i="106"/>
  <c r="D7217" i="106" s="1"/>
  <c r="B7144" i="106"/>
  <c r="D7144" i="106" s="1"/>
  <c r="K330" i="29"/>
  <c r="K342" i="29" s="1"/>
  <c r="B6901" i="106"/>
  <c r="D6901" i="106"/>
  <c r="F51" i="34"/>
  <c r="B6885" i="106"/>
  <c r="D6885" i="106" s="1"/>
  <c r="F43" i="34"/>
  <c r="B7211" i="106"/>
  <c r="D7211" i="106"/>
  <c r="K340" i="29"/>
  <c r="B6893" i="106"/>
  <c r="D6893" i="106" s="1"/>
  <c r="F47" i="34"/>
  <c r="B6877" i="106"/>
  <c r="D6877" i="106"/>
  <c r="F39" i="34"/>
  <c r="B6216" i="106"/>
  <c r="D6216" i="106" s="1"/>
  <c r="B3703" i="106"/>
  <c r="D3703" i="106" s="1"/>
  <c r="K362" i="29"/>
  <c r="B3650" i="106"/>
  <c r="D3650" i="106"/>
  <c r="D352" i="29"/>
  <c r="D367" i="29"/>
  <c r="I76" i="4"/>
  <c r="L41" i="3"/>
  <c r="I41" i="3"/>
  <c r="K16" i="11"/>
  <c r="B2055" i="106" s="1"/>
  <c r="D2055" i="106" s="1"/>
  <c r="H312" i="29"/>
  <c r="B1554" i="106"/>
  <c r="D1554" i="106" s="1"/>
  <c r="E312" i="29"/>
  <c r="B1536" i="106" s="1"/>
  <c r="D1536" i="106" s="1"/>
  <c r="D312" i="29"/>
  <c r="B1530" i="106"/>
  <c r="D1530" i="106" s="1"/>
  <c r="B1512" i="106"/>
  <c r="D1512" i="106" s="1"/>
  <c r="K293" i="29"/>
  <c r="K229" i="29"/>
  <c r="B1352" i="106"/>
  <c r="D1352" i="106" s="1"/>
  <c r="E210" i="29"/>
  <c r="B1353" i="106" s="1"/>
  <c r="D1353" i="106" s="1"/>
  <c r="B1264" i="106"/>
  <c r="D1264" i="106"/>
  <c r="H129" i="29"/>
  <c r="B1239" i="106"/>
  <c r="D1239" i="106" s="1"/>
  <c r="E129" i="29"/>
  <c r="B1146" i="106"/>
  <c r="D1146" i="106"/>
  <c r="K110" i="29"/>
  <c r="B122" i="106"/>
  <c r="D122" i="106" s="1"/>
  <c r="D41" i="3"/>
  <c r="B1134" i="106"/>
  <c r="D1134" i="106"/>
  <c r="B7759" i="106"/>
  <c r="D7759" i="106"/>
  <c r="B1339" i="106"/>
  <c r="D1339" i="106"/>
  <c r="C210" i="29"/>
  <c r="B1340" i="106"/>
  <c r="D1340" i="106" s="1"/>
  <c r="B1225" i="106"/>
  <c r="D1225" i="106" s="1"/>
  <c r="C151" i="29"/>
  <c r="B1226" i="106" s="1"/>
  <c r="D1226" i="106"/>
  <c r="B169" i="106"/>
  <c r="D169" i="106"/>
  <c r="F41" i="3"/>
  <c r="B1131" i="106"/>
  <c r="D1131" i="106" s="1"/>
  <c r="L3" i="11"/>
  <c r="B7596" i="106" s="1"/>
  <c r="L9" i="11"/>
  <c r="B7614" i="106" s="1"/>
  <c r="L10" i="11"/>
  <c r="B2058" i="106" s="1"/>
  <c r="D2058" i="106"/>
  <c r="D10" i="7"/>
  <c r="B1765" i="106"/>
  <c r="D1765" i="106" s="1"/>
  <c r="D16" i="7"/>
  <c r="B3447" i="106" s="1"/>
  <c r="D3447" i="106"/>
  <c r="D8" i="7"/>
  <c r="B1764" i="106" s="1"/>
  <c r="D1764" i="106" s="1"/>
  <c r="D4435" i="106"/>
  <c r="F266" i="5"/>
  <c r="B4950" i="106"/>
  <c r="D4950" i="106"/>
  <c r="L102" i="29"/>
  <c r="B731" i="106"/>
  <c r="D731" i="106" s="1"/>
  <c r="C74" i="29"/>
  <c r="B755" i="106" s="1"/>
  <c r="D755" i="106" s="1"/>
  <c r="D1116" i="106"/>
  <c r="F158" i="34"/>
  <c r="B7866" i="106" s="1"/>
  <c r="D7866" i="106"/>
  <c r="B7600" i="106"/>
  <c r="L6" i="11"/>
  <c r="B7605" i="106" s="1"/>
  <c r="B6835" i="106"/>
  <c r="D6835" i="106" s="1"/>
  <c r="G266" i="5"/>
  <c r="G267" i="5" s="1"/>
  <c r="G7" i="4" s="1"/>
  <c r="B4398" i="106"/>
  <c r="D4398" i="106"/>
  <c r="B5537" i="106"/>
  <c r="D5537" i="106"/>
  <c r="E170" i="5"/>
  <c r="I109" i="5"/>
  <c r="L295" i="29"/>
  <c r="K33" i="29"/>
  <c r="B720" i="106"/>
  <c r="D720" i="106"/>
  <c r="B7618" i="106"/>
  <c r="L14" i="11"/>
  <c r="B7623" i="106" s="1"/>
  <c r="B7230" i="106"/>
  <c r="D7230" i="106" s="1"/>
  <c r="I352" i="29"/>
  <c r="I367" i="29" s="1"/>
  <c r="B7215" i="106"/>
  <c r="D7215" i="106" s="1"/>
  <c r="J16" i="4"/>
  <c r="B6226" i="106" s="1"/>
  <c r="D6226" i="106" s="1"/>
  <c r="B7202" i="106"/>
  <c r="D7202" i="106"/>
  <c r="F342" i="29"/>
  <c r="B7219" i="106"/>
  <c r="D7219" i="106" s="1"/>
  <c r="B7214" i="106"/>
  <c r="D7214" i="106" s="1"/>
  <c r="B7221" i="106"/>
  <c r="D7221" i="106" s="1"/>
  <c r="B7201" i="106"/>
  <c r="D7201" i="106" s="1"/>
  <c r="E342" i="29"/>
  <c r="B7218" i="106" s="1"/>
  <c r="D7218" i="106"/>
  <c r="B6917" i="106"/>
  <c r="D6917" i="106"/>
  <c r="J74" i="29"/>
  <c r="D266" i="5"/>
  <c r="J312" i="29"/>
  <c r="B7117" i="106" s="1"/>
  <c r="D7117" i="106"/>
  <c r="I312" i="29"/>
  <c r="B7116" i="106"/>
  <c r="D7116" i="106" s="1"/>
  <c r="J151" i="29"/>
  <c r="B7052" i="106" s="1"/>
  <c r="D7052" i="106"/>
  <c r="I151" i="29"/>
  <c r="F59" i="34"/>
  <c r="B6916" i="106"/>
  <c r="D6916" i="106"/>
  <c r="I74" i="29"/>
  <c r="I49" i="8"/>
  <c r="B3633" i="106"/>
  <c r="D3633" i="106"/>
  <c r="E352" i="29"/>
  <c r="B3629" i="106"/>
  <c r="D3629" i="106" s="1"/>
  <c r="E44" i="4"/>
  <c r="B3235" i="106"/>
  <c r="D3235" i="106"/>
  <c r="D77" i="4"/>
  <c r="B3238" i="106"/>
  <c r="D3238" i="106" s="1"/>
  <c r="B3229" i="106"/>
  <c r="D3229" i="106" s="1"/>
  <c r="C77" i="4"/>
  <c r="B3232" i="106" s="1"/>
  <c r="D3232" i="106"/>
  <c r="B1977" i="106"/>
  <c r="D1977" i="106"/>
  <c r="H24" i="12"/>
  <c r="B1867" i="106"/>
  <c r="D1867" i="106" s="1"/>
  <c r="F15" i="8"/>
  <c r="K310" i="29"/>
  <c r="B4099" i="106"/>
  <c r="D4099" i="106" s="1"/>
  <c r="B1555" i="106"/>
  <c r="D1555" i="106" s="1"/>
  <c r="K303" i="29"/>
  <c r="K312" i="29" s="1"/>
  <c r="G312" i="29"/>
  <c r="B1548" i="106"/>
  <c r="D1548" i="106" s="1"/>
  <c r="F312" i="29"/>
  <c r="B1542" i="106" s="1"/>
  <c r="D1542" i="106" s="1"/>
  <c r="B1523" i="106"/>
  <c r="D1523" i="106"/>
  <c r="C312" i="29"/>
  <c r="B1524" i="106"/>
  <c r="D1524" i="106" s="1"/>
  <c r="K277" i="29"/>
  <c r="B1508" i="106" s="1"/>
  <c r="D1508" i="106" s="1"/>
  <c r="K261" i="29"/>
  <c r="B1491" i="106"/>
  <c r="D1491" i="106" s="1"/>
  <c r="K243" i="29"/>
  <c r="B1475" i="106"/>
  <c r="D1475" i="106"/>
  <c r="K238" i="29"/>
  <c r="K204" i="29"/>
  <c r="B4157" i="106" s="1"/>
  <c r="B2842" i="106"/>
  <c r="D2842" i="106"/>
  <c r="D1318" i="106"/>
  <c r="B1127" i="106"/>
  <c r="D1127" i="106"/>
  <c r="K65" i="29"/>
  <c r="B1133" i="106"/>
  <c r="D1133" i="106" s="1"/>
  <c r="B1123" i="106"/>
  <c r="D1123" i="106" s="1"/>
  <c r="K57" i="29"/>
  <c r="B3640" i="106"/>
  <c r="D3640" i="106" s="1"/>
  <c r="F352" i="29"/>
  <c r="F367" i="29" s="1"/>
  <c r="B3622" i="106"/>
  <c r="D3622" i="106" s="1"/>
  <c r="K77" i="4"/>
  <c r="B3587" i="106" s="1"/>
  <c r="D3587" i="106"/>
  <c r="B3296" i="106"/>
  <c r="D3296" i="106"/>
  <c r="H77" i="4"/>
  <c r="B3299" i="106"/>
  <c r="D3299" i="106" s="1"/>
  <c r="G77" i="4"/>
  <c r="B3261" i="106" s="1"/>
  <c r="D3261" i="106"/>
  <c r="L12" i="11"/>
  <c r="B2059" i="106"/>
  <c r="D2059" i="106" s="1"/>
  <c r="L8" i="11"/>
  <c r="B2057" i="106" s="1"/>
  <c r="D2057" i="106"/>
  <c r="G24" i="12"/>
  <c r="B1492" i="106"/>
  <c r="D1492" i="106" s="1"/>
  <c r="K270" i="29"/>
  <c r="B1500" i="106" s="1"/>
  <c r="D1500" i="106"/>
  <c r="K257" i="29"/>
  <c r="B1488" i="106"/>
  <c r="D1488" i="106" s="1"/>
  <c r="B1417" i="106"/>
  <c r="D1417" i="106" s="1"/>
  <c r="D279" i="29"/>
  <c r="H196" i="29"/>
  <c r="B2830" i="106" s="1"/>
  <c r="B2828" i="106"/>
  <c r="D2828" i="106"/>
  <c r="B1328" i="106"/>
  <c r="D1328" i="106"/>
  <c r="B2986" i="106"/>
  <c r="D2986" i="106"/>
  <c r="B1256" i="106"/>
  <c r="D1256" i="106"/>
  <c r="G129" i="29"/>
  <c r="K100" i="29"/>
  <c r="B7013" i="106" s="1"/>
  <c r="D7013" i="106"/>
  <c r="B1135" i="106"/>
  <c r="D1135" i="106"/>
  <c r="K72" i="29"/>
  <c r="B1141" i="106"/>
  <c r="D1141" i="106" s="1"/>
  <c r="B1021" i="106"/>
  <c r="D1021" i="106" s="1"/>
  <c r="H74" i="29"/>
  <c r="B847" i="106"/>
  <c r="D847" i="106"/>
  <c r="E74" i="29"/>
  <c r="E39" i="108"/>
  <c r="B1144" i="106"/>
  <c r="D1144" i="106"/>
  <c r="K194" i="29"/>
  <c r="B1358" i="106"/>
  <c r="D1358" i="106" s="1"/>
  <c r="F210" i="29"/>
  <c r="B1359" i="106" s="1"/>
  <c r="D1359" i="106"/>
  <c r="B1345" i="106"/>
  <c r="D1345" i="106"/>
  <c r="D210" i="29"/>
  <c r="B1346" i="106"/>
  <c r="D1346" i="106" s="1"/>
  <c r="B1283" i="106"/>
  <c r="D1283" i="106" s="1"/>
  <c r="K147" i="29"/>
  <c r="B7048" i="106" s="1"/>
  <c r="B1275" i="106"/>
  <c r="D1275" i="106"/>
  <c r="K127" i="29"/>
  <c r="B1279" i="106"/>
  <c r="D1279" i="106" s="1"/>
  <c r="B1266" i="106"/>
  <c r="D1266" i="106" s="1"/>
  <c r="H151" i="29"/>
  <c r="B1273" i="106" s="1"/>
  <c r="D1273" i="106" s="1"/>
  <c r="B1247" i="106"/>
  <c r="D1247" i="106"/>
  <c r="F129" i="29"/>
  <c r="B1231" i="106"/>
  <c r="D1231" i="106" s="1"/>
  <c r="D129" i="29"/>
  <c r="B1233" i="106" s="1"/>
  <c r="B1109" i="106"/>
  <c r="D1109" i="106"/>
  <c r="K42" i="29"/>
  <c r="H102" i="29"/>
  <c r="B1047" i="106" s="1"/>
  <c r="D1047" i="106" s="1"/>
  <c r="G74" i="29"/>
  <c r="B905" i="106"/>
  <c r="D905" i="106" s="1"/>
  <c r="F74" i="29"/>
  <c r="D74" i="29"/>
  <c r="B211" i="106"/>
  <c r="D211" i="106" s="1"/>
  <c r="H41" i="3"/>
  <c r="B188" i="106"/>
  <c r="D188" i="106"/>
  <c r="G41" i="3"/>
  <c r="B139" i="106"/>
  <c r="D139" i="106" s="1"/>
  <c r="E41" i="3"/>
  <c r="L151" i="29"/>
  <c r="C266" i="5"/>
  <c r="B5320" i="106" s="1"/>
  <c r="D5320" i="106" s="1"/>
  <c r="J24" i="12"/>
  <c r="B7730" i="106"/>
  <c r="D7730" i="106" s="1"/>
  <c r="L114" i="29"/>
  <c r="E367" i="29"/>
  <c r="B3636" i="106" s="1"/>
  <c r="B3635" i="106"/>
  <c r="F41" i="108"/>
  <c r="G43" i="108" s="1"/>
  <c r="L16" i="11"/>
  <c r="B2061" i="106" s="1"/>
  <c r="D2061" i="106"/>
  <c r="C114" i="29"/>
  <c r="B757" i="106" s="1"/>
  <c r="D757" i="106" s="1"/>
  <c r="E43" i="108"/>
  <c r="D1365" i="106"/>
  <c r="I26" i="12"/>
  <c r="B7741" i="106" s="1"/>
  <c r="D7741" i="106" s="1"/>
  <c r="D1996" i="106"/>
  <c r="D3568" i="106"/>
  <c r="B7733" i="106"/>
  <c r="D7733" i="106" s="1"/>
  <c r="K26" i="12"/>
  <c r="B7743" i="106" s="1"/>
  <c r="D7743" i="106"/>
  <c r="D1879" i="106"/>
  <c r="B3628" i="106"/>
  <c r="D3628" i="106" s="1"/>
  <c r="F73" i="34"/>
  <c r="B3670" i="106"/>
  <c r="D3670" i="106" s="1"/>
  <c r="K352" i="29"/>
  <c r="H367" i="29"/>
  <c r="B3660" i="106" s="1"/>
  <c r="D3660" i="106"/>
  <c r="I6" i="4"/>
  <c r="B5011" i="106"/>
  <c r="D5011" i="106" s="1"/>
  <c r="F170" i="5"/>
  <c r="F6" i="4" s="1"/>
  <c r="D6025" i="106"/>
  <c r="D5906" i="106"/>
  <c r="D24" i="36"/>
  <c r="K102" i="29"/>
  <c r="F53" i="34" s="1"/>
  <c r="B171" i="106"/>
  <c r="D171" i="106" s="1"/>
  <c r="D47" i="36"/>
  <c r="B2913" i="106"/>
  <c r="D2913" i="106" s="1"/>
  <c r="D50" i="36"/>
  <c r="B3318" i="106"/>
  <c r="D3318" i="106"/>
  <c r="I77" i="4"/>
  <c r="B3319" i="106"/>
  <c r="D3319" i="106" s="1"/>
  <c r="D3674" i="106"/>
  <c r="B3573" i="106"/>
  <c r="D3573" i="106"/>
  <c r="D170" i="5"/>
  <c r="B124" i="106"/>
  <c r="D124" i="106" s="1"/>
  <c r="D45" i="36"/>
  <c r="B1151" i="106"/>
  <c r="D1151" i="106"/>
  <c r="K112" i="29"/>
  <c r="B1241" i="106"/>
  <c r="D1241" i="106" s="1"/>
  <c r="E151" i="29"/>
  <c r="B1242" i="106" s="1"/>
  <c r="D1242" i="106" s="1"/>
  <c r="B1474" i="106"/>
  <c r="D1474" i="106"/>
  <c r="G12" i="4"/>
  <c r="B2607" i="106"/>
  <c r="D2607" i="106" s="1"/>
  <c r="B2917" i="106"/>
  <c r="D2917" i="106" s="1"/>
  <c r="D53" i="36"/>
  <c r="B6220" i="106"/>
  <c r="D6220" i="106" s="1"/>
  <c r="B6352" i="106"/>
  <c r="D6352" i="106" s="1"/>
  <c r="C267" i="5"/>
  <c r="B987" i="106"/>
  <c r="D987" i="106" s="1"/>
  <c r="G114" i="29"/>
  <c r="B1115" i="106"/>
  <c r="D1115" i="106"/>
  <c r="G21" i="108"/>
  <c r="E21" i="108"/>
  <c r="D151" i="29"/>
  <c r="B1234" i="106" s="1"/>
  <c r="D1234" i="106" s="1"/>
  <c r="D1233" i="106"/>
  <c r="F151" i="29"/>
  <c r="B1250" i="106"/>
  <c r="D1250" i="106" s="1"/>
  <c r="B1249" i="106"/>
  <c r="D1249" i="106" s="1"/>
  <c r="K149" i="29"/>
  <c r="D7048" i="106"/>
  <c r="K196" i="29"/>
  <c r="B2837" i="106"/>
  <c r="D2837" i="106" s="1"/>
  <c r="B1145" i="106"/>
  <c r="D1145" i="106" s="1"/>
  <c r="G151" i="29"/>
  <c r="F58" i="34" s="1"/>
  <c r="B1258" i="106"/>
  <c r="D1258" i="106" s="1"/>
  <c r="B1331" i="106"/>
  <c r="D1331" i="106" s="1"/>
  <c r="E16" i="4"/>
  <c r="B2634" i="106" s="1"/>
  <c r="E24" i="108"/>
  <c r="K129" i="29"/>
  <c r="K208" i="29"/>
  <c r="K210" i="29" s="1"/>
  <c r="D4157" i="106"/>
  <c r="B1560" i="106"/>
  <c r="D1560" i="106" s="1"/>
  <c r="B1559" i="106"/>
  <c r="D1559" i="106" s="1"/>
  <c r="H13" i="4"/>
  <c r="B1983" i="106"/>
  <c r="D1983" i="106" s="1"/>
  <c r="H26" i="12"/>
  <c r="B7740" i="106" s="1"/>
  <c r="D7740" i="106"/>
  <c r="B6977" i="106"/>
  <c r="D6977" i="106" s="1"/>
  <c r="I114" i="29"/>
  <c r="F17" i="11" s="1"/>
  <c r="B7051" i="106"/>
  <c r="D7051" i="106"/>
  <c r="I268" i="5"/>
  <c r="B5946" i="106" s="1"/>
  <c r="D5946" i="106" s="1"/>
  <c r="B5863" i="106"/>
  <c r="D5863" i="106" s="1"/>
  <c r="B7747" i="106"/>
  <c r="D7747" i="106" s="1"/>
  <c r="E267" i="5"/>
  <c r="B7732" i="106"/>
  <c r="D7732" i="106"/>
  <c r="J26" i="12"/>
  <c r="B7742" i="106"/>
  <c r="D7742" i="106" s="1"/>
  <c r="B141" i="106"/>
  <c r="D141" i="106" s="1"/>
  <c r="D46" i="36"/>
  <c r="B190" i="106"/>
  <c r="D190" i="106"/>
  <c r="D48" i="36"/>
  <c r="B213" i="106"/>
  <c r="D213" i="106" s="1"/>
  <c r="D49" i="36"/>
  <c r="B813" i="106"/>
  <c r="D813" i="106"/>
  <c r="D114" i="29"/>
  <c r="B815" i="106"/>
  <c r="D815" i="106" s="1"/>
  <c r="E114" i="29"/>
  <c r="B873" i="106" s="1"/>
  <c r="D873" i="106"/>
  <c r="B871" i="106"/>
  <c r="D871" i="106"/>
  <c r="K139" i="29"/>
  <c r="B2093" i="106"/>
  <c r="D2093" i="106" s="1"/>
  <c r="H210" i="29"/>
  <c r="B1376" i="106" s="1"/>
  <c r="D1376" i="106"/>
  <c r="D2830" i="106"/>
  <c r="B1958" i="106"/>
  <c r="D1958" i="106"/>
  <c r="G26" i="12"/>
  <c r="B7739" i="106"/>
  <c r="D7739" i="106" s="1"/>
  <c r="B3642" i="106"/>
  <c r="D3642" i="106" s="1"/>
  <c r="B3643" i="106"/>
  <c r="D3643" i="106" s="1"/>
  <c r="B1481" i="106"/>
  <c r="D1481" i="106" s="1"/>
  <c r="B2102" i="106"/>
  <c r="D2102" i="106" s="1"/>
  <c r="H15" i="4"/>
  <c r="B2660" i="106" s="1"/>
  <c r="D2660" i="106" s="1"/>
  <c r="D3636" i="106"/>
  <c r="D3635" i="106"/>
  <c r="B4171" i="106"/>
  <c r="D4171" i="106" s="1"/>
  <c r="N36" i="3"/>
  <c r="H37" i="37" s="1"/>
  <c r="J114" i="29"/>
  <c r="B7021" i="106"/>
  <c r="D7021" i="106" s="1"/>
  <c r="B6978" i="106"/>
  <c r="D6978" i="106" s="1"/>
  <c r="B7244" i="106"/>
  <c r="D7244" i="106" s="1"/>
  <c r="B7234" i="106"/>
  <c r="D7234" i="106" s="1"/>
  <c r="B1108" i="106"/>
  <c r="D1108" i="106" s="1"/>
  <c r="E19" i="108"/>
  <c r="G19" i="108"/>
  <c r="B5544" i="106"/>
  <c r="D5544" i="106"/>
  <c r="E6" i="4"/>
  <c r="B3672" i="106"/>
  <c r="D3672" i="106" s="1"/>
  <c r="B2593" i="106"/>
  <c r="D2593" i="106" s="1"/>
  <c r="B5653" i="106"/>
  <c r="D5653" i="106" s="1"/>
  <c r="C15" i="4"/>
  <c r="B2559" i="106" s="1"/>
  <c r="D2559" i="106" s="1"/>
  <c r="B7019" i="106"/>
  <c r="D7019" i="106" s="1"/>
  <c r="C16" i="4"/>
  <c r="B2560" i="106" s="1"/>
  <c r="D2560" i="106"/>
  <c r="B2631" i="106"/>
  <c r="D2631" i="106"/>
  <c r="B1281" i="106"/>
  <c r="D1281" i="106" s="1"/>
  <c r="D13" i="4"/>
  <c r="D2634" i="106"/>
  <c r="B1259" i="106"/>
  <c r="D1259" i="106" s="1"/>
  <c r="B989" i="106"/>
  <c r="D989" i="106" s="1"/>
  <c r="F54" i="34"/>
  <c r="B5326" i="106"/>
  <c r="D5326" i="106" s="1"/>
  <c r="C7" i="4"/>
  <c r="B2554" i="106" s="1"/>
  <c r="D2554" i="106" s="1"/>
  <c r="B285" i="106"/>
  <c r="D285" i="106" s="1"/>
  <c r="N37" i="3"/>
  <c r="B287" i="106" s="1"/>
  <c r="D287" i="106" s="1"/>
  <c r="B1282" i="106"/>
  <c r="D1282" i="106" s="1"/>
  <c r="D15" i="4"/>
  <c r="B2571" i="106" s="1"/>
  <c r="D2571" i="106" s="1"/>
  <c r="B5869" i="106"/>
  <c r="D5869" i="106" s="1"/>
  <c r="B1387" i="106"/>
  <c r="D1387" i="106" s="1"/>
  <c r="F16" i="4"/>
  <c r="B2599" i="106" s="1"/>
  <c r="D2599" i="106" s="1"/>
  <c r="B1382" i="106"/>
  <c r="D1382" i="106"/>
  <c r="F63" i="34"/>
  <c r="F15" i="4"/>
  <c r="F11" i="34"/>
  <c r="B1388" i="106"/>
  <c r="D1388" i="106" s="1"/>
  <c r="N41" i="3"/>
  <c r="B288" i="106" s="1"/>
  <c r="D288" i="106" s="1"/>
  <c r="B4997" i="106"/>
  <c r="D4997" i="106"/>
  <c r="H32" i="118"/>
  <c r="K32" i="118"/>
  <c r="O31" i="118" s="1"/>
  <c r="O33" i="118" s="1"/>
  <c r="B2569" i="106"/>
  <c r="D2569" i="106" s="1"/>
  <c r="B2598" i="106"/>
  <c r="D2598" i="106" s="1"/>
  <c r="F17" i="4"/>
  <c r="B2600" i="106" s="1"/>
  <c r="D2600" i="106" s="1"/>
  <c r="B2605" i="106"/>
  <c r="D2605" i="106" s="1"/>
  <c r="D9" i="146"/>
  <c r="F19" i="4"/>
  <c r="B4139" i="106" s="1"/>
  <c r="D4139" i="106" s="1"/>
  <c r="D7269" i="106"/>
  <c r="D7270" i="106"/>
  <c r="D7271" i="106"/>
  <c r="D7272" i="106"/>
  <c r="D7273" i="106"/>
  <c r="D7274" i="106"/>
  <c r="D7275" i="106"/>
  <c r="D7276" i="106"/>
  <c r="D7277" i="106"/>
  <c r="D7278" i="106"/>
  <c r="D7279" i="106"/>
  <c r="D7280" i="106"/>
  <c r="D7281" i="106"/>
  <c r="D7282" i="106"/>
  <c r="D7283" i="106"/>
  <c r="D7284" i="106"/>
  <c r="D7285" i="106"/>
  <c r="D7286" i="106"/>
  <c r="D7287" i="106"/>
  <c r="D7288" i="106"/>
  <c r="D7289" i="106"/>
  <c r="D7290" i="106"/>
  <c r="D7291" i="106"/>
  <c r="D7292" i="106"/>
  <c r="D7293" i="106"/>
  <c r="D7294" i="106"/>
  <c r="D7295" i="106"/>
  <c r="D7296" i="106"/>
  <c r="D7297" i="106"/>
  <c r="D7298" i="106"/>
  <c r="D7299" i="106"/>
  <c r="D7300" i="106"/>
  <c r="D7301" i="106"/>
  <c r="D7302" i="106"/>
  <c r="D7303" i="106"/>
  <c r="D7304" i="106"/>
  <c r="D7305" i="106"/>
  <c r="D7306" i="106"/>
  <c r="D7307" i="106"/>
  <c r="D7308" i="106"/>
  <c r="D7309" i="106"/>
  <c r="D7310" i="106"/>
  <c r="D7311" i="106"/>
  <c r="D7312" i="106"/>
  <c r="D7313" i="106"/>
  <c r="D7314" i="106"/>
  <c r="D7315" i="106"/>
  <c r="D7316" i="106"/>
  <c r="D7317" i="106"/>
  <c r="D7318" i="106"/>
  <c r="D7319" i="106"/>
  <c r="D7320" i="106"/>
  <c r="D7321" i="106"/>
  <c r="D7322" i="106"/>
  <c r="D7323" i="106"/>
  <c r="D7324" i="106"/>
  <c r="D7325" i="106"/>
  <c r="D7326" i="106"/>
  <c r="D7327" i="106"/>
  <c r="D7328" i="106"/>
  <c r="D7329" i="106"/>
  <c r="D7330" i="106"/>
  <c r="D7331" i="106"/>
  <c r="D7332" i="106"/>
  <c r="D7333" i="106"/>
  <c r="D7334" i="106"/>
  <c r="D7335" i="106"/>
  <c r="D7336" i="106"/>
  <c r="D7337" i="106"/>
  <c r="D7338" i="106"/>
  <c r="D7339" i="106"/>
  <c r="D7340" i="106"/>
  <c r="D7341" i="106"/>
  <c r="D7342" i="106"/>
  <c r="D7343" i="106"/>
  <c r="D7344" i="106"/>
  <c r="D7345" i="106"/>
  <c r="D7346" i="106"/>
  <c r="D7347" i="106"/>
  <c r="D7348" i="106"/>
  <c r="D7349" i="106"/>
  <c r="D7350" i="106"/>
  <c r="D7351" i="106"/>
  <c r="D7352" i="106"/>
  <c r="D7353" i="106"/>
  <c r="D7354" i="106"/>
  <c r="D7355" i="106"/>
  <c r="D7356" i="106"/>
  <c r="D7357" i="106"/>
  <c r="D7358" i="106"/>
  <c r="D7359" i="106"/>
  <c r="D7360" i="106"/>
  <c r="D7361" i="106"/>
  <c r="D7362" i="106"/>
  <c r="D7363" i="106"/>
  <c r="D7364" i="106"/>
  <c r="D7365" i="106"/>
  <c r="D7366" i="106"/>
  <c r="D7367" i="106"/>
  <c r="D7368" i="106"/>
  <c r="D7369" i="106"/>
  <c r="D7370" i="106"/>
  <c r="D7371" i="106"/>
  <c r="D7372" i="106"/>
  <c r="D7373" i="106"/>
  <c r="D7374" i="106"/>
  <c r="D7375" i="106"/>
  <c r="D7376" i="106"/>
  <c r="D7377" i="106"/>
  <c r="D7378" i="106"/>
  <c r="D7379" i="106"/>
  <c r="D7380" i="106"/>
  <c r="D7381" i="106"/>
  <c r="D7382" i="106"/>
  <c r="D7383" i="106"/>
  <c r="D7384" i="106"/>
  <c r="D7385" i="106"/>
  <c r="D7386" i="106"/>
  <c r="D7387" i="106"/>
  <c r="D7388" i="106"/>
  <c r="D7389" i="106"/>
  <c r="D7390" i="106"/>
  <c r="D7391" i="106"/>
  <c r="D7392" i="106"/>
  <c r="D7393" i="106"/>
  <c r="D7394" i="106"/>
  <c r="D7395" i="106"/>
  <c r="D7396" i="106"/>
  <c r="D7397" i="106"/>
  <c r="D7398" i="106"/>
  <c r="D7399" i="106"/>
  <c r="D7400" i="106"/>
  <c r="D7401" i="106"/>
  <c r="D7402" i="106"/>
  <c r="D7403" i="106"/>
  <c r="D7404" i="106"/>
  <c r="D7405" i="106"/>
  <c r="D7406" i="106"/>
  <c r="D7407" i="106"/>
  <c r="D7408" i="106"/>
  <c r="D7409" i="106"/>
  <c r="D7410" i="106"/>
  <c r="D7411" i="106"/>
  <c r="D7412" i="106"/>
  <c r="D7413" i="106"/>
  <c r="D7414" i="106"/>
  <c r="D7415" i="106"/>
  <c r="D7416" i="106"/>
  <c r="D7417" i="106"/>
  <c r="D7418" i="106"/>
  <c r="D7419" i="106"/>
  <c r="D7420" i="106"/>
  <c r="D7421" i="106"/>
  <c r="D7422" i="106"/>
  <c r="D7423" i="106"/>
  <c r="D7424" i="106"/>
  <c r="D7425" i="106"/>
  <c r="D7426" i="106"/>
  <c r="D7427" i="106"/>
  <c r="D7428" i="106"/>
  <c r="D7429" i="106"/>
  <c r="D7430" i="106"/>
  <c r="D7431" i="106"/>
  <c r="D7432" i="106"/>
  <c r="D7433" i="106"/>
  <c r="D7434" i="106"/>
  <c r="D7435" i="106"/>
  <c r="D7436" i="106"/>
  <c r="D7437" i="106"/>
  <c r="D7438" i="106"/>
  <c r="D7439" i="106"/>
  <c r="D7440" i="106"/>
  <c r="D7441" i="106"/>
  <c r="D7442" i="106"/>
  <c r="D7443" i="106"/>
  <c r="D7444" i="106"/>
  <c r="D7445" i="106"/>
  <c r="D7446" i="106"/>
  <c r="D7447" i="106"/>
  <c r="D7448" i="106"/>
  <c r="D7449" i="106"/>
  <c r="D7450" i="106"/>
  <c r="D7451" i="106"/>
  <c r="D7452" i="106"/>
  <c r="D7453" i="106"/>
  <c r="D7454" i="106"/>
  <c r="D7455" i="106"/>
  <c r="D7456" i="106"/>
  <c r="D7457" i="106"/>
  <c r="D7458" i="106"/>
  <c r="D7459" i="106"/>
  <c r="D7460" i="106"/>
  <c r="D7461" i="106"/>
  <c r="D7462" i="106"/>
  <c r="D7463" i="106"/>
  <c r="D7464" i="106"/>
  <c r="D7465" i="106"/>
  <c r="D7466" i="106"/>
  <c r="D7467" i="106"/>
  <c r="D7468" i="106"/>
  <c r="D7469" i="106"/>
  <c r="D7470" i="106"/>
  <c r="D7471" i="106"/>
  <c r="D7472" i="106"/>
  <c r="D7473" i="106"/>
  <c r="D7474" i="106"/>
  <c r="D7475" i="106"/>
  <c r="D7476" i="106"/>
  <c r="D7477" i="106"/>
  <c r="D7478" i="106"/>
  <c r="D7479" i="106"/>
  <c r="D7480" i="106"/>
  <c r="D7481" i="106"/>
  <c r="D7482" i="106"/>
  <c r="D7483" i="106"/>
  <c r="D7484" i="106"/>
  <c r="D7485" i="106"/>
  <c r="D7486" i="106"/>
  <c r="D7487" i="106"/>
  <c r="D7488" i="106"/>
  <c r="D7489" i="106"/>
  <c r="D7490" i="106"/>
  <c r="D7491" i="106"/>
  <c r="D7492" i="106"/>
  <c r="D7493" i="106"/>
  <c r="D7494" i="106"/>
  <c r="D7495" i="106"/>
  <c r="D7496" i="106"/>
  <c r="D7497" i="106"/>
  <c r="D7498" i="106"/>
  <c r="D7499" i="106"/>
  <c r="D7500" i="106"/>
  <c r="D7501" i="106"/>
  <c r="D7502" i="106"/>
  <c r="D7503" i="106"/>
  <c r="D7504" i="106"/>
  <c r="D7505" i="106"/>
  <c r="D7506" i="106"/>
  <c r="D7507" i="106"/>
  <c r="D7508" i="106"/>
  <c r="D7509" i="106"/>
  <c r="D7510" i="106"/>
  <c r="D7511" i="106"/>
  <c r="D7512" i="106"/>
  <c r="D7513" i="106"/>
  <c r="D7514" i="106"/>
  <c r="D7515" i="106"/>
  <c r="D7516" i="106"/>
  <c r="D7517" i="106"/>
  <c r="D7518" i="106"/>
  <c r="D7519" i="106"/>
  <c r="D7520" i="106"/>
  <c r="D7521" i="106"/>
  <c r="D7522" i="106"/>
  <c r="D7523" i="106"/>
  <c r="D7524" i="106"/>
  <c r="D7525" i="106"/>
  <c r="D7526" i="106"/>
  <c r="D7527" i="106"/>
  <c r="D7528" i="106"/>
  <c r="D7529" i="106"/>
  <c r="D7530" i="106"/>
  <c r="D7531" i="106"/>
  <c r="D7532" i="106"/>
  <c r="D7533" i="106"/>
  <c r="D7534" i="106"/>
  <c r="D7535" i="106"/>
  <c r="D7536" i="106"/>
  <c r="D7537" i="106"/>
  <c r="D7538" i="106"/>
  <c r="D7539" i="106"/>
  <c r="D7540" i="106"/>
  <c r="D7541" i="106"/>
  <c r="D7542" i="106"/>
  <c r="D7543" i="106"/>
  <c r="D7544" i="106"/>
  <c r="D7545" i="106"/>
  <c r="D7546" i="106"/>
  <c r="D7547" i="106"/>
  <c r="D7548" i="106"/>
  <c r="D7549" i="106"/>
  <c r="D7550" i="106"/>
  <c r="D7551" i="106"/>
  <c r="D7552" i="106"/>
  <c r="D7553" i="106"/>
  <c r="D7554" i="106"/>
  <c r="D7555" i="106"/>
  <c r="D7556" i="106"/>
  <c r="D7557" i="106"/>
  <c r="D7558" i="106"/>
  <c r="D7559" i="106"/>
  <c r="D7560" i="106"/>
  <c r="D7561" i="106"/>
  <c r="D7562" i="106"/>
  <c r="D7563" i="106"/>
  <c r="D7564" i="106"/>
  <c r="D7565" i="106"/>
  <c r="D7566" i="106"/>
  <c r="D7567" i="106"/>
  <c r="D7568" i="106"/>
  <c r="D7569" i="106"/>
  <c r="D7570" i="106"/>
  <c r="D7571" i="106"/>
  <c r="D7572" i="106"/>
  <c r="D7573" i="106"/>
  <c r="D7574" i="106"/>
  <c r="D7575" i="106"/>
  <c r="D7576" i="106"/>
  <c r="D7577" i="106"/>
  <c r="D7578" i="106"/>
  <c r="D7579" i="106"/>
  <c r="D7580" i="106"/>
  <c r="D7581" i="106"/>
  <c r="D7582" i="106"/>
  <c r="D7583" i="106"/>
  <c r="D7584" i="106"/>
  <c r="D7585" i="106"/>
  <c r="D7586" i="106"/>
  <c r="D7587" i="106"/>
  <c r="D7588" i="106"/>
  <c r="D7589" i="106"/>
  <c r="D7635" i="106"/>
  <c r="D7640" i="106"/>
  <c r="D7641" i="106"/>
  <c r="D7642" i="106"/>
  <c r="D7643" i="106"/>
  <c r="D7644" i="106"/>
  <c r="D7645" i="106"/>
  <c r="D7646" i="106"/>
  <c r="D7647" i="106"/>
  <c r="D7648" i="106"/>
  <c r="D7650" i="106"/>
  <c r="D7649" i="106"/>
  <c r="I17" i="11" l="1"/>
  <c r="B7624" i="106"/>
  <c r="F13" i="34"/>
  <c r="B7224" i="106"/>
  <c r="D7224" i="106" s="1"/>
  <c r="F57" i="34"/>
  <c r="K151" i="29"/>
  <c r="B5421" i="106"/>
  <c r="D5421" i="106" s="1"/>
  <c r="D6" i="4"/>
  <c r="B2566" i="106" s="1"/>
  <c r="D2566" i="106" s="1"/>
  <c r="B1125" i="106"/>
  <c r="D1125" i="106" s="1"/>
  <c r="G24" i="108"/>
  <c r="B1875" i="106"/>
  <c r="D1875" i="106" s="1"/>
  <c r="F22" i="37"/>
  <c r="B3274" i="106"/>
  <c r="D3274" i="106" s="1"/>
  <c r="E77" i="4"/>
  <c r="B3277" i="106" s="1"/>
  <c r="D3277" i="106" s="1"/>
  <c r="B6026" i="106"/>
  <c r="D6026" i="106" s="1"/>
  <c r="I4" i="4"/>
  <c r="B1515" i="106"/>
  <c r="D1515" i="106" s="1"/>
  <c r="G16" i="4"/>
  <c r="B2611" i="106" s="1"/>
  <c r="D2611" i="106" s="1"/>
  <c r="B3676" i="106"/>
  <c r="D3676" i="106" s="1"/>
  <c r="K365" i="29"/>
  <c r="B7041" i="106"/>
  <c r="D7041" i="106" s="1"/>
  <c r="J267" i="5"/>
  <c r="L367" i="29"/>
  <c r="L210" i="29"/>
  <c r="D7246" i="106"/>
  <c r="A7247" i="106"/>
  <c r="B4434" i="106"/>
  <c r="D4434" i="106" s="1"/>
  <c r="E7" i="4"/>
  <c r="B4443" i="106" s="1"/>
  <c r="D4443" i="106" s="1"/>
  <c r="B7020" i="106"/>
  <c r="D7020" i="106" s="1"/>
  <c r="F55" i="34"/>
  <c r="B2659" i="106"/>
  <c r="D2659" i="106" s="1"/>
  <c r="H17" i="4"/>
  <c r="B1287" i="106"/>
  <c r="D1287" i="106" s="1"/>
  <c r="D16" i="4"/>
  <c r="K367" i="29"/>
  <c r="B3678" i="106" s="1"/>
  <c r="D3678" i="106" s="1"/>
  <c r="K13" i="4"/>
  <c r="B929" i="106"/>
  <c r="D929" i="106" s="1"/>
  <c r="F114" i="29"/>
  <c r="B931" i="106" s="1"/>
  <c r="D931" i="106" s="1"/>
  <c r="B1045" i="106"/>
  <c r="D1045" i="106" s="1"/>
  <c r="H114" i="29"/>
  <c r="B1054" i="106" s="1"/>
  <c r="D1054" i="106" s="1"/>
  <c r="D295" i="29"/>
  <c r="B1448" i="106" s="1"/>
  <c r="D1448" i="106" s="1"/>
  <c r="B1446" i="106"/>
  <c r="D1446" i="106" s="1"/>
  <c r="B1485" i="106"/>
  <c r="D1485" i="106" s="1"/>
  <c r="K279" i="29"/>
  <c r="B5501" i="106"/>
  <c r="D5501" i="106" s="1"/>
  <c r="D267" i="5"/>
  <c r="C12" i="4"/>
  <c r="B5713" i="106"/>
  <c r="D5713" i="106" s="1"/>
  <c r="F267" i="5"/>
  <c r="B7207" i="106"/>
  <c r="D7207" i="106" s="1"/>
  <c r="J13" i="4"/>
  <c r="B4442" i="106"/>
  <c r="D4442" i="106" s="1"/>
  <c r="K267" i="5"/>
  <c r="H267" i="5"/>
  <c r="B4441" i="106"/>
  <c r="D4441" i="106" s="1"/>
  <c r="H12" i="184"/>
  <c r="E19" i="184"/>
  <c r="H6" i="4"/>
  <c r="B2656" i="106" s="1"/>
  <c r="D2656" i="106" s="1"/>
  <c r="H4" i="4"/>
  <c r="B6014" i="106"/>
  <c r="D6014" i="106" s="1"/>
  <c r="C4" i="4"/>
  <c r="G15" i="4"/>
  <c r="B6032" i="106" s="1"/>
  <c r="D6032" i="106" s="1"/>
  <c r="H22" i="37"/>
  <c r="D52" i="36"/>
  <c r="B1317" i="106"/>
  <c r="D1317" i="106" s="1"/>
  <c r="F65" i="34"/>
  <c r="D44" i="36"/>
  <c r="B1381" i="106"/>
  <c r="D1381" i="106" s="1"/>
  <c r="K47" i="29"/>
  <c r="K53" i="29"/>
  <c r="B1121" i="106"/>
  <c r="D1121" i="106" s="1"/>
  <c r="B4397" i="106"/>
  <c r="D4397" i="106" s="1"/>
  <c r="I7" i="4"/>
  <c r="B4444" i="106" s="1"/>
  <c r="D4444" i="106" s="1"/>
  <c r="B19" i="7"/>
  <c r="B1759" i="106" s="1"/>
  <c r="D1759" i="106" s="1"/>
  <c r="K109" i="5"/>
  <c r="B5618" i="106"/>
  <c r="D5618" i="106" s="1"/>
  <c r="N23" i="3"/>
  <c r="B284" i="106" s="1"/>
  <c r="D284" i="106" s="1"/>
  <c r="F126" i="34"/>
  <c r="B7858" i="106" s="1"/>
  <c r="D7858" i="106" s="1"/>
  <c r="J170" i="5"/>
  <c r="F109" i="5"/>
  <c r="F106" i="34"/>
  <c r="D7" i="7"/>
  <c r="B1763" i="106" s="1"/>
  <c r="D1763" i="106" s="1"/>
  <c r="E109" i="5"/>
  <c r="F127" i="34"/>
  <c r="B7859" i="106" s="1"/>
  <c r="D7859" i="106" s="1"/>
  <c r="C169" i="5"/>
  <c r="G109" i="5"/>
  <c r="D109" i="5"/>
  <c r="G169" i="5"/>
  <c r="F107" i="34"/>
  <c r="B7843" i="106" s="1"/>
  <c r="D7843" i="106" s="1"/>
  <c r="F128" i="34"/>
  <c r="B7860" i="106" s="1"/>
  <c r="D7860" i="106" s="1"/>
  <c r="B1746" i="106"/>
  <c r="D1746" i="106" s="1"/>
  <c r="B7222" i="106"/>
  <c r="D7222" i="106" s="1"/>
  <c r="D17" i="7"/>
  <c r="B4104" i="106" s="1"/>
  <c r="D4104" i="106" s="1"/>
  <c r="C342" i="29"/>
  <c r="B7216" i="106" s="1"/>
  <c r="D7216" i="106" s="1"/>
  <c r="B7696" i="106"/>
  <c r="D7696" i="106" s="1"/>
  <c r="B7189" i="106"/>
  <c r="D7189" i="106" s="1"/>
  <c r="B7171" i="106"/>
  <c r="D7171" i="106" s="1"/>
  <c r="B7153" i="106"/>
  <c r="D7153" i="106" s="1"/>
  <c r="B7135" i="106"/>
  <c r="D7135" i="106" s="1"/>
  <c r="E68" i="184"/>
  <c r="N57" i="184"/>
  <c r="N68" i="184" s="1"/>
  <c r="K160" i="29"/>
  <c r="K34" i="182"/>
  <c r="D83" i="36" s="1"/>
  <c r="G40" i="108"/>
  <c r="B7821" i="106" s="1"/>
  <c r="D7821" i="106" s="1"/>
  <c r="E40" i="108"/>
  <c r="B7820" i="106" s="1"/>
  <c r="D7820" i="106" s="1"/>
  <c r="H15" i="184"/>
  <c r="H17" i="184"/>
  <c r="F74" i="34"/>
  <c r="B7790" i="106"/>
  <c r="D7790" i="106" s="1"/>
  <c r="J90" i="28"/>
  <c r="B7760" i="106" s="1"/>
  <c r="D7760" i="106" s="1"/>
  <c r="G19" i="184"/>
  <c r="D268" i="5" l="1"/>
  <c r="D4" i="4"/>
  <c r="B5356" i="106"/>
  <c r="D5356" i="106" s="1"/>
  <c r="B5214" i="106"/>
  <c r="D5214" i="106" s="1"/>
  <c r="C170" i="5"/>
  <c r="B5527" i="106"/>
  <c r="D5527" i="106" s="1"/>
  <c r="E4" i="4"/>
  <c r="E268" i="5"/>
  <c r="B7842" i="106"/>
  <c r="D7842" i="106" s="1"/>
  <c r="F175" i="34"/>
  <c r="B7877" i="106" s="1"/>
  <c r="D7877" i="106" s="1"/>
  <c r="B6397" i="106"/>
  <c r="D6397" i="106" s="1"/>
  <c r="J6" i="4"/>
  <c r="J268" i="5"/>
  <c r="K4" i="4"/>
  <c r="K268" i="5"/>
  <c r="B6028" i="106"/>
  <c r="D6028" i="106" s="1"/>
  <c r="B1119" i="106"/>
  <c r="D1119" i="106" s="1"/>
  <c r="E22" i="108"/>
  <c r="K74" i="29"/>
  <c r="G22" i="108"/>
  <c r="B2551" i="106"/>
  <c r="D2551" i="106" s="1"/>
  <c r="H19" i="184"/>
  <c r="L20" i="184" s="1"/>
  <c r="B5914" i="106"/>
  <c r="D5914" i="106" s="1"/>
  <c r="H268" i="5"/>
  <c r="H7" i="4"/>
  <c r="B2657" i="106" s="1"/>
  <c r="D2657" i="106" s="1"/>
  <c r="B2556" i="106"/>
  <c r="D2556" i="106" s="1"/>
  <c r="F60" i="34"/>
  <c r="E15" i="4"/>
  <c r="B1323" i="106"/>
  <c r="D1323" i="106" s="1"/>
  <c r="K174" i="29"/>
  <c r="B5770" i="106"/>
  <c r="D5770" i="106" s="1"/>
  <c r="G170" i="5"/>
  <c r="B6024" i="106"/>
  <c r="D6024" i="106" s="1"/>
  <c r="G4" i="4"/>
  <c r="F4" i="4"/>
  <c r="B5588" i="106"/>
  <c r="D5588" i="106" s="1"/>
  <c r="F268" i="5"/>
  <c r="E23" i="108"/>
  <c r="B1122" i="106"/>
  <c r="D1122" i="106" s="1"/>
  <c r="G23" i="108"/>
  <c r="D19" i="7"/>
  <c r="B1775" i="106" s="1"/>
  <c r="D1775" i="106" s="1"/>
  <c r="H8" i="4"/>
  <c r="B2655" i="106"/>
  <c r="D2655" i="106" s="1"/>
  <c r="B6022" i="106"/>
  <c r="D6022" i="106" s="1"/>
  <c r="K7" i="4"/>
  <c r="B3718" i="106" s="1"/>
  <c r="D3718" i="106" s="1"/>
  <c r="J17" i="4"/>
  <c r="B7042" i="106"/>
  <c r="D7042" i="106" s="1"/>
  <c r="B5719" i="106"/>
  <c r="D5719" i="106" s="1"/>
  <c r="F7" i="4"/>
  <c r="B2594" i="106" s="1"/>
  <c r="D2594" i="106" s="1"/>
  <c r="B5507" i="106"/>
  <c r="D5507" i="106" s="1"/>
  <c r="D7" i="4"/>
  <c r="K295" i="29"/>
  <c r="B1510" i="106"/>
  <c r="D1510" i="106" s="1"/>
  <c r="G13" i="4"/>
  <c r="B3572" i="106"/>
  <c r="D3572" i="106" s="1"/>
  <c r="B2572" i="106"/>
  <c r="D2572" i="106" s="1"/>
  <c r="D17" i="4"/>
  <c r="B2661" i="106"/>
  <c r="D2661" i="106" s="1"/>
  <c r="H19" i="4"/>
  <c r="B4141" i="106" s="1"/>
  <c r="D4141" i="106" s="1"/>
  <c r="F77" i="34"/>
  <c r="B7834" i="106" s="1"/>
  <c r="D7834" i="106" s="1"/>
  <c r="A7248" i="106"/>
  <c r="D7247" i="106"/>
  <c r="B7054" i="106"/>
  <c r="D7054" i="106" s="1"/>
  <c r="J7" i="4"/>
  <c r="B6222" i="106" s="1"/>
  <c r="D6222" i="106" s="1"/>
  <c r="B7243" i="106"/>
  <c r="D7243" i="106" s="1"/>
  <c r="K16" i="4"/>
  <c r="B3574" i="106" s="1"/>
  <c r="D3574" i="106" s="1"/>
  <c r="B3225" i="106"/>
  <c r="D3225" i="106" s="1"/>
  <c r="I8" i="4"/>
  <c r="F24" i="37"/>
  <c r="F9" i="34"/>
  <c r="B1288" i="106"/>
  <c r="D1288" i="106" s="1"/>
  <c r="D55" i="36"/>
  <c r="I18" i="11"/>
  <c r="B7625" i="106"/>
  <c r="I10" i="4" l="1"/>
  <c r="B4128" i="106" s="1"/>
  <c r="D4128" i="106" s="1"/>
  <c r="B3226" i="106"/>
  <c r="D3226" i="106" s="1"/>
  <c r="E8" i="146"/>
  <c r="E10" i="146" s="1"/>
  <c r="I20" i="4"/>
  <c r="K17" i="4"/>
  <c r="D10" i="171"/>
  <c r="D19" i="171" s="1"/>
  <c r="D32" i="171" s="1"/>
  <c r="D49" i="171" s="1"/>
  <c r="B2567" i="106"/>
  <c r="D2567" i="106" s="1"/>
  <c r="B5720" i="106"/>
  <c r="D5720" i="106" s="1"/>
  <c r="K211" i="29"/>
  <c r="B1389" i="106" s="1"/>
  <c r="D1389" i="106" s="1"/>
  <c r="F8" i="4"/>
  <c r="B2591" i="106"/>
  <c r="D2591" i="106" s="1"/>
  <c r="B2603" i="106"/>
  <c r="D2603" i="106" s="1"/>
  <c r="B5778" i="106"/>
  <c r="D5778" i="106" s="1"/>
  <c r="G6" i="4"/>
  <c r="B2604" i="106" s="1"/>
  <c r="D2604" i="106" s="1"/>
  <c r="F10" i="34"/>
  <c r="B1332" i="106"/>
  <c r="D1332" i="106" s="1"/>
  <c r="E17" i="4"/>
  <c r="B2633" i="106"/>
  <c r="D2633" i="106" s="1"/>
  <c r="B5915" i="106"/>
  <c r="D5915" i="106" s="1"/>
  <c r="K313" i="29"/>
  <c r="B1561" i="106" s="1"/>
  <c r="D1561" i="106" s="1"/>
  <c r="C13" i="4"/>
  <c r="B1143" i="106"/>
  <c r="D1143" i="106" s="1"/>
  <c r="K114" i="29"/>
  <c r="K368" i="29"/>
  <c r="B3681" i="106" s="1"/>
  <c r="D3681" i="106" s="1"/>
  <c r="B6023" i="106"/>
  <c r="D6023" i="106" s="1"/>
  <c r="B7055" i="106"/>
  <c r="D7055" i="106" s="1"/>
  <c r="K343" i="29"/>
  <c r="B7225" i="106" s="1"/>
  <c r="D7225" i="106" s="1"/>
  <c r="B2630" i="106"/>
  <c r="D2630" i="106" s="1"/>
  <c r="E8" i="4"/>
  <c r="B5223" i="106"/>
  <c r="D5223" i="106" s="1"/>
  <c r="C6" i="4"/>
  <c r="C268" i="5"/>
  <c r="K152" i="29"/>
  <c r="B1289" i="106" s="1"/>
  <c r="D1289" i="106" s="1"/>
  <c r="B5508" i="106"/>
  <c r="D5508" i="106" s="1"/>
  <c r="B7631" i="106"/>
  <c r="F177" i="34"/>
  <c r="D7248" i="106"/>
  <c r="A7249" i="106"/>
  <c r="B2573" i="106"/>
  <c r="D2573" i="106" s="1"/>
  <c r="D19" i="4"/>
  <c r="B4137" i="106" s="1"/>
  <c r="D4137" i="106" s="1"/>
  <c r="C9" i="146"/>
  <c r="B2608" i="106"/>
  <c r="D2608" i="106" s="1"/>
  <c r="G17" i="4"/>
  <c r="F12" i="34"/>
  <c r="B1517" i="106"/>
  <c r="D1517" i="106" s="1"/>
  <c r="J19" i="4"/>
  <c r="B6229" i="106" s="1"/>
  <c r="D6229" i="106" s="1"/>
  <c r="B6227" i="106"/>
  <c r="D6227" i="106" s="1"/>
  <c r="B2658" i="106"/>
  <c r="D2658" i="106" s="1"/>
  <c r="H20" i="4"/>
  <c r="H10" i="4"/>
  <c r="B4127" i="106" s="1"/>
  <c r="D4127" i="106" s="1"/>
  <c r="G268" i="5"/>
  <c r="G41" i="108"/>
  <c r="G44" i="108" s="1"/>
  <c r="G45" i="108" s="1"/>
  <c r="E41" i="108"/>
  <c r="E44" i="108" s="1"/>
  <c r="E45" i="108" s="1"/>
  <c r="K8" i="4"/>
  <c r="B3569" i="106"/>
  <c r="D3569" i="106" s="1"/>
  <c r="B6221" i="106"/>
  <c r="D6221" i="106" s="1"/>
  <c r="J8" i="4"/>
  <c r="B5552" i="106"/>
  <c r="D5552" i="106" s="1"/>
  <c r="K175" i="29"/>
  <c r="B1333" i="106" s="1"/>
  <c r="D1333" i="106" s="1"/>
  <c r="B2564" i="106"/>
  <c r="D2564" i="106" s="1"/>
  <c r="D8" i="4"/>
  <c r="C8" i="146" l="1"/>
  <c r="C10" i="146" s="1"/>
  <c r="D10" i="4"/>
  <c r="B4123" i="106" s="1"/>
  <c r="D4123" i="106" s="1"/>
  <c r="D20" i="4"/>
  <c r="B2568" i="106"/>
  <c r="D2568" i="106" s="1"/>
  <c r="J10" i="4"/>
  <c r="B6225" i="106" s="1"/>
  <c r="D6225" i="106" s="1"/>
  <c r="J20" i="4"/>
  <c r="B6223" i="106"/>
  <c r="D6223" i="106" s="1"/>
  <c r="B5870" i="106"/>
  <c r="D5870" i="106" s="1"/>
  <c r="K296" i="29"/>
  <c r="B1518" i="106" s="1"/>
  <c r="D1518" i="106" s="1"/>
  <c r="H78" i="4"/>
  <c r="B2662" i="106"/>
  <c r="D2662" i="106" s="1"/>
  <c r="G19" i="4"/>
  <c r="B4140" i="106" s="1"/>
  <c r="D4140" i="106" s="1"/>
  <c r="B2612" i="106"/>
  <c r="D2612" i="106" s="1"/>
  <c r="B2553" i="106"/>
  <c r="D2553" i="106" s="1"/>
  <c r="C8" i="4"/>
  <c r="E20" i="4"/>
  <c r="B2632" i="106"/>
  <c r="D2632" i="106" s="1"/>
  <c r="E10" i="4"/>
  <c r="B4124" i="106" s="1"/>
  <c r="D4124" i="106" s="1"/>
  <c r="F8" i="34"/>
  <c r="F14" i="34" s="1"/>
  <c r="B1152" i="106"/>
  <c r="D1152" i="106" s="1"/>
  <c r="B2557" i="106"/>
  <c r="D2557" i="106" s="1"/>
  <c r="C17" i="4"/>
  <c r="B2635" i="106"/>
  <c r="D2635" i="106" s="1"/>
  <c r="E19" i="4"/>
  <c r="B4138" i="106" s="1"/>
  <c r="D4138" i="106" s="1"/>
  <c r="D8" i="146"/>
  <c r="D10" i="146" s="1"/>
  <c r="B2595" i="106"/>
  <c r="D2595" i="106" s="1"/>
  <c r="F10" i="4"/>
  <c r="B4125" i="106" s="1"/>
  <c r="D4125" i="106" s="1"/>
  <c r="F20" i="4"/>
  <c r="B3227" i="106"/>
  <c r="D3227" i="106" s="1"/>
  <c r="I78" i="4"/>
  <c r="B3571" i="106"/>
  <c r="D3571" i="106" s="1"/>
  <c r="K10" i="4"/>
  <c r="B4130" i="106" s="1"/>
  <c r="D4130" i="106" s="1"/>
  <c r="K20" i="4"/>
  <c r="A7250" i="106"/>
  <c r="D7249" i="106"/>
  <c r="B5327" i="106"/>
  <c r="D5327" i="106" s="1"/>
  <c r="K115" i="29"/>
  <c r="B1153" i="106" s="1"/>
  <c r="D1153" i="106" s="1"/>
  <c r="G8" i="4"/>
  <c r="B3575" i="106"/>
  <c r="D3575" i="106" s="1"/>
  <c r="K19" i="4"/>
  <c r="B4144" i="106" s="1"/>
  <c r="D4144" i="106" s="1"/>
  <c r="G20" i="4" l="1"/>
  <c r="G10" i="4"/>
  <c r="B4126" i="106" s="1"/>
  <c r="D4126" i="106" s="1"/>
  <c r="B2606" i="106"/>
  <c r="D2606" i="106" s="1"/>
  <c r="A7251" i="106"/>
  <c r="D7250" i="106"/>
  <c r="B3320" i="106"/>
  <c r="D3320" i="106" s="1"/>
  <c r="I81" i="4"/>
  <c r="F78" i="4"/>
  <c r="B2601" i="106"/>
  <c r="D2601" i="106" s="1"/>
  <c r="B2561" i="106"/>
  <c r="D2561" i="106" s="1"/>
  <c r="H17" i="118"/>
  <c r="C19" i="4"/>
  <c r="B4136" i="106" s="1"/>
  <c r="D4136" i="106" s="1"/>
  <c r="B9" i="146"/>
  <c r="F9" i="146" s="1"/>
  <c r="F16" i="37"/>
  <c r="E78" i="4"/>
  <c r="B2636" i="106"/>
  <c r="D2636" i="106" s="1"/>
  <c r="B2574" i="106"/>
  <c r="D2574" i="106" s="1"/>
  <c r="D78" i="4"/>
  <c r="B3576" i="106"/>
  <c r="D3576" i="106" s="1"/>
  <c r="K78" i="4"/>
  <c r="F78" i="34"/>
  <c r="B7822" i="106"/>
  <c r="H18" i="118"/>
  <c r="B8" i="146"/>
  <c r="B2555" i="106"/>
  <c r="D2555" i="106" s="1"/>
  <c r="C20" i="4"/>
  <c r="H13" i="118"/>
  <c r="C10" i="4"/>
  <c r="B4122" i="106" s="1"/>
  <c r="D4122" i="106" s="1"/>
  <c r="D16" i="37"/>
  <c r="H16" i="37" s="1"/>
  <c r="B3300" i="106"/>
  <c r="D3300" i="106" s="1"/>
  <c r="H81" i="4"/>
  <c r="B6230" i="106"/>
  <c r="D6230" i="106" s="1"/>
  <c r="J78" i="4"/>
  <c r="J81" i="4" l="1"/>
  <c r="B6263" i="106"/>
  <c r="D6263" i="106" s="1"/>
  <c r="D62" i="36"/>
  <c r="B1700" i="106"/>
  <c r="D1700" i="106" s="1"/>
  <c r="H82" i="4"/>
  <c r="F176" i="34"/>
  <c r="F80" i="34"/>
  <c r="B7837" i="106" s="1"/>
  <c r="D7837" i="106" s="1"/>
  <c r="B7835" i="106"/>
  <c r="D7835" i="106" s="1"/>
  <c r="B3278" i="106"/>
  <c r="D3278" i="106" s="1"/>
  <c r="E81" i="4"/>
  <c r="K17" i="118"/>
  <c r="H25" i="118"/>
  <c r="K24" i="118" s="1"/>
  <c r="O23" i="118" s="1"/>
  <c r="O25" i="118" s="1"/>
  <c r="B3323" i="106"/>
  <c r="D3323" i="106" s="1"/>
  <c r="I82" i="4"/>
  <c r="E11" i="146"/>
  <c r="D63" i="36"/>
  <c r="B2613" i="106"/>
  <c r="D2613" i="106" s="1"/>
  <c r="G78" i="4"/>
  <c r="B2562" i="106"/>
  <c r="D2562" i="106" s="1"/>
  <c r="C78" i="4"/>
  <c r="F8" i="146"/>
  <c r="F10" i="146" s="1"/>
  <c r="B10" i="146"/>
  <c r="B3588" i="106"/>
  <c r="D3588" i="106" s="1"/>
  <c r="K81" i="4"/>
  <c r="B3239" i="106"/>
  <c r="D3239" i="106" s="1"/>
  <c r="D81" i="4"/>
  <c r="F81" i="4"/>
  <c r="B3256" i="106"/>
  <c r="D3256" i="106" s="1"/>
  <c r="A7252" i="106"/>
  <c r="D7251" i="106"/>
  <c r="D82" i="4" l="1"/>
  <c r="C11" i="146"/>
  <c r="B1644" i="106"/>
  <c r="D1644" i="106" s="1"/>
  <c r="D58" i="36"/>
  <c r="K82" i="4"/>
  <c r="B3591" i="106"/>
  <c r="D3591" i="106" s="1"/>
  <c r="D65" i="36"/>
  <c r="B3233" i="106"/>
  <c r="D3233" i="106" s="1"/>
  <c r="C81" i="4"/>
  <c r="B3262" i="106"/>
  <c r="D3262" i="106" s="1"/>
  <c r="G81" i="4"/>
  <c r="I83" i="4"/>
  <c r="B6282" i="106" s="1"/>
  <c r="D6282" i="106" s="1"/>
  <c r="B6273" i="106"/>
  <c r="D6273" i="106" s="1"/>
  <c r="E82" i="4"/>
  <c r="B1658" i="106"/>
  <c r="D1658" i="106" s="1"/>
  <c r="D59" i="36"/>
  <c r="F178" i="34"/>
  <c r="B7878" i="106"/>
  <c r="D7878" i="106" s="1"/>
  <c r="A7253" i="106"/>
  <c r="D7252" i="106"/>
  <c r="D11" i="146"/>
  <c r="B1672" i="106"/>
  <c r="D1672" i="106" s="1"/>
  <c r="F82" i="4"/>
  <c r="D60" i="36"/>
  <c r="O16" i="118"/>
  <c r="J20" i="118"/>
  <c r="K20" i="118"/>
  <c r="H83" i="4"/>
  <c r="B6281" i="106" s="1"/>
  <c r="D6281" i="106" s="1"/>
  <c r="B6272" i="106"/>
  <c r="D6272" i="106" s="1"/>
  <c r="J82" i="4"/>
  <c r="D64" i="36"/>
  <c r="B6266" i="106"/>
  <c r="D6266" i="106" s="1"/>
  <c r="O17" i="118" l="1"/>
  <c r="O20" i="118" s="1"/>
  <c r="B6270" i="106"/>
  <c r="D6270" i="106" s="1"/>
  <c r="F83" i="4"/>
  <c r="B6279" i="106" s="1"/>
  <c r="D6279" i="106" s="1"/>
  <c r="D7253" i="106"/>
  <c r="A7254" i="106"/>
  <c r="F180" i="34"/>
  <c r="B7880" i="106" s="1"/>
  <c r="D7880" i="106" s="1"/>
  <c r="B7879" i="106"/>
  <c r="D7879" i="106" s="1"/>
  <c r="D61" i="36"/>
  <c r="G82" i="4"/>
  <c r="B1686" i="106"/>
  <c r="D1686" i="106" s="1"/>
  <c r="C82" i="4"/>
  <c r="B1630" i="106"/>
  <c r="D1630" i="106" s="1"/>
  <c r="J16" i="37"/>
  <c r="B4269" i="106" s="1"/>
  <c r="D4269" i="106" s="1"/>
  <c r="H12" i="118"/>
  <c r="K12" i="118" s="1"/>
  <c r="O11" i="118" s="1"/>
  <c r="O13" i="118" s="1"/>
  <c r="B11" i="146"/>
  <c r="F11" i="146" s="1"/>
  <c r="D57" i="36"/>
  <c r="B6275" i="106"/>
  <c r="D6275" i="106" s="1"/>
  <c r="K83" i="4"/>
  <c r="B6284" i="106" s="1"/>
  <c r="D6284" i="106" s="1"/>
  <c r="B6268" i="106"/>
  <c r="D6268" i="106" s="1"/>
  <c r="D83" i="4"/>
  <c r="B6277" i="106" s="1"/>
  <c r="D6277" i="106" s="1"/>
  <c r="B6274" i="106"/>
  <c r="D6274" i="106" s="1"/>
  <c r="J83" i="4"/>
  <c r="B6283" i="106" s="1"/>
  <c r="D6283" i="106" s="1"/>
  <c r="B6269" i="106"/>
  <c r="D6269" i="106" s="1"/>
  <c r="E83" i="4"/>
  <c r="B6278" i="106" s="1"/>
  <c r="D6278" i="106" s="1"/>
  <c r="O35" i="118" l="1"/>
  <c r="O37" i="118" s="1"/>
  <c r="D29" i="36"/>
  <c r="J24" i="24" s="1"/>
  <c r="C12" i="146"/>
  <c r="C83" i="4"/>
  <c r="B6276" i="106" s="1"/>
  <c r="D6276" i="106" s="1"/>
  <c r="B6267" i="106"/>
  <c r="D6267" i="106" s="1"/>
  <c r="B6271" i="106"/>
  <c r="D6271" i="106" s="1"/>
  <c r="G83" i="4"/>
  <c r="B6280" i="106" s="1"/>
  <c r="D6280" i="106" s="1"/>
  <c r="A7255" i="106"/>
  <c r="D7254" i="106"/>
  <c r="D7255" i="106" l="1"/>
  <c r="A7256" i="106"/>
  <c r="A7257" i="106" l="1"/>
  <c r="D7256" i="106"/>
  <c r="A7258" i="106" l="1"/>
  <c r="D7257" i="106"/>
  <c r="A7259" i="106" l="1"/>
  <c r="D7258" i="106"/>
  <c r="A7260" i="106" l="1"/>
  <c r="D7259" i="106"/>
  <c r="A7261" i="106" l="1"/>
  <c r="D7260" i="106"/>
  <c r="A7262" i="106" l="1"/>
  <c r="D7261" i="106"/>
  <c r="D7262" i="106" l="1"/>
  <c r="A7263" i="106"/>
  <c r="A7264" i="106" l="1"/>
  <c r="D7263" i="106"/>
  <c r="D7264" i="106" l="1"/>
  <c r="A7265" i="106"/>
  <c r="A7266" i="106" l="1"/>
  <c r="D7265" i="106"/>
  <c r="A7267" i="106" l="1"/>
  <c r="D7266" i="106"/>
  <c r="A7268" i="106" l="1"/>
  <c r="D7267" i="106"/>
  <c r="A7269" i="106" l="1"/>
  <c r="A7270" i="106" s="1"/>
  <c r="A7271" i="106" s="1"/>
  <c r="A7272" i="106" s="1"/>
  <c r="A7273" i="106" s="1"/>
  <c r="A7274" i="106" s="1"/>
  <c r="A7275" i="106" s="1"/>
  <c r="A7276" i="106" s="1"/>
  <c r="A7277" i="106" s="1"/>
  <c r="A7278" i="106" s="1"/>
  <c r="A7279" i="106" s="1"/>
  <c r="A7280" i="106" s="1"/>
  <c r="A7281" i="106" s="1"/>
  <c r="A7282" i="106" s="1"/>
  <c r="A7283" i="106" s="1"/>
  <c r="A7284" i="106" s="1"/>
  <c r="A7285" i="106" s="1"/>
  <c r="A7286" i="106" s="1"/>
  <c r="A7287" i="106" s="1"/>
  <c r="A7288" i="106" s="1"/>
  <c r="A7289" i="106" s="1"/>
  <c r="A7290" i="106" s="1"/>
  <c r="A7291" i="106" s="1"/>
  <c r="A7292" i="106" s="1"/>
  <c r="A7293" i="106" s="1"/>
  <c r="A7294" i="106" s="1"/>
  <c r="A7295" i="106" s="1"/>
  <c r="A7296" i="106" s="1"/>
  <c r="A7297" i="106" s="1"/>
  <c r="A7298" i="106" s="1"/>
  <c r="A7299" i="106" s="1"/>
  <c r="A7300" i="106" s="1"/>
  <c r="A7301" i="106" s="1"/>
  <c r="A7302" i="106" s="1"/>
  <c r="A7303" i="106" s="1"/>
  <c r="A7304" i="106" s="1"/>
  <c r="A7305" i="106" s="1"/>
  <c r="A7306" i="106" s="1"/>
  <c r="A7307" i="106" s="1"/>
  <c r="A7308" i="106" s="1"/>
  <c r="A7309" i="106" s="1"/>
  <c r="A7310" i="106" s="1"/>
  <c r="A7311" i="106" s="1"/>
  <c r="A7312" i="106" s="1"/>
  <c r="A7313" i="106" s="1"/>
  <c r="A7314" i="106" s="1"/>
  <c r="A7315" i="106" s="1"/>
  <c r="A7316" i="106" s="1"/>
  <c r="A7317" i="106" s="1"/>
  <c r="A7318" i="106" s="1"/>
  <c r="A7319" i="106" s="1"/>
  <c r="A7320" i="106" s="1"/>
  <c r="A7321" i="106" s="1"/>
  <c r="A7322" i="106" s="1"/>
  <c r="A7323" i="106" s="1"/>
  <c r="A7324" i="106" s="1"/>
  <c r="A7325" i="106" s="1"/>
  <c r="A7326" i="106" s="1"/>
  <c r="A7327" i="106" s="1"/>
  <c r="A7328" i="106" s="1"/>
  <c r="A7329" i="106" s="1"/>
  <c r="A7330" i="106" s="1"/>
  <c r="A7331" i="106" s="1"/>
  <c r="A7332" i="106" s="1"/>
  <c r="A7333" i="106" s="1"/>
  <c r="A7334" i="106" s="1"/>
  <c r="A7335" i="106" s="1"/>
  <c r="A7336" i="106" s="1"/>
  <c r="A7337" i="106" s="1"/>
  <c r="A7338" i="106" s="1"/>
  <c r="A7339" i="106" s="1"/>
  <c r="A7340" i="106" s="1"/>
  <c r="A7341" i="106" s="1"/>
  <c r="A7342" i="106" s="1"/>
  <c r="A7343" i="106" s="1"/>
  <c r="A7344" i="106" s="1"/>
  <c r="A7345" i="106" s="1"/>
  <c r="A7346" i="106" s="1"/>
  <c r="A7347" i="106" s="1"/>
  <c r="A7348" i="106" s="1"/>
  <c r="A7349" i="106" s="1"/>
  <c r="A7350" i="106" s="1"/>
  <c r="A7351" i="106" s="1"/>
  <c r="A7352" i="106" s="1"/>
  <c r="A7353" i="106" s="1"/>
  <c r="A7354" i="106" s="1"/>
  <c r="A7355" i="106" s="1"/>
  <c r="A7356" i="106" s="1"/>
  <c r="A7357" i="106" s="1"/>
  <c r="A7358" i="106" s="1"/>
  <c r="A7359" i="106" s="1"/>
  <c r="A7360" i="106" s="1"/>
  <c r="A7361" i="106" s="1"/>
  <c r="A7362" i="106" s="1"/>
  <c r="A7363" i="106" s="1"/>
  <c r="A7364" i="106" s="1"/>
  <c r="A7365" i="106" s="1"/>
  <c r="A7366" i="106" s="1"/>
  <c r="A7367" i="106" s="1"/>
  <c r="A7368" i="106" s="1"/>
  <c r="A7369" i="106" s="1"/>
  <c r="A7370" i="106" s="1"/>
  <c r="A7371" i="106" s="1"/>
  <c r="A7372" i="106" s="1"/>
  <c r="A7373" i="106" s="1"/>
  <c r="A7374" i="106" s="1"/>
  <c r="A7375" i="106" s="1"/>
  <c r="A7376" i="106" s="1"/>
  <c r="A7377" i="106" s="1"/>
  <c r="A7378" i="106" s="1"/>
  <c r="A7379" i="106" s="1"/>
  <c r="A7380" i="106" s="1"/>
  <c r="A7381" i="106" s="1"/>
  <c r="A7382" i="106" s="1"/>
  <c r="A7383" i="106" s="1"/>
  <c r="A7384" i="106" s="1"/>
  <c r="A7385" i="106" s="1"/>
  <c r="A7386" i="106" s="1"/>
  <c r="A7387" i="106" s="1"/>
  <c r="A7388" i="106" s="1"/>
  <c r="A7389" i="106" s="1"/>
  <c r="A7390" i="106" s="1"/>
  <c r="A7391" i="106" s="1"/>
  <c r="A7392" i="106" s="1"/>
  <c r="A7393" i="106" s="1"/>
  <c r="A7394" i="106" s="1"/>
  <c r="A7395" i="106" s="1"/>
  <c r="A7396" i="106" s="1"/>
  <c r="A7397" i="106" s="1"/>
  <c r="A7398" i="106" s="1"/>
  <c r="A7399" i="106" s="1"/>
  <c r="A7400" i="106" s="1"/>
  <c r="A7401" i="106" s="1"/>
  <c r="A7402" i="106" s="1"/>
  <c r="A7403" i="106" s="1"/>
  <c r="A7404" i="106" s="1"/>
  <c r="A7405" i="106" s="1"/>
  <c r="A7406" i="106" s="1"/>
  <c r="A7407" i="106" s="1"/>
  <c r="A7408" i="106" s="1"/>
  <c r="A7409" i="106" s="1"/>
  <c r="A7410" i="106" s="1"/>
  <c r="A7411" i="106" s="1"/>
  <c r="A7412" i="106" s="1"/>
  <c r="A7413" i="106" s="1"/>
  <c r="A7414" i="106" s="1"/>
  <c r="A7415" i="106" s="1"/>
  <c r="A7416" i="106" s="1"/>
  <c r="A7417" i="106" s="1"/>
  <c r="A7418" i="106" s="1"/>
  <c r="A7419" i="106" s="1"/>
  <c r="A7420" i="106" s="1"/>
  <c r="A7421" i="106" s="1"/>
  <c r="A7422" i="106" s="1"/>
  <c r="A7423" i="106" s="1"/>
  <c r="A7424" i="106" s="1"/>
  <c r="A7425" i="106" s="1"/>
  <c r="A7426" i="106" s="1"/>
  <c r="A7427" i="106" s="1"/>
  <c r="A7428" i="106" s="1"/>
  <c r="A7429" i="106" s="1"/>
  <c r="A7430" i="106" s="1"/>
  <c r="A7431" i="106" s="1"/>
  <c r="A7432" i="106" s="1"/>
  <c r="A7433" i="106" s="1"/>
  <c r="A7434" i="106" s="1"/>
  <c r="A7435" i="106" s="1"/>
  <c r="A7436" i="106" s="1"/>
  <c r="A7437" i="106" s="1"/>
  <c r="A7438" i="106" s="1"/>
  <c r="A7439" i="106" s="1"/>
  <c r="A7440" i="106" s="1"/>
  <c r="A7441" i="106" s="1"/>
  <c r="A7442" i="106" s="1"/>
  <c r="A7443" i="106" s="1"/>
  <c r="A7444" i="106" s="1"/>
  <c r="A7445" i="106" s="1"/>
  <c r="A7446" i="106" s="1"/>
  <c r="A7447" i="106" s="1"/>
  <c r="A7448" i="106" s="1"/>
  <c r="A7449" i="106" s="1"/>
  <c r="A7450" i="106" s="1"/>
  <c r="A7451" i="106" s="1"/>
  <c r="A7452" i="106" s="1"/>
  <c r="A7453" i="106" s="1"/>
  <c r="A7454" i="106" s="1"/>
  <c r="A7455" i="106" s="1"/>
  <c r="A7456" i="106" s="1"/>
  <c r="A7457" i="106" s="1"/>
  <c r="A7458" i="106" s="1"/>
  <c r="A7459" i="106" s="1"/>
  <c r="A7460" i="106" s="1"/>
  <c r="A7461" i="106" s="1"/>
  <c r="A7462" i="106" s="1"/>
  <c r="A7463" i="106" s="1"/>
  <c r="A7464" i="106" s="1"/>
  <c r="A7465" i="106" s="1"/>
  <c r="A7466" i="106" s="1"/>
  <c r="A7467" i="106" s="1"/>
  <c r="A7468" i="106" s="1"/>
  <c r="A7469" i="106" s="1"/>
  <c r="A7470" i="106" s="1"/>
  <c r="A7471" i="106" s="1"/>
  <c r="A7472" i="106" s="1"/>
  <c r="A7473" i="106" s="1"/>
  <c r="A7474" i="106" s="1"/>
  <c r="A7475" i="106" s="1"/>
  <c r="A7476" i="106" s="1"/>
  <c r="A7477" i="106" s="1"/>
  <c r="A7478" i="106" s="1"/>
  <c r="A7479" i="106" s="1"/>
  <c r="A7480" i="106" s="1"/>
  <c r="A7481" i="106" s="1"/>
  <c r="A7482" i="106" s="1"/>
  <c r="A7483" i="106" s="1"/>
  <c r="A7484" i="106" s="1"/>
  <c r="A7485" i="106" s="1"/>
  <c r="A7486" i="106" s="1"/>
  <c r="A7487" i="106" s="1"/>
  <c r="A7488" i="106" s="1"/>
  <c r="A7489" i="106" s="1"/>
  <c r="A7490" i="106" s="1"/>
  <c r="A7491" i="106" s="1"/>
  <c r="A7492" i="106" s="1"/>
  <c r="A7493" i="106" s="1"/>
  <c r="A7494" i="106" s="1"/>
  <c r="A7495" i="106" s="1"/>
  <c r="A7496" i="106" s="1"/>
  <c r="A7497" i="106" s="1"/>
  <c r="A7498" i="106" s="1"/>
  <c r="A7499" i="106" s="1"/>
  <c r="A7500" i="106" s="1"/>
  <c r="A7501" i="106" s="1"/>
  <c r="A7502" i="106" s="1"/>
  <c r="A7503" i="106" s="1"/>
  <c r="A7504" i="106" s="1"/>
  <c r="A7505" i="106" s="1"/>
  <c r="A7506" i="106" s="1"/>
  <c r="A7507" i="106" s="1"/>
  <c r="A7508" i="106" s="1"/>
  <c r="A7509" i="106" s="1"/>
  <c r="A7510" i="106" s="1"/>
  <c r="A7511" i="106" s="1"/>
  <c r="A7512" i="106" s="1"/>
  <c r="A7513" i="106" s="1"/>
  <c r="A7514" i="106" s="1"/>
  <c r="A7515" i="106" s="1"/>
  <c r="A7516" i="106" s="1"/>
  <c r="A7517" i="106" s="1"/>
  <c r="A7518" i="106" s="1"/>
  <c r="A7519" i="106" s="1"/>
  <c r="A7520" i="106" s="1"/>
  <c r="A7521" i="106" s="1"/>
  <c r="A7522" i="106" s="1"/>
  <c r="A7523" i="106" s="1"/>
  <c r="A7524" i="106" s="1"/>
  <c r="A7525" i="106" s="1"/>
  <c r="A7526" i="106" s="1"/>
  <c r="A7527" i="106" s="1"/>
  <c r="A7528" i="106" s="1"/>
  <c r="A7529" i="106" s="1"/>
  <c r="A7530" i="106" s="1"/>
  <c r="A7531" i="106" s="1"/>
  <c r="A7532" i="106" s="1"/>
  <c r="A7533" i="106" s="1"/>
  <c r="A7534" i="106" s="1"/>
  <c r="A7535" i="106" s="1"/>
  <c r="A7536" i="106" s="1"/>
  <c r="A7537" i="106" s="1"/>
  <c r="A7538" i="106" s="1"/>
  <c r="A7539" i="106" s="1"/>
  <c r="A7540" i="106" s="1"/>
  <c r="A7541" i="106" s="1"/>
  <c r="A7542" i="106" s="1"/>
  <c r="A7543" i="106" s="1"/>
  <c r="A7544" i="106" s="1"/>
  <c r="A7545" i="106" s="1"/>
  <c r="A7546" i="106" s="1"/>
  <c r="A7547" i="106" s="1"/>
  <c r="A7548" i="106" s="1"/>
  <c r="A7549" i="106" s="1"/>
  <c r="A7550" i="106" s="1"/>
  <c r="A7551" i="106" s="1"/>
  <c r="A7552" i="106" s="1"/>
  <c r="A7553" i="106" s="1"/>
  <c r="A7554" i="106" s="1"/>
  <c r="A7555" i="106" s="1"/>
  <c r="A7556" i="106" s="1"/>
  <c r="A7557" i="106" s="1"/>
  <c r="A7558" i="106" s="1"/>
  <c r="A7559" i="106" s="1"/>
  <c r="A7560" i="106" s="1"/>
  <c r="A7561" i="106" s="1"/>
  <c r="A7562" i="106" s="1"/>
  <c r="A7563" i="106" s="1"/>
  <c r="A7564" i="106" s="1"/>
  <c r="A7565" i="106" s="1"/>
  <c r="A7566" i="106" s="1"/>
  <c r="A7567" i="106" s="1"/>
  <c r="A7568" i="106" s="1"/>
  <c r="A7569" i="106" s="1"/>
  <c r="A7570" i="106" s="1"/>
  <c r="A7571" i="106" s="1"/>
  <c r="A7572" i="106" s="1"/>
  <c r="A7573" i="106" s="1"/>
  <c r="A7574" i="106" s="1"/>
  <c r="A7575" i="106" s="1"/>
  <c r="A7576" i="106" s="1"/>
  <c r="A7577" i="106" s="1"/>
  <c r="A7578" i="106" s="1"/>
  <c r="A7579" i="106" s="1"/>
  <c r="A7580" i="106" s="1"/>
  <c r="A7581" i="106" s="1"/>
  <c r="A7582" i="106" s="1"/>
  <c r="A7583" i="106" s="1"/>
  <c r="A7584" i="106" s="1"/>
  <c r="A7585" i="106" s="1"/>
  <c r="A7586" i="106" s="1"/>
  <c r="A7587" i="106" s="1"/>
  <c r="A7588" i="106" s="1"/>
  <c r="A7589" i="106" s="1"/>
  <c r="A7590" i="106" s="1"/>
  <c r="D7268"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A7636" i="106" s="1"/>
  <c r="D7631" i="106"/>
  <c r="A7637" i="106" l="1"/>
  <c r="D7636" i="106"/>
  <c r="A7638" i="106" l="1"/>
  <c r="D7637" i="106"/>
  <c r="A7639" i="106" l="1"/>
  <c r="D7638" i="106"/>
  <c r="A7640" i="106" l="1"/>
  <c r="A7641" i="106" s="1"/>
  <c r="A7642" i="106" s="1"/>
  <c r="A7643" i="106" s="1"/>
  <c r="A7644" i="106" s="1"/>
  <c r="A7645" i="106" s="1"/>
  <c r="A7646" i="106" s="1"/>
  <c r="A7647" i="106" s="1"/>
  <c r="A7648" i="106" s="1"/>
  <c r="A7649" i="106" s="1"/>
  <c r="A7650" i="106" s="1"/>
  <c r="D763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<sst xmlns="http://schemas.openxmlformats.org/spreadsheetml/2006/main" count="5187" uniqueCount="2090">
  <si>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</si>
  <si>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</si>
  <si>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</si>
  <si>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</si>
  <si>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</si>
  <si>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</si>
  <si>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</si>
  <si>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</si>
  <si>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</si>
  <si>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</si>
  <si>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</si>
  <si>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</si>
  <si>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</si>
  <si>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</si>
  <si>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</si>
  <si>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</si>
  <si>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</si>
  <si>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</si>
  <si>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</si>
  <si>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</si>
  <si>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</si>
  <si>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</si>
  <si>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</si>
  <si>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</si>
  <si>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</si>
  <si>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</si>
  <si>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</si>
  <si>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</si>
  <si>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</si>
  <si>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</si>
  <si>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</si>
  <si>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</si>
  <si>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</si>
  <si>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</si>
  <si>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</si>
  <si>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</si>
  <si>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</si>
  <si>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</si>
  <si>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</si>
  <si>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</si>
  <si>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</si>
  <si>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</si>
  <si>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</si>
  <si>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</si>
  <si>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</si>
  <si>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</si>
  <si>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</si>
  <si>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</si>
  <si>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</si>
  <si>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</si>
  <si>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</si>
  <si>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</si>
  <si>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</si>
  <si>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</si>
  <si>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</si>
  <si>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</si>
  <si>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</si>
  <si>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</si>
  <si>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</si>
  <si>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</si>
  <si>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</si>
  <si>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</si>
  <si>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</si>
  <si>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</si>
  <si>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</si>
  <si>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</si>
  <si>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</si>
  <si>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</si>
  <si>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</si>
  <si>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</si>
  <si>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</si>
  <si>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</si>
  <si>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</si>
  <si>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</si>
  <si>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</si>
  <si>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</si>
  <si>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</si>
  <si>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</si>
  <si>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</si>
  <si>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</si>
  <si>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</si>
  <si>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</si>
  <si>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</si>
  <si>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</si>
  <si>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</si>
  <si>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</si>
  <si>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</si>
  <si>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</si>
  <si>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</si>
  <si>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</si>
  <si>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</si>
  <si>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</si>
  <si>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</si>
  <si>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</si>
  <si>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</si>
  <si>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</si>
  <si>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</si>
  <si>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</si>
  <si>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</si>
  <si>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</si>
  <si>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</si>
  <si>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</si>
  <si>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</si>
  <si>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</si>
  <si>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</si>
  <si>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</si>
  <si>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</si>
  <si>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</si>
  <si>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</si>
  <si>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</si>
  <si>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</si>
  <si>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</si>
  <si>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</si>
  <si>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</si>
  <si>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</si>
  <si>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</si>
  <si>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</si>
  <si>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</si>
  <si>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</si>
  <si>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</si>
  <si>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</si>
  <si>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</si>
  <si>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</si>
  <si>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</si>
  <si>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</si>
  <si>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</si>
  <si>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</si>
  <si>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</si>
  <si>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</si>
  <si>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</si>
  <si>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</si>
  <si>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</si>
  <si>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</si>
  <si>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</si>
  <si>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</si>
  <si>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</si>
  <si>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</si>
  <si>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</si>
  <si>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</si>
  <si>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</si>
  <si>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</si>
  <si>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</si>
  <si>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</si>
  <si>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</si>
  <si>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</si>
  <si>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</si>
  <si>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</si>
  <si>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</si>
  <si>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</si>
  <si>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</si>
  <si>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</si>
  <si>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</si>
  <si>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</si>
  <si>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</si>
  <si>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</si>
  <si>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</si>
  <si>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</si>
  <si>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</si>
  <si>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</si>
  <si>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</si>
  <si>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</si>
  <si>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</si>
  <si>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</si>
  <si>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</si>
  <si>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</si>
  <si>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</si>
  <si>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</si>
  <si>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</si>
  <si>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</si>
  <si>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</si>
  <si>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</si>
  <si>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</si>
  <si>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</si>
  <si>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</si>
  <si>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</si>
  <si>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</si>
  <si>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</si>
  <si>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</si>
  <si>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</si>
  <si>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</si>
  <si>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</si>
  <si>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</si>
  <si>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</si>
  <si>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</si>
  <si>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</si>
  <si>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</si>
  <si>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</si>
  <si>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</si>
  <si>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</si>
  <si>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</si>
  <si>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</si>
  <si>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</si>
  <si>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</si>
  <si>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</si>
  <si>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</si>
  <si>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</si>
  <si>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</si>
  <si>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</si>
  <si>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</si>
  <si>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</si>
  <si>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</si>
  <si>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</si>
  <si>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</si>
  <si>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</si>
  <si>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</si>
  <si>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</si>
  <si>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</si>
  <si>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</si>
  <si>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</si>
  <si>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</si>
  <si>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</si>
  <si>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</si>
  <si>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</si>
  <si>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</si>
  <si>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</si>
  <si>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</si>
  <si>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</si>
  <si>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</si>
  <si>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</si>
  <si>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</si>
  <si>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</si>
  <si>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</si>
  <si>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</si>
  <si>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</si>
  <si>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</si>
  <si>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</si>
  <si>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</si>
  <si>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</si>
  <si>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</si>
  <si>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</si>
  <si>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</si>
  <si>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</si>
  <si>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</si>
  <si>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</si>
  <si>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</si>
  <si>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</si>
  <si>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</si>
  <si>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</si>
  <si>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</si>
  <si>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</si>
  <si>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</si>
  <si>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</si>
  <si>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</si>
  <si>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</si>
  <si>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</si>
  <si>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</si>
  <si>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</si>
  <si>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</si>
  <si>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</si>
  <si>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</si>
  <si>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</si>
  <si>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</si>
  <si>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</si>
  <si>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</si>
  <si>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</si>
  <si>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</si>
  <si>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</si>
  <si>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</si>
  <si>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</si>
  <si>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</si>
  <si>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</si>
  <si>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</si>
  <si>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</si>
  <si>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</si>
  <si>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</si>
  <si>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</si>
  <si>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</si>
  <si>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</si>
  <si>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</si>
  <si>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</si>
  <si>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</si>
  <si>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</si>
  <si>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</si>
  <si>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</si>
  <si>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</si>
  <si>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</si>
  <si>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</si>
  <si>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</si>
  <si>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</si>
  <si>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</si>
  <si>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</si>
  <si>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</si>
  <si>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</si>
  <si>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</si>
  <si>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</si>
  <si>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</si>
  <si>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</si>
  <si>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</si>
  <si>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</si>
  <si>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</si>
  <si>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</si>
  <si>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</si>
  <si>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</si>
  <si>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</si>
  <si>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</si>
  <si>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</si>
  <si>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</si>
  <si>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</si>
  <si>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</si>
  <si>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</si>
  <si>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</si>
  <si>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</si>
  <si>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</si>
  <si>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</si>
  <si>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</si>
  <si>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</si>
  <si>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</si>
  <si>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</si>
  <si>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</si>
  <si>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</si>
  <si>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</si>
  <si>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</si>
  <si>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</si>
  <si>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</si>
  <si>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</si>
  <si>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</si>
  <si>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</si>
  <si>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</si>
  <si>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</si>
  <si>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</si>
  <si>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</si>
  <si>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</si>
  <si>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</si>
  <si>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</si>
  <si>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</si>
  <si>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</si>
  <si>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</si>
  <si>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</si>
  <si>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</si>
  <si>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</si>
  <si>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</si>
  <si>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</si>
  <si>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</si>
  <si>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</si>
  <si>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</si>
  <si>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</si>
  <si>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</si>
  <si>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</si>
  <si>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</si>
  <si>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</si>
  <si>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</si>
  <si>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</si>
  <si>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</si>
  <si>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</si>
  <si>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</si>
  <si>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</si>
  <si>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</si>
  <si>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</si>
  <si>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</si>
  <si>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</si>
  <si>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</si>
  <si>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</si>
  <si>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</si>
  <si>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</si>
  <si>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</si>
  <si>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</si>
  <si>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</si>
  <si>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</si>
  <si>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</si>
  <si>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</si>
  <si>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</si>
  <si>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</si>
  <si>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</si>
  <si>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</si>
  <si>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</si>
  <si>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</si>
  <si>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</si>
  <si>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</si>
  <si>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</si>
  <si>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</si>
  <si>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</si>
  <si>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</si>
  <si>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</si>
  <si>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</si>
  <si>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</si>
  <si>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</si>
  <si>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</si>
  <si>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</si>
  <si>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</si>
  <si>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</si>
  <si>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</si>
  <si>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</si>
  <si>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</si>
  <si>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</si>
  <si>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</si>
  <si>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</si>
  <si>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</si>
  <si>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</si>
  <si>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</si>
  <si>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</si>
  <si>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</si>
  <si>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</si>
  <si>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</si>
  <si>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</si>
  <si>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</si>
  <si>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</si>
  <si>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</si>
  <si>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</si>
  <si>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</si>
  <si>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</si>
  <si>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</si>
  <si>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</si>
  <si>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</si>
  <si>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</si>
  <si>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</si>
  <si>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</si>
  <si>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</si>
  <si>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</si>
  <si>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</si>
  <si>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</si>
  <si>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</si>
  <si>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</si>
  <si>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</si>
  <si>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</si>
  <si>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</si>
  <si>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</si>
  <si>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</si>
  <si>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</si>
  <si>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</si>
  <si>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</si>
  <si>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</si>
  <si>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</si>
  <si>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</si>
  <si>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</si>
  <si>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</si>
  <si>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</si>
  <si>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</si>
  <si>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</si>
  <si>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</si>
  <si>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</si>
  <si>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</si>
  <si>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</si>
  <si>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</si>
  <si>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</si>
  <si>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</si>
  <si>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</si>
  <si>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</si>
  <si>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</si>
  <si>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</si>
  <si>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</si>
  <si>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</si>
  <si>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</si>
  <si>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</si>
  <si>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</si>
  <si>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</si>
  <si>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</si>
  <si>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</si>
  <si>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</si>
  <si>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</si>
  <si>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</si>
  <si>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</si>
  <si>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</si>
  <si>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</si>
  <si>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</si>
  <si>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</si>
  <si>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</si>
  <si>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</si>
  <si>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</si>
  <si>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</si>
  <si>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</si>
  <si>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</si>
  <si>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</si>
  <si>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</si>
  <si>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</si>
  <si>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</si>
  <si>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</si>
  <si>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</si>
  <si>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</si>
  <si>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</si>
  <si>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</si>
  <si>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</si>
  <si>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</si>
  <si>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</si>
  <si>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</si>
  <si>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</si>
  <si>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</si>
  <si>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</si>
  <si>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</si>
  <si>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</si>
  <si>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</si>
  <si>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</si>
  <si>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</si>
  <si>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</si>
  <si>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</si>
  <si>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</si>
  <si>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</si>
  <si>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</si>
  <si>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</si>
  <si>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</si>
  <si>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</si>
  <si>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</si>
  <si>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</si>
  <si>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</si>
  <si>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</si>
  <si>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</si>
  <si>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</si>
  <si>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</si>
  <si>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</si>
  <si>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</si>
  <si>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</si>
  <si>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</si>
  <si>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</si>
  <si>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</si>
  <si>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</si>
  <si>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</si>
  <si>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</si>
  <si>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</si>
  <si>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</si>
  <si>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</si>
  <si>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</si>
  <si>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</si>
  <si>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</si>
  <si>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</si>
  <si>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</si>
  <si>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</si>
  <si>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</si>
  <si>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</si>
  <si>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</si>
  <si>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</si>
  <si>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</si>
  <si>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</si>
  <si>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</si>
  <si>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</si>
  <si>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</si>
  <si>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</si>
  <si>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</si>
  <si>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</si>
  <si>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</si>
  <si>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</si>
  <si>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</si>
  <si>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</si>
  <si>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</si>
  <si>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</si>
  <si>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</si>
  <si>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</si>
  <si>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</si>
  <si>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</si>
  <si>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</si>
  <si>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</si>
  <si>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</si>
  <si>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</si>
  <si>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</si>
  <si>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</si>
  <si>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</si>
  <si>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</si>
  <si>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</si>
  <si>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</si>
  <si>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</si>
  <si>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</si>
  <si>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</si>
  <si>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</si>
  <si>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</si>
  <si>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</si>
  <si>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</si>
  <si>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</si>
  <si>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</si>
  <si>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</si>
  <si>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</si>
  <si>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</si>
  <si>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</si>
  <si>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</si>
  <si>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</si>
  <si>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</si>
  <si>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</si>
  <si>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</si>
  <si>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</si>
  <si>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</si>
  <si>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</si>
  <si>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</si>
  <si>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</si>
  <si>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</si>
  <si>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</si>
  <si>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</si>
  <si>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</si>
  <si>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</si>
  <si>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</si>
  <si>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</si>
  <si>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</si>
  <si>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</si>
  <si>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</si>
  <si>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</si>
  <si>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</si>
  <si>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</si>
  <si>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</si>
  <si>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</si>
  <si>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</si>
  <si>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</si>
  <si>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</si>
  <si>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</si>
  <si>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</si>
  <si>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</si>
  <si>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</si>
  <si>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</si>
  <si>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</si>
  <si>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</si>
  <si>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</si>
  <si>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</si>
  <si>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</si>
  <si>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</si>
  <si>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</si>
  <si>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</si>
  <si>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</si>
  <si>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</si>
  <si>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</si>
  <si>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</si>
  <si>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</si>
  <si>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</si>
  <si>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</si>
  <si>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</si>
  <si>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</si>
  <si>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</si>
  <si>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</si>
  <si>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</si>
  <si>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</si>
  <si>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</si>
  <si>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</si>
  <si>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</si>
  <si>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</si>
  <si>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</si>
  <si>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</si>
  <si>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</si>
  <si>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</si>
  <si>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</si>
  <si>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</si>
  <si>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</si>
  <si>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</si>
  <si>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</si>
  <si>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</si>
  <si>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</si>
  <si>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</si>
  <si>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</si>
  <si>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</si>
  <si>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</si>
  <si>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</si>
  <si>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</si>
  <si>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</si>
  <si>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</si>
  <si>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</si>
  <si>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</si>
  <si>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</si>
  <si>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</si>
  <si>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</si>
  <si>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</si>
  <si>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</si>
  <si>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</si>
  <si>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</si>
  <si>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</si>
  <si>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</si>
  <si>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</si>
  <si>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</si>
  <si>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</si>
  <si>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</si>
  <si>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</si>
  <si>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</si>
  <si>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</si>
  <si>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</si>
  <si>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</si>
  <si>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</si>
  <si>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</si>
  <si>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</si>
  <si>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</si>
  <si>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</si>
  <si>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</si>
  <si>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</si>
  <si>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</si>
  <si>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</si>
  <si>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</si>
  <si>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</si>
  <si>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</si>
  <si>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</si>
  <si>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</si>
  <si>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</si>
  <si>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</si>
  <si>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</si>
  <si>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</si>
  <si>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</si>
  <si>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</si>
  <si>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</si>
  <si>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</si>
  <si>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</si>
  <si>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</si>
  <si>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</si>
  <si>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</si>
  <si>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</si>
  <si>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</si>
  <si>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</si>
  <si>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</si>
  <si>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</si>
  <si>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</si>
  <si>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</si>
  <si>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</si>
  <si>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</si>
  <si>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</si>
  <si>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</si>
  <si>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</si>
  <si>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</si>
  <si>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</si>
  <si>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</si>
  <si>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</si>
  <si>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</si>
  <si>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</si>
  <si>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</si>
  <si>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</si>
  <si>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</si>
  <si>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</si>
  <si>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</si>
  <si>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</si>
  <si>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</si>
  <si>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</si>
  <si>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</si>
  <si>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</si>
  <si>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</si>
  <si>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</si>
  <si>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</si>
  <si>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</si>
  <si>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</si>
  <si>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</si>
  <si>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</si>
  <si>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</si>
  <si>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</si>
  <si>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</si>
  <si>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</si>
  <si>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</si>
  <si>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</si>
  <si>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</si>
  <si>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</si>
  <si>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</si>
  <si>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</si>
  <si>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</si>
  <si>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</si>
  <si>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</si>
  <si>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</si>
  <si>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</si>
  <si>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</si>
  <si>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</si>
  <si>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</si>
  <si>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</si>
  <si>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</si>
  <si>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</si>
  <si>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</si>
  <si>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</si>
  <si>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</si>
  <si>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</si>
  <si>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</si>
  <si>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</si>
  <si>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</si>
  <si>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</si>
  <si>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</si>
  <si>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</si>
  <si>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</si>
  <si>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</si>
  <si>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</si>
  <si>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</si>
  <si>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</si>
  <si>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</si>
  <si>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</si>
  <si>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</si>
  <si>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</si>
  <si>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</si>
  <si>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</si>
  <si>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</si>
  <si>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</si>
  <si>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</si>
  <si>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</si>
  <si>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</si>
  <si>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</si>
  <si>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</si>
  <si>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</si>
  <si>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</si>
  <si>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</si>
  <si>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</si>
  <si>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</si>
  <si>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</si>
  <si>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</si>
  <si>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</si>
  <si>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</si>
  <si>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</si>
  <si>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</si>
  <si>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</si>
  <si>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</si>
  <si>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</si>
  <si>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</si>
  <si>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</si>
  <si>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</si>
  <si>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</si>
  <si>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</si>
  <si>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</si>
  <si>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</si>
  <si>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</si>
  <si>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</si>
  <si>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</si>
  <si>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</si>
  <si>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</si>
  <si>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</si>
  <si>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</si>
  <si>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</si>
  <si>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</si>
  <si>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</si>
  <si>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</si>
  <si>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</si>
  <si>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</si>
  <si>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</si>
  <si>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</si>
  <si>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</si>
  <si>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</si>
  <si>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</si>
  <si>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</si>
  <si>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</si>
  <si>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</si>
  <si>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</si>
  <si>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</si>
  <si>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</si>
  <si>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</si>
  <si>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</si>
  <si>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</si>
  <si>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</si>
  <si>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</si>
  <si>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</si>
  <si>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</si>
  <si>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</si>
  <si>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</si>
  <si>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</si>
  <si>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</si>
  <si>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</si>
  <si>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</si>
  <si>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</si>
  <si>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</si>
  <si>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</si>
  <si>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</si>
  <si>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</si>
  <si>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</si>
  <si>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</si>
  <si>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</si>
  <si>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</si>
  <si>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</si>
  <si>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</si>
  <si>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</si>
  <si>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</si>
  <si>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</si>
  <si>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</si>
  <si>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</si>
  <si>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</si>
  <si>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</si>
  <si>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</si>
  <si>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</si>
  <si>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</si>
  <si>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</si>
  <si>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</si>
  <si>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</si>
  <si>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</si>
  <si>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</si>
  <si>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</si>
  <si>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</si>
  <si>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</si>
  <si>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</si>
  <si>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</si>
  <si>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</si>
  <si>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</si>
  <si>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</si>
  <si>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</si>
  <si>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</si>
  <si>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</si>
  <si>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</si>
  <si>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</si>
  <si>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</si>
  <si>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</si>
  <si>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</si>
  <si>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</si>
  <si>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</si>
  <si>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</si>
  <si>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</si>
  <si>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</si>
  <si>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</si>
  <si>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</si>
  <si>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</si>
  <si>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</si>
  <si>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</si>
  <si>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</si>
  <si>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</si>
  <si>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</si>
  <si>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</si>
  <si>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</si>
  <si>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</si>
  <si>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</si>
  <si>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</si>
  <si>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</si>
  <si>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</si>
  <si>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</si>
  <si>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</si>
  <si>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</si>
  <si>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</si>
  <si>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</si>
  <si>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</si>
  <si>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</si>
  <si>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</si>
  <si>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</si>
  <si>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</si>
  <si>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</si>
  <si>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</si>
  <si>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</si>
  <si>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</si>
  <si>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</si>
  <si>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</si>
  <si>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</si>
  <si>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</si>
  <si>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</si>
  <si>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</si>
  <si>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</si>
  <si>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</si>
  <si>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</si>
  <si>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</si>
  <si>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</si>
  <si>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</si>
  <si>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</si>
  <si>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</si>
  <si>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</si>
  <si>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</si>
  <si>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</si>
  <si>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</si>
  <si>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</si>
  <si>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</si>
  <si>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</si>
  <si>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</si>
  <si>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</si>
  <si>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</si>
  <si>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</si>
  <si>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</si>
  <si>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</si>
  <si>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</si>
  <si>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</si>
  <si>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</si>
  <si>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</si>
  <si>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</si>
  <si>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</si>
  <si>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</si>
  <si>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</si>
  <si>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</si>
  <si>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</si>
  <si>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</si>
  <si>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</si>
  <si>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</si>
  <si>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</si>
  <si>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</si>
  <si>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</si>
  <si>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</si>
  <si>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</si>
  <si>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</si>
  <si>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</si>
  <si>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</si>
  <si>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</si>
  <si>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</si>
  <si>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</si>
  <si>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</si>
  <si>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</si>
  <si>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</si>
  <si>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</si>
  <si>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</si>
  <si>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</si>
  <si>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</si>
  <si>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</si>
  <si>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</si>
  <si>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</si>
  <si>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</si>
  <si>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</si>
  <si>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</si>
  <si>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</si>
  <si>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</si>
  <si>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</si>
  <si>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</si>
  <si>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</si>
  <si>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</si>
  <si>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</si>
  <si>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</si>
  <si>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</si>
  <si>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</si>
  <si>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</si>
  <si>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</si>
  <si>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</si>
  <si>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</si>
  <si>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</si>
  <si>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</si>
  <si>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</si>
  <si>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</si>
  <si>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</si>
  <si>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</si>
  <si>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</si>
  <si>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</si>
  <si>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</si>
  <si>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</si>
  <si>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</si>
  <si>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</si>
  <si>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</si>
  <si>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</si>
  <si>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</si>
  <si>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</si>
  <si>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</si>
  <si>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</si>
  <si>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</si>
  <si>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</si>
  <si>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</si>
  <si>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</si>
  <si>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</si>
  <si>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</si>
  <si>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</si>
  <si>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</si>
  <si>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</si>
  <si>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</si>
  <si>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</si>
  <si>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</si>
  <si>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</si>
  <si>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</si>
  <si>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</si>
  <si>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</si>
  <si>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</si>
  <si>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</si>
  <si>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</si>
  <si>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</si>
  <si>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</si>
  <si>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</si>
  <si>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</si>
  <si>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</si>
  <si>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</si>
  <si>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</si>
  <si>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</si>
  <si>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</si>
  <si>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</si>
  <si>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</si>
  <si>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</si>
  <si>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</si>
  <si>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</si>
  <si>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</si>
  <si>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</si>
  <si>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</si>
  <si>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</si>
  <si>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</si>
  <si>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</si>
  <si>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</si>
  <si>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</si>
  <si>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</si>
  <si>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</si>
  <si>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</si>
  <si>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</si>
  <si>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</si>
  <si>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</si>
  <si>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</si>
  <si>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</si>
  <si>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</si>
  <si>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</si>
  <si>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</si>
  <si>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</si>
  <si>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</si>
  <si>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</si>
  <si>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</si>
  <si>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</si>
  <si>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</si>
  <si>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</si>
  <si>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</si>
  <si>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</si>
  <si>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</si>
  <si>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</si>
  <si>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</si>
  <si>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</si>
  <si>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</si>
  <si>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</si>
  <si>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</si>
  <si>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</si>
  <si>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</si>
  <si>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</si>
  <si>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</si>
  <si>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</si>
  <si>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</si>
  <si>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</si>
  <si>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</si>
  <si>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</si>
  <si>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</si>
  <si>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</si>
  <si>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</si>
  <si>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</si>
  <si>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</si>
  <si>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</si>
  <si>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</si>
  <si>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</si>
  <si>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</si>
  <si>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</si>
  <si>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</si>
  <si>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</si>
  <si>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</si>
  <si>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</si>
  <si>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</si>
  <si>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</si>
  <si>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</si>
  <si>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</si>
  <si>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</si>
  <si>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</si>
  <si>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</si>
  <si>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</si>
  <si>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</si>
  <si>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</si>
  <si>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</si>
  <si>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</si>
  <si>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</si>
  <si>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</si>
  <si>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</si>
  <si>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</si>
  <si>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</si>
  <si>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</si>
  <si>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</si>
  <si>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</si>
  <si>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</si>
  <si>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</si>
  <si>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</si>
  <si>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</si>
  <si>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</si>
  <si>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</si>
  <si>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</si>
  <si>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</si>
  <si>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</si>
  <si>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</si>
  <si>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</si>
  <si>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</si>
  <si>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</si>
  <si>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</si>
  <si>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</si>
  <si>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</si>
  <si>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</si>
  <si>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</si>
  <si>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</si>
  <si>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</si>
  <si>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</si>
  <si>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</si>
  <si>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</si>
  <si>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</si>
  <si>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</si>
  <si>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</si>
  <si>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</si>
  <si>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</si>
  <si>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</si>
  <si>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</si>
  <si>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</si>
  <si>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</si>
  <si>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</si>
  <si>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</si>
  <si>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</si>
  <si>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</si>
  <si>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</si>
  <si>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</si>
  <si>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</si>
  <si>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</si>
  <si>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</si>
  <si>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</si>
  <si>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</si>
  <si>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</si>
  <si>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</si>
  <si>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</si>
  <si>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</si>
  <si>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</si>
  <si>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</si>
  <si>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</si>
  <si>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</si>
  <si>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</si>
  <si>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</si>
  <si>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</si>
  <si>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</si>
  <si>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</si>
  <si>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</si>
  <si>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</si>
  <si>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</si>
  <si>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</si>
  <si>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</si>
  <si>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</si>
  <si>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</si>
  <si>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</si>
  <si>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</si>
  <si>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</si>
  <si>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</si>
  <si>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</si>
  <si>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</si>
  <si>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</si>
  <si>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</si>
  <si>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</si>
  <si>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</si>
  <si>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</si>
  <si>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</si>
  <si>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</si>
  <si>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</si>
  <si>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</si>
  <si>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</si>
  <si>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</si>
  <si>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</si>
  <si>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</si>
  <si>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</si>
  <si>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</si>
  <si>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</si>
  <si>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</si>
  <si>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</si>
  <si>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</si>
  <si>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</si>
  <si>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</si>
  <si>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</si>
  <si>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</si>
  <si>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</si>
  <si>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</si>
  <si>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</si>
  <si>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</si>
  <si>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</si>
  <si>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</si>
  <si>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</si>
  <si>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</si>
  <si>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</si>
  <si>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</si>
  <si>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</si>
  <si>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</si>
  <si>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</si>
  <si>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</si>
  <si>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</si>
  <si>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</si>
  <si>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</si>
  <si>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</si>
  <si>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</si>
  <si>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</si>
  <si>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</si>
  <si>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</si>
  <si>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</si>
  <si>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</si>
  <si>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</si>
  <si>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</si>
  <si>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</si>
  <si>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</si>
  <si>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</si>
  <si>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</si>
  <si>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</si>
  <si>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</si>
  <si>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</si>
  <si>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</si>
  <si>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</si>
  <si>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</si>
  <si>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</si>
  <si>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</si>
  <si>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</si>
  <si>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</si>
  <si>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</si>
  <si>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</si>
  <si>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</si>
  <si>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</si>
  <si>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</si>
  <si>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</si>
  <si>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</si>
  <si>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</si>
  <si>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</si>
  <si>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</si>
  <si>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</si>
  <si>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</si>
  <si>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</si>
  <si>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</si>
  <si>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</si>
  <si>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</si>
  <si>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</si>
  <si>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</si>
  <si>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</si>
  <si>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</si>
  <si>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</si>
  <si>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</si>
  <si>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</si>
  <si>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</si>
  <si>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</si>
  <si>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</si>
  <si>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</si>
  <si>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</si>
  <si>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</si>
  <si>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</si>
  <si>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</si>
  <si>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</si>
  <si>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</si>
  <si>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</si>
  <si>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</si>
  <si>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</si>
  <si>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</si>
  <si>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</si>
  <si>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</si>
  <si>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</si>
  <si>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</si>
  <si>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</si>
  <si>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</si>
  <si>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</si>
  <si>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</si>
  <si>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</si>
  <si>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</si>
  <si>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</si>
  <si>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</si>
  <si>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</si>
  <si>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</si>
  <si>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</si>
  <si>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</si>
  <si>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</si>
  <si>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</si>
  <si>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</si>
  <si>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</si>
  <si>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</si>
  <si>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</si>
  <si>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</si>
  <si>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</si>
  <si>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</si>
  <si>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</si>
  <si>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</si>
  <si>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</si>
  <si>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</si>
  <si>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</si>
  <si>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</si>
  <si>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</si>
  <si>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</si>
  <si>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</si>
  <si>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</si>
  <si>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</si>
  <si>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</si>
  <si>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</si>
  <si>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</si>
  <si>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</si>
  <si>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</si>
  <si>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</si>
  <si>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</si>
  <si>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</si>
  <si>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</si>
  <si>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</si>
  <si>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</si>
  <si>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</si>
  <si>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</si>
  <si>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</si>
  <si>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</si>
  <si>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</si>
  <si>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</si>
  <si>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</si>
  <si>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</si>
  <si>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</si>
  <si>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</si>
  <si>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</si>
  <si>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</si>
  <si>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</si>
  <si>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</si>
  <si>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</si>
  <si>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</si>
  <si>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</si>
  <si>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</si>
  <si>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</si>
  <si>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</si>
  <si>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</si>
  <si>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</si>
  <si>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</si>
  <si>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</si>
  <si>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</si>
  <si>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</si>
  <si>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</si>
  <si>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</si>
  <si>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</si>
  <si>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</si>
  <si>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</si>
  <si>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</si>
  <si>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</si>
  <si>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</si>
  <si>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</si>
  <si>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</si>
  <si>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</si>
  <si>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</si>
  <si>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</si>
  <si>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</si>
  <si>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</si>
  <si>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</si>
  <si>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</si>
  <si>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</si>
  <si>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</si>
  <si>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</si>
  <si>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</si>
  <si>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</si>
  <si>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</si>
  <si>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</si>
  <si>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</si>
  <si>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</si>
  <si>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</si>
  <si>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</si>
  <si>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</si>
  <si>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</si>
  <si>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</si>
  <si>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</si>
  <si>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</si>
  <si>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</si>
  <si>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</si>
  <si>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</si>
  <si>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</si>
  <si>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</si>
  <si>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</si>
  <si>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</si>
  <si>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</si>
  <si>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</si>
  <si>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</si>
  <si>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</si>
  <si>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</si>
  <si>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</si>
  <si>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</si>
  <si>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</si>
  <si>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</si>
  <si>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</si>
  <si>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</si>
  <si>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</si>
  <si>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</si>
  <si>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</si>
  <si>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</si>
  <si>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</si>
  <si>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</si>
  <si>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</si>
  <si>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</si>
  <si>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</si>
  <si>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</si>
  <si>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</si>
  <si>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</si>
  <si>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</si>
  <si>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</si>
  <si>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</si>
  <si>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</si>
  <si>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</si>
  <si>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</si>
  <si>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</si>
  <si>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</si>
  <si>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</si>
  <si>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</si>
  <si>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</si>
  <si>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</si>
  <si>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</si>
  <si>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</si>
  <si>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</si>
  <si>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</si>
  <si>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</si>
  <si>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</si>
  <si>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</si>
  <si>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</si>
  <si>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</si>
  <si>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</si>
  <si>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</si>
  <si>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</si>
  <si>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</si>
  <si>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</si>
  <si>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</si>
  <si>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</si>
  <si>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</si>
  <si>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</si>
  <si>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</si>
  <si>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</si>
  <si>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</si>
  <si>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</si>
  <si>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</si>
  <si>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</si>
  <si>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</si>
  <si>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</si>
  <si>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</si>
  <si>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</si>
  <si>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</si>
  <si>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</si>
  <si>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</si>
  <si>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</si>
  <si>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</si>
  <si>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</si>
  <si>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</si>
  <si>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</si>
  <si>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</si>
  <si>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</si>
  <si>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</si>
  <si>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</si>
  <si>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</si>
  <si>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</si>
  <si>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</si>
  <si>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</si>
  <si>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</si>
  <si>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</si>
  <si>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</si>
  <si>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</si>
  <si>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</si>
  <si>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</si>
  <si>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</si>
  <si>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</si>
  <si>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</si>
  <si>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</si>
  <si>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</si>
  <si>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</si>
  <si>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</si>
  <si>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</si>
  <si>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</si>
  <si>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</si>
  <si>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</si>
  <si>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</si>
  <si>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</si>
  <si>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</si>
  <si>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</si>
  <si>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</si>
  <si>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</si>
  <si>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</si>
  <si>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</si>
  <si>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</si>
  <si>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</si>
  <si>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</si>
  <si>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</si>
  <si>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</si>
  <si>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</si>
  <si>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</si>
  <si>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</si>
  <si>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</si>
  <si>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</si>
  <si>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</si>
  <si>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</si>
  <si>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</si>
  <si>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</si>
  <si>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</si>
  <si>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</si>
  <si>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</si>
  <si>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</si>
  <si>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</si>
  <si>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</si>
  <si>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</si>
  <si>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</si>
  <si>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</si>
  <si>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</si>
  <si>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</si>
  <si>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</si>
  <si>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</si>
  <si>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</si>
  <si>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</si>
  <si>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</si>
  <si>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</si>
  <si>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</si>
  <si>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</si>
  <si>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</si>
  <si>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</si>
  <si>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</si>
  <si>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</si>
  <si>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</si>
  <si>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</si>
  <si>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</si>
  <si>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</si>
  <si>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</si>
  <si>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</si>
  <si>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</si>
  <si>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</si>
  <si>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</si>
  <si>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</si>
  <si>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</si>
  <si>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</si>
  <si>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</si>
  <si>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</si>
  <si>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</si>
  <si>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</si>
  <si>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</si>
  <si>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</si>
  <si>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</si>
  <si>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</si>
  <si>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</si>
  <si>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</si>
  <si>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</si>
  <si>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</si>
  <si>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</si>
  <si>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</si>
  <si>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</si>
  <si>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</si>
  <si>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</si>
  <si>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</si>
  <si>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</si>
  <si>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</si>
  <si>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</si>
  <si>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</si>
  <si>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</si>
  <si>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</si>
  <si>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</si>
  <si>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</si>
  <si>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</si>
  <si>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</si>
  <si>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</si>
  <si>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</si>
  <si>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</si>
  <si>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</si>
  <si>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</si>
  <si>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</si>
  <si>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</si>
  <si>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</si>
  <si>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</si>
  <si>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</si>
  <si>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</si>
  <si>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</si>
  <si>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</si>
  <si>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</si>
  <si>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</si>
  <si>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</si>
  <si>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</si>
  <si>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</si>
  <si>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</si>
  <si>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</si>
  <si>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</si>
  <si>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</si>
  <si>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</si>
  <si>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</si>
  <si>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</si>
  <si>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</si>
  <si>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</si>
  <si>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</si>
  <si>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</si>
  <si>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</si>
  <si>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</si>
  <si>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</si>
  <si>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</si>
  <si>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</si>
  <si>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</si>
  <si>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</si>
  <si>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</si>
  <si>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</si>
  <si>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</si>
  <si>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</si>
  <si>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</si>
  <si>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</si>
  <si>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</si>
  <si>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</si>
  <si>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</si>
  <si>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</si>
  <si>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</si>
  <si>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</si>
  <si>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</si>
  <si>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</si>
  <si>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</si>
  <si>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</si>
  <si>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</si>
  <si>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</si>
  <si>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</si>
  <si>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</si>
  <si>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</si>
  <si>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</si>
  <si>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</si>
  <si>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</si>
  <si>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</si>
  <si>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</si>
  <si>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</si>
  <si>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</si>
  <si>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</si>
  <si>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</si>
  <si>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</si>
  <si>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</si>
  <si>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</si>
  <si>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</si>
  <si>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</si>
  <si>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</si>
  <si>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</si>
  <si>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</si>
  <si>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</si>
  <si>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</si>
  <si>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</si>
  <si>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</si>
  <si>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</si>
  <si>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</si>
  <si>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</si>
  <si>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</si>
  <si>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</si>
  <si>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</si>
  <si>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</si>
  <si>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</si>
  <si>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</si>
  <si>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</si>
  <si>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</si>
  <si>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</si>
  <si>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</si>
  <si>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</si>
  <si>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</si>
  <si>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</si>
  <si>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</si>
  <si>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</si>
  <si>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</si>
  <si>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</si>
  <si>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</si>
  <si>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</si>
  <si>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</si>
  <si>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</si>
  <si>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</si>
  <si>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</si>
  <si>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</si>
  <si>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</si>
  <si>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</si>
  <si>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</si>
  <si>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</si>
  <si>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</si>
  <si>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</si>
  <si>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</si>
  <si>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</si>
  <si>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</si>
  <si>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</si>
  <si>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</si>
  <si>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</si>
  <si>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</si>
  <si>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</si>
  <si>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</si>
  <si>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</si>
  <si>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</si>
  <si>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</si>
  <si>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</si>
  <si>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</si>
  <si>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</si>
  <si>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</si>
  <si>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</si>
  <si>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</si>
  <si>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</si>
  <si>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</si>
  <si>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</si>
  <si>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</si>
  <si>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</si>
  <si>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</si>
  <si>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</si>
  <si>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</si>
  <si>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</si>
  <si>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</si>
  <si>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</si>
  <si>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</si>
  <si>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</si>
  <si>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</si>
  <si>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</si>
  <si>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</si>
  <si>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</si>
  <si>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</si>
  <si>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</si>
  <si>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</si>
  <si>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</si>
  <si>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</si>
  <si>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</si>
  <si>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</si>
  <si>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</si>
  <si>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</si>
  <si>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</si>
  <si>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</si>
  <si>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</si>
  <si>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</si>
  <si>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</si>
  <si>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</si>
  <si>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</si>
  <si>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</si>
  <si>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</si>
  <si>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</si>
  <si>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</si>
  <si>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</si>
  <si>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</si>
  <si>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</si>
  <si>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</si>
  <si>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</si>
  <si>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</si>
  <si>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</si>
  <si>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</si>
  <si>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</si>
  <si>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</si>
  <si>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</si>
  <si>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</si>
  <si>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</si>
  <si>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</si>
  <si>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</si>
  <si>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</si>
  <si>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</si>
  <si>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</si>
  <si>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</si>
  <si>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</si>
  <si>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</si>
  <si>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</si>
  <si>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</si>
  <si>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</si>
  <si>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</si>
  <si>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</si>
  <si>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</si>
  <si>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</si>
  <si>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</si>
  <si>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</si>
  <si>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</si>
  <si>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</si>
  <si>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</si>
  <si>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</si>
  <si>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</si>
  <si>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</si>
  <si>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</si>
  <si>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</si>
  <si>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</si>
  <si>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</si>
  <si>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</si>
  <si>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</si>
  <si>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</si>
  <si>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</si>
  <si>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</si>
  <si>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</si>
  <si>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</si>
  <si>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</si>
  <si>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</si>
  <si>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</si>
  <si>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</si>
  <si>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</si>
  <si>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</si>
  <si>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</si>
  <si>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</si>
  <si>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</si>
  <si>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</si>
  <si>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</si>
  <si>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</si>
  <si>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</si>
  <si>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</si>
  <si>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</si>
  <si>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</si>
  <si>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</si>
  <si>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</si>
  <si>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</si>
  <si>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</si>
  <si>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</si>
  <si>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</si>
  <si>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</si>
  <si>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</si>
  <si>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</si>
  <si>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</si>
  <si>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</si>
  <si>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</si>
  <si>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</si>
  <si>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</si>
  <si>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</si>
  <si>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</si>
  <si>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</si>
  <si>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</si>
  <si>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</si>
  <si>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</si>
  <si>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</si>
  <si>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</si>
  <si>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</si>
  <si>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</si>
  <si>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</si>
  <si>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</si>
  <si>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</si>
  <si>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</si>
  <si>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</si>
  <si>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</si>
  <si>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</si>
  <si>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</si>
  <si>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</si>
  <si>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</si>
  <si>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</si>
  <si>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</si>
  <si>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</si>
  <si>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</si>
  <si>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</si>
  <si>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</si>
  <si>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</si>
  <si>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</si>
  <si>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</si>
  <si>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</si>
  <si>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</si>
  <si>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</si>
  <si>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</si>
  <si>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</si>
  <si>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</si>
  <si>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</si>
  <si>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</si>
  <si>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</si>
  <si>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</si>
  <si>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</si>
  <si>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</si>
  <si>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</si>
  <si>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</si>
  <si>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</si>
  <si>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</si>
  <si>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</si>
  <si>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</si>
  <si>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</si>
  <si>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</si>
  <si>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</si>
  <si>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</si>
  <si>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</si>
  <si>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</si>
  <si>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</si>
  <si>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</si>
  <si>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</si>
  <si>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</si>
  <si>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</si>
  <si>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</si>
  <si>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</si>
  <si>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</si>
  <si>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</si>
  <si>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</si>
  <si>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</si>
  <si>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</si>
  <si>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</si>
  <si>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</si>
  <si>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</si>
  <si>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</si>
  <si>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</si>
  <si>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</si>
  <si>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</si>
  <si>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</si>
  <si>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</si>
  <si>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</si>
  <si>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</si>
  <si>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</si>
  <si>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</si>
  <si>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</si>
  <si>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</si>
  <si>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</si>
  <si>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</si>
  <si>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</si>
  <si>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</si>
  <si>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</si>
  <si>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</si>
  <si>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</si>
  <si>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</si>
  <si>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</si>
  <si>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</si>
  <si>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</si>
  <si>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</si>
  <si>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</si>
  <si>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</si>
  <si>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</si>
  <si>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</si>
  <si>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</si>
  <si>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</si>
  <si>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</si>
  <si>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</si>
  <si>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</si>
  <si>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</si>
  <si>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</si>
  <si>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</si>
  <si>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</si>
  <si>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</si>
  <si>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</si>
  <si>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</si>
  <si>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</si>
  <si>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</si>
  <si>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</si>
  <si>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</si>
  <si>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</si>
  <si>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</si>
  <si>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</si>
  <si>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</si>
  <si>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</si>
  <si>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</si>
  <si>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</si>
  <si>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</si>
  <si>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</si>
  <si>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</si>
  <si>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</si>
  <si>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</si>
  <si>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</si>
  <si>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</si>
  <si>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</si>
  <si>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</si>
  <si>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</si>
  <si>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</si>
  <si>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</si>
  <si>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</si>
  <si>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</si>
  <si>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</si>
  <si>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</si>
  <si>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</si>
  <si>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</si>
  <si>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</si>
  <si>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</si>
  <si>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</si>
  <si>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</si>
  <si>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</si>
  <si>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</si>
  <si>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</si>
  <si>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</si>
  <si>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</si>
  <si>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</si>
  <si>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</si>
  <si>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</si>
  <si>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</si>
  <si>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</si>
  <si>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</si>
  <si>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</si>
  <si>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</si>
  <si>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</si>
  <si>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</si>
  <si>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</si>
  <si>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</si>
  <si>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</si>
  <si>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</si>
  <si>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</si>
  <si>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</si>
  <si>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</si>
  <si>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</si>
  <si>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</si>
  <si>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</si>
  <si>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</si>
  <si>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</si>
  <si>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</si>
  <si>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</si>
  <si>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indexed="8"/>
        <rFont val="Calibri"/>
        <family val="2"/>
      </rPr>
      <t>name</t>
    </r>
    <r>
      <rPr>
        <i/>
        <sz val="11"/>
        <color indexed="8"/>
        <rFont val="Calibri"/>
        <family val="2"/>
      </rPr>
      <t xml:space="preserve"> of the </t>
    </r>
    <r>
      <rPr>
        <b/>
        <sz val="11"/>
        <color indexed="8"/>
        <rFont val="Calibri"/>
        <family val="2"/>
      </rPr>
      <t xml:space="preserve">Fund-Function-Object </t>
    </r>
    <r>
      <rPr>
        <sz val="11"/>
        <color indexed="8"/>
        <rFont val="Calibri"/>
        <family val="2"/>
      </rPr>
      <t>of the account</t>
    </r>
    <r>
      <rPr>
        <b/>
        <sz val="11"/>
        <color indexed="8"/>
        <rFont val="Calibri"/>
        <family val="2"/>
      </rPr>
      <t xml:space="preserve"> </t>
    </r>
    <r>
      <rPr>
        <i/>
        <sz val="11"/>
        <color indexed="8"/>
        <rFont val="Calibri"/>
        <family val="2"/>
      </rPr>
      <t xml:space="preserve">where the payment was made on each contract in the current year. </t>
    </r>
  </si>
  <si>
    <r>
      <t xml:space="preserve">3.  In Column (C) enter the </t>
    </r>
    <r>
      <rPr>
        <b/>
        <i/>
        <sz val="11"/>
        <color indexed="8"/>
        <rFont val="Calibri"/>
        <family val="2"/>
      </rPr>
      <t>name of the Company</t>
    </r>
    <r>
      <rPr>
        <i/>
        <sz val="11"/>
        <color indexed="8"/>
        <rFont val="Calibri"/>
        <family val="2"/>
      </rPr>
      <t xml:space="preserve"> that is listed on the contract. </t>
    </r>
  </si>
  <si>
    <r>
      <t xml:space="preserve">4.  In column (D) enter the </t>
    </r>
    <r>
      <rPr>
        <b/>
        <i/>
        <sz val="11"/>
        <color indexed="8"/>
        <rFont val="Calibri"/>
        <family val="2"/>
      </rPr>
      <t xml:space="preserve">total amount </t>
    </r>
    <r>
      <rPr>
        <b/>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</si>
  <si>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</si>
  <si>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indexed="8"/>
        <rFont val="Calibri"/>
        <family val="2"/>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</si>
  <si>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indexed="8"/>
        <rFont val="Calibri"/>
        <family val="2"/>
      </rPr>
      <t>number</t>
    </r>
    <r>
      <rPr>
        <i/>
        <sz val="11"/>
        <color indexed="8"/>
        <rFont val="Calibri"/>
        <family val="2"/>
      </rPr>
      <t xml:space="preserve"> of the </t>
    </r>
    <r>
      <rPr>
        <b/>
        <sz val="11"/>
        <color indexed="8"/>
        <rFont val="Calibri"/>
        <family val="2"/>
      </rPr>
      <t>Fund-Functon-Object</t>
    </r>
    <r>
      <rPr>
        <i/>
        <sz val="11"/>
        <color indexed="8"/>
        <rFont val="Calibri"/>
        <family val="2"/>
      </rPr>
      <t xml:space="preserve"> of the account where the payment was made on each contract for the current year.  Do not enter hyphens.  Ex) Enter as 101000600                                                                             </t>
    </r>
    <r>
      <rPr>
        <b/>
        <i/>
        <u/>
        <sz val="11"/>
        <color indexed="8"/>
        <rFont val="Calibri"/>
        <family val="2"/>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</si>
  <si>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</si>
  <si>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</si>
  <si>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</si>
  <si>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</si>
  <si>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</si>
  <si>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</si>
  <si>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</si>
  <si>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</si>
  <si>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</si>
  <si>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</si>
  <si>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</si>
  <si>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</si>
  <si>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</si>
  <si>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</si>
  <si>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</si>
  <si>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</si>
  <si>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</si>
  <si>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</si>
  <si>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</si>
  <si>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</si>
  <si>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</si>
  <si>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</si>
  <si>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</si>
  <si>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</si>
  <si>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</si>
  <si>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</si>
  <si>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</si>
  <si>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</si>
  <si>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</si>
  <si>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</si>
  <si>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</si>
  <si>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</si>
  <si>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PHILLIPS &amp; ASSOCIATES CPAS PC</t>
  </si>
  <si>
    <t>RICHARD W PHILLIPS</t>
  </si>
  <si>
    <t>1600 HUNT DR, STE B</t>
  </si>
  <si>
    <t>NORMAL</t>
  </si>
  <si>
    <t>IL</t>
  </si>
  <si>
    <t>RWP6505@AOL.COM</t>
  </si>
  <si>
    <t>066-004933</t>
  </si>
  <si>
    <t>PHILLIPS &amp; ASSOCIATES, CPAS PC</t>
  </si>
  <si>
    <t>x</t>
  </si>
  <si>
    <t>17-053-0900-17</t>
  </si>
  <si>
    <t>Livingston</t>
  </si>
  <si>
    <t>Pontiac Township High School District #90</t>
  </si>
  <si>
    <t>110 Indiana Avenue</t>
  </si>
  <si>
    <t>Pontiac, IL</t>
  </si>
  <si>
    <t>jkilgore@pontiac90.org</t>
  </si>
  <si>
    <t>Jon Kilgore</t>
  </si>
  <si>
    <t>815-844-6113</t>
  </si>
  <si>
    <t>General Obligation Debt Certificate</t>
  </si>
  <si>
    <t>Pontiac Grade School District 429</t>
  </si>
  <si>
    <t>Livingston Area Career Center</t>
  </si>
  <si>
    <t>Regional Office of Education 17</t>
  </si>
  <si>
    <t>Livingston County Special Services Unit (LCSSS)</t>
  </si>
  <si>
    <t xml:space="preserve">Regional Office of Education 17-Paper </t>
  </si>
  <si>
    <t>Livingston Area Career Center, Livingston Area Education for Employment</t>
  </si>
  <si>
    <t>NO CONTRACTS</t>
  </si>
  <si>
    <t>Illinois Series 2020  Debt Certificate</t>
  </si>
  <si>
    <t>Debt Certificates for  Capital Projects</t>
  </si>
  <si>
    <t>Certificates for Refunding/Capital Project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</si>
  <si>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</si>
  <si>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</si>
  <si>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</si>
  <si>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</si>
  <si>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</si>
  <si>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</si>
  <si>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</si>
  <si>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</si>
  <si>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</si>
  <si>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</si>
  <si>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</si>
  <si>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</si>
  <si>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indexed="8"/>
        <rFont val="Calibri"/>
        <family val="2"/>
      </rPr>
      <t xml:space="preserve">(LAC) </t>
    </r>
    <r>
      <rPr>
        <sz val="10"/>
        <rFont val="Calibri"/>
        <family val="2"/>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</si>
  <si>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</si>
  <si>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</si>
  <si>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</si>
  <si>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</si>
  <si>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</si>
  <si>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</si>
  <si>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</si>
  <si>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</si>
  <si>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</si>
  <si>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</si>
  <si>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</si>
  <si>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</si>
  <si>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</si>
  <si>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</si>
  <si>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</si>
  <si>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</si>
  <si>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</si>
  <si>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</si>
  <si>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</si>
  <si>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</si>
  <si>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</si>
  <si>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</si>
  <si>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</si>
  <si>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</si>
  <si>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AssetsLiab 5-6; Acct 190 - Due from Joint Agreements</t>
  </si>
  <si>
    <t>Revenue 10-1999 COBRA receipts and other</t>
  </si>
  <si>
    <t>Revenue 10.3999 State Library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</si>
</sst>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64" x14ac:knownFonts="1">
    <font>
      <sz val="10"/>
      <name val="Arial"/>
    </font>
    <font>
      <sz val="11"/>
      <color indexed="8"/>
      <name val="Calibri"/>
      <family val="2"/>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sz val="10"/>
      <color indexed="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9"/>
      <color indexed="12"/>
      <name val="Calibri"/>
      <family val="2"/>
    </font>
    <font>
      <i/>
      <sz val="10"/>
      <color indexed="8"/>
      <name val="Calibri"/>
      <family val="2"/>
    </font>
    <font>
      <sz val="10"/>
      <color indexed="8"/>
      <name val="Calibri"/>
      <family val="2"/>
    </font>
    <font>
      <b/>
      <i/>
      <u/>
      <sz val="11"/>
      <color indexed="8"/>
      <name val="Calibri"/>
      <family val="2"/>
    </font>
    <font>
      <b/>
      <sz val="12"/>
      <name val="Arial"/>
      <family val="2"/>
    </font>
    <font>
      <b/>
      <u/>
      <sz val="12"/>
      <name val="Arial"/>
      <family val="2"/>
    </font>
    <font>
      <b/>
      <i/>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sz val="8"/>
      <color theme="1"/>
      <name val="Calibri"/>
      <family val="2"/>
      <scheme val="minor"/>
    </font>
    <font>
      <b/>
      <sz val="14"/>
      <color theme="1"/>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sz val="10"/>
      <color rgb="FFFF000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1.5"/>
      <color theme="1"/>
      <name val="Calibri"/>
      <family val="2"/>
      <scheme val="minor"/>
    </font>
    <font>
      <b/>
      <u/>
      <sz val="10"/>
      <color theme="1"/>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sz val="8.5"/>
      <color theme="1"/>
      <name val="Calibri"/>
      <family val="2"/>
      <scheme val="minor"/>
    </font>
    <font>
      <b/>
      <sz val="20"/>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1"/>
        <bgColor indexed="64"/>
      </patternFill>
    </fill>
    <fill>
      <patternFill patternType="solid">
        <fgColor theme="4"/>
        <bgColor indexed="64"/>
      </patternFill>
    </fill>
    <fill>
      <patternFill patternType="solid">
        <fgColor theme="4" tint="0.79998168889431442"/>
        <bgColor indexed="64"/>
      </patternFill>
    </fill>
    <fill>
      <patternFill patternType="solid">
        <fgColor rgb="FFC0C0C0"/>
        <bgColor indexed="64"/>
      </patternFill>
    </fill>
    <fill>
      <patternFill patternType="solid">
        <fgColor theme="0" tint="-0.249977111117893"/>
        <bgColor indexed="64"/>
      </patternFill>
    </fill>
  </fills>
  <borders count="18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top/>
      <bottom style="thin">
        <color indexed="22"/>
      </bottom>
      <diagonal/>
    </border>
    <border>
      <left style="thin">
        <color indexed="22"/>
      </left>
      <right/>
      <top/>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style="thin">
        <color indexed="22"/>
      </left>
      <right style="thin">
        <color indexed="22"/>
      </right>
      <top style="double">
        <color indexed="22"/>
      </top>
      <bottom style="double">
        <color indexed="22"/>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thin">
        <color indexed="22"/>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style="thin">
        <color indexed="55"/>
      </left>
      <right style="thin">
        <color indexed="55"/>
      </right>
      <top style="double">
        <color indexed="55"/>
      </top>
      <bottom style="thin">
        <color indexed="55"/>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style="thin">
        <color indexed="22"/>
      </left>
      <right/>
      <top/>
      <bottom style="double">
        <color indexed="22"/>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22"/>
      </left>
      <right/>
      <top style="thin">
        <color indexed="22"/>
      </top>
      <bottom style="double">
        <color indexed="22"/>
      </bottom>
      <diagonal/>
    </border>
    <border>
      <left/>
      <right/>
      <top style="double">
        <color indexed="22"/>
      </top>
      <bottom style="thin">
        <color indexed="22"/>
      </bottom>
      <diagonal/>
    </border>
    <border>
      <left style="thin">
        <color indexed="22"/>
      </left>
      <right/>
      <top style="double">
        <color indexed="22"/>
      </top>
      <bottom style="double">
        <color indexed="22"/>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top style="thin">
        <color indexed="55"/>
      </top>
      <bottom style="double">
        <color indexed="55"/>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22"/>
      </left>
      <right/>
      <top style="double">
        <color indexed="22"/>
      </top>
      <bottom/>
      <diagonal/>
    </border>
    <border>
      <left/>
      <right/>
      <top style="double">
        <color indexed="22"/>
      </top>
      <bottom/>
      <diagonal/>
    </border>
    <border>
      <left/>
      <right style="double">
        <color indexed="22"/>
      </right>
      <top style="double">
        <color indexed="22"/>
      </top>
      <bottom/>
      <diagonal/>
    </border>
    <border>
      <left style="thin">
        <color indexed="22"/>
      </left>
      <right style="thin">
        <color indexed="22"/>
      </right>
      <top style="double">
        <color indexed="22"/>
      </top>
      <bottom/>
      <diagonal/>
    </border>
    <border>
      <left/>
      <right style="thin">
        <color indexed="22"/>
      </right>
      <top style="double">
        <color indexed="22"/>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22"/>
      </top>
      <bottom style="thin">
        <color indexed="22"/>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tint="-0.14999847407452621"/>
      </left>
      <right/>
      <top/>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theme="0" tint="-0.24994659260841701"/>
      </left>
      <right/>
      <top/>
      <bottom style="thin">
        <color indexed="22"/>
      </bottom>
      <diagonal/>
    </border>
    <border>
      <left/>
      <right/>
      <top/>
      <bottom style="thin">
        <color theme="0" tint="-0.34998626667073579"/>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medium">
        <color indexed="64"/>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medium">
        <color indexed="64"/>
      </left>
      <right style="thin">
        <color rgb="FFC0C0C0"/>
      </right>
      <top style="thin">
        <color indexed="64"/>
      </top>
      <bottom style="thin">
        <color rgb="FFC0C0C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21">
    <xf numFmtId="0" fontId="0" fillId="0" borderId="0"/>
    <xf numFmtId="43" fontId="2" fillId="0" borderId="0" applyFont="0" applyFill="0" applyBorder="0" applyAlignment="0" applyProtection="0"/>
    <xf numFmtId="0" fontId="25" fillId="0" borderId="0" applyNumberFormat="0" applyFill="0" applyBorder="0" applyAlignment="0" applyProtection="0">
      <alignment vertical="top"/>
      <protection locked="0"/>
    </xf>
    <xf numFmtId="0" fontId="86" fillId="0" borderId="0" applyNumberFormat="0" applyFill="0" applyBorder="0" applyAlignment="0" applyProtection="0"/>
    <xf numFmtId="0" fontId="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cellStyleXfs>
  <cellXfs count="2621">
    <xf numFmtId="0" fontId="0" fillId="0" borderId="0" xfId="0"/>
    <xf numFmtId="0" fontId="2" fillId="0" borderId="0" xfId="0" applyFont="1"/>
    <xf numFmtId="0" fontId="7" fillId="0" borderId="0" xfId="0" applyFont="1"/>
    <xf numFmtId="0" fontId="0" fillId="0" borderId="0" xfId="0" applyAlignment="1">
      <alignment horizontal="left" vertical="center"/>
    </xf>
    <xf numFmtId="0" fontId="3" fillId="0" borderId="0" xfId="0" applyFont="1"/>
    <xf numFmtId="0" fontId="0" fillId="0" borderId="0" xfId="0" applyProtection="1"/>
    <xf numFmtId="0" fontId="0" fillId="0" borderId="0" xfId="0" applyBorder="1" applyProtection="1"/>
    <xf numFmtId="0" fontId="7" fillId="0" borderId="0" xfId="0" applyFont="1" applyAlignment="1"/>
    <xf numFmtId="0" fontId="0" fillId="0" borderId="0" xfId="0" applyFill="1"/>
    <xf numFmtId="0" fontId="7" fillId="0" borderId="0" xfId="0" applyFont="1" applyFill="1"/>
    <xf numFmtId="0" fontId="16" fillId="0" borderId="0" xfId="0" applyFont="1" applyProtection="1"/>
    <xf numFmtId="0" fontId="16" fillId="0" borderId="0" xfId="0" applyFont="1" applyProtection="1">
      <protection locked="0"/>
    </xf>
    <xf numFmtId="0" fontId="2" fillId="0" borderId="0" xfId="0" applyFont="1" applyProtection="1"/>
    <xf numFmtId="0" fontId="0" fillId="0" borderId="0" xfId="0" applyFill="1" applyProtection="1"/>
    <xf numFmtId="0" fontId="18" fillId="0" borderId="0" xfId="0" applyFont="1" applyAlignment="1" applyProtection="1">
      <alignment horizontal="right" vertical="top"/>
    </xf>
    <xf numFmtId="164" fontId="7" fillId="0" borderId="0" xfId="0" applyNumberFormat="1" applyFont="1" applyAlignment="1" applyProtection="1">
      <alignment horizontal="left" wrapText="1"/>
    </xf>
    <xf numFmtId="0" fontId="7"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7"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6" fillId="0" borderId="0" xfId="19" applyFont="1" applyBorder="1" applyAlignment="1" applyProtection="1">
      <alignment vertical="center"/>
    </xf>
    <xf numFmtId="0" fontId="8" fillId="0" borderId="0" xfId="19" applyNumberFormat="1" applyFont="1" applyBorder="1" applyAlignment="1" applyProtection="1">
      <alignment horizontal="left" vertical="center"/>
    </xf>
    <xf numFmtId="0" fontId="8" fillId="0" borderId="0" xfId="19" applyNumberFormat="1" applyFont="1" applyBorder="1" applyAlignment="1" applyProtection="1">
      <alignment vertical="center"/>
    </xf>
    <xf numFmtId="0" fontId="3" fillId="0" borderId="0" xfId="19" applyNumberFormat="1" applyFont="1" applyBorder="1" applyAlignment="1" applyProtection="1">
      <alignment vertical="center"/>
    </xf>
    <xf numFmtId="0" fontId="6" fillId="0" borderId="0" xfId="19" applyNumberFormat="1" applyFont="1" applyBorder="1" applyAlignment="1" applyProtection="1">
      <alignment vertical="center"/>
    </xf>
    <xf numFmtId="0" fontId="6" fillId="0" borderId="0" xfId="19" applyNumberFormat="1" applyFont="1" applyBorder="1" applyAlignment="1" applyProtection="1">
      <alignment horizontal="left" vertical="center"/>
    </xf>
    <xf numFmtId="0" fontId="3" fillId="0" borderId="0" xfId="19" applyNumberFormat="1" applyFont="1" applyBorder="1" applyAlignment="1" applyProtection="1">
      <alignment horizontal="left" vertical="center"/>
    </xf>
    <xf numFmtId="0" fontId="6" fillId="0" borderId="0" xfId="0" applyNumberFormat="1" applyFont="1" applyBorder="1" applyAlignment="1" applyProtection="1">
      <alignment vertical="center"/>
    </xf>
    <xf numFmtId="0" fontId="6" fillId="0" borderId="0" xfId="19" applyNumberFormat="1" applyFont="1" applyBorder="1" applyAlignment="1" applyProtection="1">
      <alignment horizontal="centerContinuous" vertical="center"/>
    </xf>
    <xf numFmtId="0" fontId="16" fillId="0" borderId="0" xfId="0" applyFont="1" applyFill="1" applyProtection="1"/>
    <xf numFmtId="0" fontId="6" fillId="0" borderId="0" xfId="19" applyFont="1" applyBorder="1" applyAlignment="1" applyProtection="1">
      <alignment horizontal="left" vertical="center"/>
    </xf>
    <xf numFmtId="0" fontId="24" fillId="0" borderId="0" xfId="19" applyFont="1" applyBorder="1" applyAlignment="1" applyProtection="1">
      <alignment vertical="center"/>
    </xf>
    <xf numFmtId="0" fontId="5" fillId="0" borderId="0" xfId="19" applyFont="1" applyBorder="1" applyAlignment="1" applyProtection="1">
      <alignment horizontal="center" vertical="center"/>
    </xf>
    <xf numFmtId="0" fontId="5" fillId="0" borderId="0" xfId="19" applyFont="1" applyBorder="1" applyAlignment="1" applyProtection="1">
      <alignment horizontal="left" vertical="center"/>
    </xf>
    <xf numFmtId="0" fontId="8" fillId="0" borderId="0" xfId="19" applyNumberFormat="1" applyFont="1" applyBorder="1" applyAlignment="1" applyProtection="1">
      <alignment horizontal="center" vertical="center"/>
    </xf>
    <xf numFmtId="0" fontId="3" fillId="0" borderId="0" xfId="19" applyFont="1" applyBorder="1" applyAlignment="1" applyProtection="1">
      <alignment vertical="center"/>
    </xf>
    <xf numFmtId="0" fontId="6" fillId="0" borderId="0" xfId="19" quotePrefix="1" applyNumberFormat="1" applyFont="1" applyBorder="1" applyAlignment="1" applyProtection="1">
      <alignment horizontal="left" vertical="center"/>
    </xf>
    <xf numFmtId="0" fontId="6" fillId="0" borderId="3" xfId="19" applyFont="1" applyBorder="1" applyAlignment="1" applyProtection="1">
      <alignment vertical="center"/>
    </xf>
    <xf numFmtId="0" fontId="6" fillId="0" borderId="4" xfId="19" applyFont="1" applyBorder="1" applyAlignment="1" applyProtection="1">
      <alignment vertical="center"/>
    </xf>
    <xf numFmtId="0" fontId="6" fillId="0" borderId="5" xfId="19" applyFont="1" applyBorder="1" applyAlignment="1" applyProtection="1">
      <alignment vertical="center"/>
    </xf>
    <xf numFmtId="0" fontId="8" fillId="0" borderId="0" xfId="0" applyNumberFormat="1" applyFont="1" applyFill="1" applyBorder="1" applyAlignment="1" applyProtection="1">
      <alignment vertical="center"/>
    </xf>
    <xf numFmtId="0" fontId="3" fillId="0" borderId="3" xfId="19" applyNumberFormat="1" applyFont="1" applyBorder="1" applyAlignment="1" applyProtection="1">
      <alignment vertical="center"/>
    </xf>
    <xf numFmtId="0" fontId="6" fillId="0" borderId="3" xfId="19" applyNumberFormat="1" applyFont="1" applyBorder="1" applyAlignment="1" applyProtection="1">
      <alignment vertical="center"/>
    </xf>
    <xf numFmtId="0" fontId="6" fillId="0" borderId="6" xfId="19" applyNumberFormat="1" applyFont="1" applyBorder="1" applyAlignment="1" applyProtection="1">
      <alignment vertical="center"/>
    </xf>
    <xf numFmtId="0" fontId="6" fillId="0" borderId="4" xfId="19" applyNumberFormat="1" applyFont="1" applyBorder="1" applyAlignment="1" applyProtection="1">
      <alignment horizontal="left" vertical="center"/>
    </xf>
    <xf numFmtId="0" fontId="6" fillId="0" borderId="7" xfId="19" applyNumberFormat="1" applyFont="1" applyBorder="1" applyAlignment="1" applyProtection="1">
      <alignment vertical="center"/>
    </xf>
    <xf numFmtId="0" fontId="6" fillId="0" borderId="5" xfId="19" applyNumberFormat="1" applyFont="1" applyBorder="1" applyAlignment="1" applyProtection="1">
      <alignment vertical="center"/>
    </xf>
    <xf numFmtId="0" fontId="3" fillId="0" borderId="4" xfId="19" applyNumberFormat="1" applyFont="1" applyBorder="1" applyAlignment="1" applyProtection="1">
      <alignment horizontal="left" vertical="center"/>
    </xf>
    <xf numFmtId="0" fontId="6" fillId="0" borderId="4" xfId="19" applyNumberFormat="1" applyFont="1" applyBorder="1" applyAlignment="1" applyProtection="1">
      <alignment vertical="center"/>
    </xf>
    <xf numFmtId="0" fontId="6" fillId="0" borderId="3" xfId="19" applyNumberFormat="1" applyFont="1" applyFill="1" applyBorder="1" applyAlignment="1" applyProtection="1">
      <alignment vertical="center"/>
    </xf>
    <xf numFmtId="0" fontId="8" fillId="0" borderId="3" xfId="0"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0" fontId="3" fillId="0" borderId="4" xfId="19" applyNumberFormat="1" applyFont="1" applyFill="1" applyBorder="1" applyAlignment="1" applyProtection="1">
      <alignment vertical="center"/>
    </xf>
    <xf numFmtId="0" fontId="3" fillId="0" borderId="8" xfId="19" quotePrefix="1" applyNumberFormat="1" applyFont="1" applyBorder="1" applyAlignment="1" applyProtection="1">
      <alignment horizontal="left" vertical="center"/>
    </xf>
    <xf numFmtId="0" fontId="6" fillId="0" borderId="7" xfId="19" applyNumberFormat="1" applyFont="1" applyBorder="1" applyAlignment="1" applyProtection="1">
      <alignment horizontal="right" vertical="center"/>
    </xf>
    <xf numFmtId="0" fontId="3" fillId="0" borderId="0" xfId="0" applyFont="1" applyAlignment="1">
      <alignment horizontal="left" vertical="center"/>
    </xf>
    <xf numFmtId="0" fontId="3" fillId="0" borderId="0" xfId="0" applyFont="1" applyAlignment="1"/>
    <xf numFmtId="0" fontId="0" fillId="0" borderId="3" xfId="0" applyNumberFormat="1" applyBorder="1" applyAlignment="1">
      <alignment horizontal="left" vertical="center"/>
    </xf>
    <xf numFmtId="0" fontId="6" fillId="0" borderId="8" xfId="19" applyFont="1" applyBorder="1" applyAlignment="1" applyProtection="1">
      <alignment vertical="center"/>
    </xf>
    <xf numFmtId="0" fontId="3" fillId="0" borderId="3" xfId="0" applyNumberFormat="1" applyFont="1" applyBorder="1" applyAlignment="1">
      <alignment horizontal="left" vertical="center"/>
    </xf>
    <xf numFmtId="0" fontId="3" fillId="0" borderId="5" xfId="19" applyNumberFormat="1" applyFont="1" applyBorder="1" applyAlignment="1" applyProtection="1">
      <alignment vertical="center"/>
    </xf>
    <xf numFmtId="0" fontId="3" fillId="0" borderId="4" xfId="19" applyNumberFormat="1" applyFont="1" applyBorder="1" applyAlignment="1" applyProtection="1">
      <alignment vertical="center"/>
    </xf>
    <xf numFmtId="0" fontId="3" fillId="0" borderId="3" xfId="19" applyNumberFormat="1" applyFont="1" applyBorder="1" applyAlignment="1" applyProtection="1">
      <alignment horizontal="left" vertical="center"/>
    </xf>
    <xf numFmtId="0" fontId="3" fillId="0" borderId="3" xfId="19" applyFont="1" applyBorder="1" applyAlignment="1" applyProtection="1">
      <alignment vertical="center"/>
    </xf>
    <xf numFmtId="0" fontId="6" fillId="0" borderId="0" xfId="19" applyNumberFormat="1" applyFont="1" applyBorder="1" applyAlignment="1" applyProtection="1">
      <alignment horizontal="center" vertical="center"/>
    </xf>
    <xf numFmtId="0" fontId="7" fillId="0" borderId="3" xfId="0" applyNumberFormat="1" applyFont="1" applyBorder="1" applyAlignment="1">
      <alignment horizontal="left" vertical="center"/>
    </xf>
    <xf numFmtId="0" fontId="6" fillId="0" borderId="3" xfId="19" applyNumberFormat="1" applyFont="1" applyBorder="1" applyAlignment="1" applyProtection="1">
      <alignment horizontal="left" vertical="center"/>
    </xf>
    <xf numFmtId="0" fontId="4" fillId="0" borderId="3" xfId="19" applyFont="1" applyBorder="1" applyAlignment="1" applyProtection="1">
      <alignment vertical="center"/>
    </xf>
    <xf numFmtId="0" fontId="4" fillId="0" borderId="3" xfId="19" applyNumberFormat="1" applyFont="1" applyBorder="1" applyAlignment="1" applyProtection="1">
      <alignment horizontal="left" vertical="center"/>
    </xf>
    <xf numFmtId="0" fontId="4" fillId="0" borderId="3" xfId="0" applyNumberFormat="1" applyFont="1" applyBorder="1" applyAlignment="1">
      <alignment horizontal="left" vertical="center"/>
    </xf>
    <xf numFmtId="0" fontId="6" fillId="0" borderId="3" xfId="19" applyFont="1" applyBorder="1" applyAlignment="1" applyProtection="1">
      <alignment horizontal="left" vertical="center"/>
    </xf>
    <xf numFmtId="0" fontId="3" fillId="0" borderId="3" xfId="19" applyFont="1" applyBorder="1" applyAlignment="1" applyProtection="1">
      <alignment horizontal="left" vertical="center"/>
    </xf>
    <xf numFmtId="0" fontId="6" fillId="0" borderId="4" xfId="19" applyFont="1" applyBorder="1" applyAlignment="1" applyProtection="1">
      <alignment horizontal="left" vertical="center"/>
    </xf>
    <xf numFmtId="0" fontId="5" fillId="0" borderId="0" xfId="19" applyNumberFormat="1" applyFont="1" applyBorder="1" applyAlignment="1" applyProtection="1">
      <alignment horizontal="center" vertical="center"/>
    </xf>
    <xf numFmtId="0" fontId="5" fillId="0" borderId="0" xfId="19" applyFont="1" applyBorder="1" applyAlignment="1" applyProtection="1">
      <alignment vertical="center"/>
    </xf>
    <xf numFmtId="0" fontId="3" fillId="0" borderId="8" xfId="19" applyNumberFormat="1" applyFont="1" applyBorder="1" applyAlignment="1" applyProtection="1">
      <alignment horizontal="left" vertical="center"/>
    </xf>
    <xf numFmtId="0" fontId="3" fillId="0" borderId="8" xfId="19" applyNumberFormat="1" applyFont="1" applyFill="1" applyBorder="1" applyAlignment="1" applyProtection="1">
      <alignment vertical="center"/>
    </xf>
    <xf numFmtId="0" fontId="3" fillId="0" borderId="8" xfId="0" applyNumberFormat="1" applyFont="1" applyFill="1" applyBorder="1" applyAlignment="1" applyProtection="1">
      <alignment vertical="center"/>
    </xf>
    <xf numFmtId="0" fontId="3" fillId="0" borderId="7" xfId="0" applyNumberFormat="1" applyFont="1" applyFill="1" applyBorder="1" applyAlignment="1" applyProtection="1">
      <alignment vertical="center"/>
    </xf>
    <xf numFmtId="0" fontId="3" fillId="0" borderId="8" xfId="19" applyNumberFormat="1" applyFont="1" applyBorder="1" applyAlignment="1" applyProtection="1">
      <alignment vertical="center"/>
    </xf>
    <xf numFmtId="0" fontId="3" fillId="0" borderId="7" xfId="19" applyNumberFormat="1" applyFont="1" applyBorder="1" applyAlignment="1" applyProtection="1">
      <alignment horizontal="left" vertical="center"/>
    </xf>
    <xf numFmtId="0" fontId="3" fillId="0" borderId="3" xfId="19" quotePrefix="1" applyNumberFormat="1" applyFont="1" applyBorder="1" applyAlignment="1" applyProtection="1">
      <alignment horizontal="left" vertical="center"/>
    </xf>
    <xf numFmtId="0" fontId="6" fillId="0" borderId="3" xfId="0" applyNumberFormat="1" applyFont="1" applyBorder="1" applyAlignment="1">
      <alignment vertical="center"/>
    </xf>
    <xf numFmtId="0" fontId="3" fillId="0" borderId="0" xfId="19" applyNumberFormat="1" applyFont="1" applyBorder="1" applyAlignment="1" applyProtection="1">
      <alignment horizontal="left" vertical="center" indent="1"/>
    </xf>
    <xf numFmtId="0" fontId="6" fillId="0" borderId="9" xfId="19" applyNumberFormat="1" applyFont="1" applyBorder="1" applyAlignment="1" applyProtection="1">
      <alignment vertical="center"/>
    </xf>
    <xf numFmtId="0" fontId="3" fillId="0" borderId="6" xfId="19" applyNumberFormat="1" applyFont="1" applyBorder="1" applyAlignment="1" applyProtection="1">
      <alignment vertical="top"/>
    </xf>
    <xf numFmtId="0" fontId="3" fillId="0" borderId="6" xfId="19" quotePrefix="1" applyNumberFormat="1" applyFont="1" applyBorder="1" applyAlignment="1" applyProtection="1">
      <alignment horizontal="left" vertical="center"/>
    </xf>
    <xf numFmtId="0" fontId="6" fillId="0" borderId="10" xfId="19" applyNumberFormat="1" applyFont="1" applyBorder="1" applyAlignment="1" applyProtection="1">
      <alignment vertical="center"/>
    </xf>
    <xf numFmtId="0" fontId="28" fillId="0" borderId="5" xfId="0" applyFont="1" applyBorder="1" applyAlignment="1">
      <alignment horizontal="left" vertical="center" indent="1"/>
    </xf>
    <xf numFmtId="0" fontId="13" fillId="0" borderId="0" xfId="19" applyNumberFormat="1" applyFont="1" applyBorder="1" applyAlignment="1" applyProtection="1">
      <alignment horizontal="center" vertical="center"/>
    </xf>
    <xf numFmtId="0" fontId="8" fillId="0" borderId="0" xfId="19" applyNumberFormat="1" applyFont="1" applyBorder="1" applyAlignment="1" applyProtection="1">
      <alignment horizontal="left" vertical="center" indent="2"/>
    </xf>
    <xf numFmtId="0" fontId="13" fillId="0" borderId="2" xfId="19" applyFont="1" applyBorder="1" applyAlignment="1" applyProtection="1">
      <alignment horizontal="center" vertical="center"/>
      <protection locked="0"/>
    </xf>
    <xf numFmtId="0" fontId="13" fillId="0" borderId="2" xfId="19" applyNumberFormat="1" applyFont="1" applyBorder="1" applyAlignment="1" applyProtection="1">
      <alignment horizontal="center" vertical="center"/>
      <protection locked="0"/>
    </xf>
    <xf numFmtId="0" fontId="23" fillId="0" borderId="0" xfId="19" applyFont="1" applyBorder="1" applyAlignment="1" applyProtection="1">
      <alignment horizontal="left" vertical="center"/>
    </xf>
    <xf numFmtId="0" fontId="5" fillId="0" borderId="2" xfId="19" applyFont="1" applyBorder="1" applyAlignment="1" applyProtection="1">
      <alignment horizontal="center" vertical="center"/>
      <protection locked="0"/>
    </xf>
    <xf numFmtId="0" fontId="3" fillId="0" borderId="8" xfId="0" applyNumberFormat="1" applyFont="1" applyBorder="1" applyAlignment="1" applyProtection="1">
      <alignment horizontal="left" vertical="center"/>
    </xf>
    <xf numFmtId="0" fontId="5" fillId="0" borderId="3" xfId="0" applyFont="1" applyBorder="1" applyAlignment="1" applyProtection="1">
      <alignment horizontal="left" vertical="center"/>
    </xf>
    <xf numFmtId="49" fontId="5" fillId="0" borderId="3" xfId="0" applyNumberFormat="1" applyFont="1" applyBorder="1" applyAlignment="1" applyProtection="1">
      <alignment horizontal="left" vertical="center" wrapText="1"/>
    </xf>
    <xf numFmtId="49" fontId="5" fillId="0" borderId="4" xfId="0" applyNumberFormat="1" applyFont="1" applyBorder="1" applyAlignment="1" applyProtection="1">
      <alignment horizontal="left" vertical="center" wrapText="1"/>
    </xf>
    <xf numFmtId="0" fontId="5" fillId="0" borderId="8" xfId="19" applyNumberFormat="1" applyFont="1" applyFill="1" applyBorder="1" applyAlignment="1" applyProtection="1">
      <alignment horizontal="left" vertical="center" indent="1"/>
    </xf>
    <xf numFmtId="0" fontId="5" fillId="0" borderId="3" xfId="0" applyFont="1" applyBorder="1" applyAlignment="1" applyProtection="1">
      <alignment horizontal="left" vertical="center" indent="1"/>
    </xf>
    <xf numFmtId="0" fontId="6" fillId="0" borderId="0" xfId="19" applyFont="1" applyBorder="1" applyAlignment="1" applyProtection="1">
      <alignment horizontal="left" vertical="center" indent="1"/>
    </xf>
    <xf numFmtId="0" fontId="15" fillId="0" borderId="0" xfId="19" applyNumberFormat="1" applyFont="1" applyBorder="1" applyAlignment="1" applyProtection="1">
      <alignment horizontal="left" vertical="center" indent="1"/>
    </xf>
    <xf numFmtId="0" fontId="6" fillId="0" borderId="9" xfId="19" applyFont="1" applyBorder="1" applyAlignment="1" applyProtection="1">
      <alignment vertical="center"/>
    </xf>
    <xf numFmtId="0" fontId="5" fillId="0" borderId="0" xfId="0" applyFont="1" applyBorder="1" applyAlignment="1" applyProtection="1">
      <alignment horizontal="left" vertical="center" indent="1"/>
    </xf>
    <xf numFmtId="0" fontId="6" fillId="0" borderId="0" xfId="19" applyFont="1" applyFill="1" applyBorder="1" applyAlignment="1" applyProtection="1">
      <alignment vertical="center"/>
    </xf>
    <xf numFmtId="0" fontId="6" fillId="0" borderId="7" xfId="19" applyFont="1" applyBorder="1" applyAlignment="1" applyProtection="1">
      <alignment vertical="center"/>
    </xf>
    <xf numFmtId="0" fontId="8" fillId="0" borderId="6" xfId="19" applyNumberFormat="1" applyFont="1" applyBorder="1" applyAlignment="1" applyProtection="1">
      <alignment vertical="center"/>
    </xf>
    <xf numFmtId="0" fontId="3" fillId="0" borderId="0" xfId="19" applyNumberFormat="1" applyFont="1" applyBorder="1" applyAlignment="1" applyProtection="1">
      <alignment horizontal="center" vertical="center"/>
    </xf>
    <xf numFmtId="0" fontId="26" fillId="0" borderId="0" xfId="0" applyFont="1" applyBorder="1" applyAlignment="1" applyProtection="1">
      <alignment horizontal="left" vertical="center" indent="1"/>
    </xf>
    <xf numFmtId="0" fontId="6" fillId="0" borderId="8" xfId="19" applyFont="1" applyFill="1" applyBorder="1" applyAlignment="1" applyProtection="1">
      <alignment vertical="center"/>
    </xf>
    <xf numFmtId="0" fontId="6" fillId="0" borderId="3" xfId="19" applyFont="1" applyFill="1" applyBorder="1" applyAlignment="1" applyProtection="1">
      <alignment vertical="center"/>
    </xf>
    <xf numFmtId="0" fontId="6" fillId="0" borderId="4" xfId="19" applyFont="1" applyFill="1" applyBorder="1" applyAlignment="1" applyProtection="1">
      <alignment vertical="center"/>
    </xf>
    <xf numFmtId="0" fontId="6" fillId="0" borderId="5" xfId="0" applyNumberFormat="1" applyFont="1" applyBorder="1" applyAlignment="1" applyProtection="1">
      <alignment horizontal="left" vertical="center"/>
    </xf>
    <xf numFmtId="0" fontId="0" fillId="0" borderId="0" xfId="0" applyBorder="1" applyAlignment="1">
      <alignment horizontal="left" indent="2"/>
    </xf>
    <xf numFmtId="164" fontId="26" fillId="0" borderId="0" xfId="0" applyNumberFormat="1" applyFont="1" applyBorder="1" applyAlignment="1" applyProtection="1">
      <alignment horizontal="center" vertical="center"/>
    </xf>
    <xf numFmtId="0" fontId="6" fillId="0" borderId="3" xfId="0" applyNumberFormat="1" applyFont="1" applyBorder="1" applyAlignment="1">
      <alignment horizontal="left" vertical="center"/>
    </xf>
    <xf numFmtId="0" fontId="16" fillId="0" borderId="0" xfId="0" applyFont="1" applyFill="1"/>
    <xf numFmtId="168" fontId="7" fillId="0" borderId="0" xfId="0" applyNumberFormat="1" applyFont="1"/>
    <xf numFmtId="0" fontId="16" fillId="0" borderId="0" xfId="0" applyFont="1"/>
    <xf numFmtId="0" fontId="27" fillId="0" borderId="0" xfId="2" applyFont="1" applyBorder="1" applyAlignment="1" applyProtection="1"/>
    <xf numFmtId="0" fontId="11" fillId="0" borderId="0" xfId="0" applyFont="1" applyBorder="1" applyProtection="1"/>
    <xf numFmtId="0" fontId="11" fillId="0" borderId="5" xfId="0" applyFont="1" applyBorder="1" applyProtection="1"/>
    <xf numFmtId="0" fontId="33" fillId="0" borderId="0" xfId="0" applyFont="1" applyBorder="1" applyProtection="1"/>
    <xf numFmtId="0" fontId="0" fillId="0" borderId="9" xfId="0" applyBorder="1" applyProtection="1"/>
    <xf numFmtId="0" fontId="0" fillId="0" borderId="6" xfId="0" applyBorder="1" applyProtection="1"/>
    <xf numFmtId="0" fontId="5" fillId="0" borderId="11" xfId="0" applyFont="1" applyBorder="1" applyAlignment="1" applyProtection="1">
      <alignment horizontal="center"/>
      <protection locked="0"/>
    </xf>
    <xf numFmtId="0" fontId="9" fillId="0" borderId="0" xfId="19" applyFont="1" applyBorder="1" applyAlignment="1" applyProtection="1">
      <alignment horizontal="left" vertical="center" indent="1"/>
    </xf>
    <xf numFmtId="1" fontId="2" fillId="0" borderId="0" xfId="0" applyNumberFormat="1" applyFont="1" applyAlignment="1">
      <alignment horizontal="right"/>
    </xf>
    <xf numFmtId="0" fontId="6" fillId="0" borderId="0"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3"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3" fillId="0" borderId="0" xfId="0" applyNumberFormat="1" applyFont="1" applyAlignment="1">
      <alignment horizontal="left" wrapText="1"/>
    </xf>
    <xf numFmtId="49" fontId="19" fillId="0" borderId="0" xfId="0" applyNumberFormat="1" applyFont="1" applyAlignment="1">
      <alignment horizontal="right" vertical="center"/>
    </xf>
    <xf numFmtId="0" fontId="88" fillId="0" borderId="0" xfId="0" applyFont="1" applyAlignment="1">
      <alignment horizontal="left" wrapText="1" indent="4"/>
    </xf>
    <xf numFmtId="0" fontId="12" fillId="0" borderId="2" xfId="19" applyNumberFormat="1" applyFont="1" applyBorder="1" applyAlignment="1" applyProtection="1">
      <alignment horizontal="center" vertical="center"/>
      <protection locked="0"/>
    </xf>
    <xf numFmtId="0" fontId="12" fillId="0" borderId="2" xfId="19" applyFont="1" applyBorder="1" applyAlignment="1" applyProtection="1">
      <alignment horizontal="center" vertical="center"/>
      <protection locked="0"/>
    </xf>
    <xf numFmtId="14" fontId="2" fillId="0" borderId="0" xfId="0" applyNumberFormat="1" applyFont="1" applyAlignment="1">
      <alignment horizontal="right"/>
    </xf>
    <xf numFmtId="0" fontId="26" fillId="0" borderId="7" xfId="19" applyNumberFormat="1" applyFont="1" applyFill="1" applyBorder="1" applyAlignment="1" applyProtection="1">
      <alignment horizontal="left" vertical="center" indent="1"/>
    </xf>
    <xf numFmtId="0" fontId="5" fillId="0" borderId="7" xfId="19" applyNumberFormat="1" applyFont="1" applyFill="1" applyBorder="1" applyAlignment="1" applyProtection="1">
      <alignment horizontal="left" vertical="center" indent="1"/>
    </xf>
    <xf numFmtId="0" fontId="8" fillId="0" borderId="7" xfId="19" applyNumberFormat="1" applyFont="1" applyBorder="1" applyAlignment="1" applyProtection="1">
      <alignment vertical="center"/>
    </xf>
    <xf numFmtId="0" fontId="6" fillId="0" borderId="9" xfId="19" applyNumberFormat="1" applyFont="1" applyBorder="1" applyAlignment="1" applyProtection="1">
      <alignment horizontal="right" vertical="center"/>
    </xf>
    <xf numFmtId="0" fontId="6" fillId="0" borderId="6" xfId="19" applyFont="1" applyBorder="1" applyAlignment="1" applyProtection="1">
      <alignment vertical="center"/>
    </xf>
    <xf numFmtId="0" fontId="6" fillId="0" borderId="10" xfId="19" applyFont="1" applyBorder="1" applyAlignment="1" applyProtection="1">
      <alignment vertical="center"/>
    </xf>
    <xf numFmtId="1" fontId="2" fillId="0" borderId="0" xfId="0" applyNumberFormat="1" applyFont="1" applyAlignment="1">
      <alignment horizontal="center" vertical="center"/>
    </xf>
    <xf numFmtId="0" fontId="3" fillId="0" borderId="131" xfId="19" applyFont="1" applyBorder="1" applyAlignment="1" applyProtection="1">
      <alignment vertical="center"/>
    </xf>
    <xf numFmtId="0" fontId="3" fillId="0" borderId="8" xfId="19" applyFont="1" applyBorder="1" applyAlignment="1" applyProtection="1">
      <alignment horizontal="left" vertical="center"/>
    </xf>
    <xf numFmtId="0" fontId="89" fillId="0" borderId="12" xfId="0" applyFont="1" applyFill="1" applyBorder="1" applyAlignment="1">
      <alignment horizontal="left" vertical="center"/>
    </xf>
    <xf numFmtId="0" fontId="90" fillId="0" borderId="0" xfId="0" applyFont="1" applyBorder="1"/>
    <xf numFmtId="0" fontId="90" fillId="0" borderId="12" xfId="0" applyFont="1" applyBorder="1" applyAlignment="1">
      <alignment horizontal="centerContinuous" vertical="center"/>
    </xf>
    <xf numFmtId="0" fontId="90" fillId="0" borderId="13" xfId="0" applyFont="1" applyBorder="1"/>
    <xf numFmtId="0" fontId="89" fillId="0" borderId="13" xfId="0" applyFont="1" applyBorder="1" applyAlignment="1">
      <alignment horizontal="left" vertical="center"/>
    </xf>
    <xf numFmtId="0" fontId="89" fillId="0" borderId="13" xfId="0" applyFont="1" applyBorder="1" applyAlignment="1">
      <alignment horizontal="center" vertical="center" wrapText="1"/>
    </xf>
    <xf numFmtId="0" fontId="90" fillId="0" borderId="0" xfId="0" applyFont="1" applyBorder="1" applyAlignment="1">
      <alignment horizontal="left"/>
    </xf>
    <xf numFmtId="0" fontId="89" fillId="0" borderId="0" xfId="0" applyFont="1" applyBorder="1"/>
    <xf numFmtId="49" fontId="90" fillId="0" borderId="0" xfId="0" applyNumberFormat="1" applyFont="1" applyBorder="1" applyAlignment="1">
      <alignment horizontal="left"/>
    </xf>
    <xf numFmtId="49" fontId="91" fillId="0" borderId="0" xfId="2" applyNumberFormat="1" applyFont="1" applyBorder="1" applyAlignment="1" applyProtection="1">
      <alignment horizontal="center"/>
    </xf>
    <xf numFmtId="49" fontId="90" fillId="0" borderId="0" xfId="0" applyNumberFormat="1" applyFont="1" applyBorder="1" applyAlignment="1">
      <alignment horizontal="center"/>
    </xf>
    <xf numFmtId="0" fontId="90" fillId="0" borderId="0" xfId="0" applyFont="1" applyBorder="1" applyAlignment="1">
      <alignment horizontal="left" indent="1"/>
    </xf>
    <xf numFmtId="0" fontId="89" fillId="0" borderId="0" xfId="0" applyFont="1" applyBorder="1" applyAlignment="1">
      <alignment horizontal="left"/>
    </xf>
    <xf numFmtId="0" fontId="90" fillId="0" borderId="0" xfId="0" applyFont="1" applyBorder="1" applyAlignment="1">
      <alignment horizontal="centerContinuous" vertical="center"/>
    </xf>
    <xf numFmtId="0" fontId="90" fillId="0" borderId="0" xfId="0" applyFont="1" applyBorder="1" applyAlignment="1">
      <alignment vertical="center"/>
    </xf>
    <xf numFmtId="0" fontId="92" fillId="0" borderId="0" xfId="2" applyFont="1" applyBorder="1" applyAlignment="1" applyProtection="1">
      <alignment horizontal="left" indent="2"/>
    </xf>
    <xf numFmtId="0" fontId="93" fillId="0" borderId="0" xfId="0" applyFont="1" applyBorder="1"/>
    <xf numFmtId="0" fontId="94" fillId="0" borderId="0" xfId="0" applyFont="1" applyBorder="1"/>
    <xf numFmtId="164" fontId="95" fillId="0" borderId="0" xfId="0" applyNumberFormat="1" applyFont="1" applyBorder="1" applyAlignment="1" applyProtection="1">
      <alignment vertical="center"/>
    </xf>
    <xf numFmtId="0" fontId="96" fillId="0" borderId="0" xfId="0" applyFont="1" applyBorder="1"/>
    <xf numFmtId="0" fontId="96" fillId="0" borderId="0" xfId="0" applyFont="1" applyBorder="1" applyAlignment="1" applyProtection="1">
      <alignment vertical="center"/>
    </xf>
    <xf numFmtId="0" fontId="90" fillId="0" borderId="0" xfId="0" applyFont="1" applyBorder="1" applyAlignment="1" applyProtection="1">
      <alignment horizontal="left" vertical="top"/>
      <protection locked="0"/>
    </xf>
    <xf numFmtId="0" fontId="90" fillId="0" borderId="0" xfId="0" applyFont="1" applyFill="1" applyBorder="1"/>
    <xf numFmtId="0" fontId="94" fillId="0" borderId="0" xfId="0" applyFont="1" applyBorder="1" applyAlignment="1">
      <alignment vertical="center"/>
    </xf>
    <xf numFmtId="49" fontId="90" fillId="0" borderId="0" xfId="0" applyNumberFormat="1" applyFont="1" applyBorder="1" applyAlignment="1">
      <alignment horizontal="center" vertical="center"/>
    </xf>
    <xf numFmtId="49" fontId="90" fillId="0" borderId="0" xfId="0" applyNumberFormat="1" applyFont="1" applyBorder="1" applyAlignment="1">
      <alignment vertical="center"/>
    </xf>
    <xf numFmtId="49" fontId="97" fillId="0" borderId="0" xfId="0" applyNumberFormat="1" applyFont="1" applyBorder="1" applyAlignment="1">
      <alignment horizontal="left" vertical="center"/>
    </xf>
    <xf numFmtId="49" fontId="90" fillId="0" borderId="0" xfId="0" applyNumberFormat="1" applyFont="1" applyBorder="1" applyAlignment="1">
      <alignment horizontal="left" indent="2"/>
    </xf>
    <xf numFmtId="49" fontId="90" fillId="0" borderId="0" xfId="0" applyNumberFormat="1" applyFont="1" applyBorder="1"/>
    <xf numFmtId="49" fontId="90" fillId="0" borderId="0" xfId="0" applyNumberFormat="1" applyFont="1" applyBorder="1" applyAlignment="1">
      <alignment horizontal="left" indent="1"/>
    </xf>
    <xf numFmtId="49" fontId="92" fillId="0" borderId="0" xfId="2" applyNumberFormat="1" applyFont="1" applyBorder="1" applyAlignment="1" applyProtection="1">
      <alignment horizontal="left" indent="1"/>
    </xf>
    <xf numFmtId="49" fontId="90" fillId="0" borderId="0" xfId="0" applyNumberFormat="1" applyFont="1" applyFill="1" applyBorder="1" applyAlignment="1">
      <alignment horizontal="left" indent="1"/>
    </xf>
    <xf numFmtId="49" fontId="90" fillId="0" borderId="0" xfId="0" applyNumberFormat="1" applyFont="1" applyFill="1" applyBorder="1" applyAlignment="1">
      <alignment horizontal="left" indent="2"/>
    </xf>
    <xf numFmtId="49" fontId="90" fillId="0" borderId="0" xfId="0" applyNumberFormat="1" applyFont="1" applyFill="1" applyBorder="1" applyAlignment="1">
      <alignment horizontal="left" indent="3"/>
    </xf>
    <xf numFmtId="49" fontId="98" fillId="0" borderId="0" xfId="0" applyNumberFormat="1" applyFont="1" applyBorder="1" applyAlignment="1">
      <alignment horizontal="left" indent="2"/>
    </xf>
    <xf numFmtId="49" fontId="99" fillId="0" borderId="0" xfId="0" applyNumberFormat="1" applyFont="1" applyBorder="1" applyAlignment="1">
      <alignment horizontal="left" indent="5"/>
    </xf>
    <xf numFmtId="49" fontId="99" fillId="0" borderId="0" xfId="0" applyNumberFormat="1" applyFont="1" applyBorder="1" applyAlignment="1">
      <alignment horizontal="left" indent="3"/>
    </xf>
    <xf numFmtId="49" fontId="100" fillId="0" borderId="0" xfId="0" applyNumberFormat="1" applyFont="1" applyBorder="1" applyAlignment="1">
      <alignment horizontal="left"/>
    </xf>
    <xf numFmtId="49" fontId="92" fillId="0" borderId="0" xfId="2" applyNumberFormat="1" applyFont="1" applyBorder="1" applyAlignment="1" applyProtection="1">
      <alignment horizontal="left" indent="3"/>
    </xf>
    <xf numFmtId="49" fontId="90" fillId="0" borderId="0" xfId="0" applyNumberFormat="1" applyFont="1" applyFill="1" applyBorder="1"/>
    <xf numFmtId="49" fontId="92" fillId="0" borderId="0" xfId="2" applyNumberFormat="1" applyFont="1" applyBorder="1" applyAlignment="1" applyProtection="1">
      <alignment horizontal="left" indent="2"/>
    </xf>
    <xf numFmtId="0" fontId="96" fillId="0" borderId="0" xfId="0" applyFont="1" applyBorder="1" applyProtection="1"/>
    <xf numFmtId="0" fontId="96" fillId="0" borderId="0" xfId="0" applyFont="1" applyBorder="1" applyAlignment="1" applyProtection="1">
      <alignment horizontal="left"/>
    </xf>
    <xf numFmtId="164" fontId="94" fillId="0" borderId="0" xfId="0" applyNumberFormat="1" applyFont="1" applyBorder="1" applyAlignment="1" applyProtection="1">
      <alignment horizontal="left"/>
    </xf>
    <xf numFmtId="0" fontId="96" fillId="0" borderId="0" xfId="0" applyFont="1" applyBorder="1" applyAlignment="1" applyProtection="1">
      <alignment horizontal="center" vertical="top" textRotation="180"/>
    </xf>
    <xf numFmtId="0" fontId="96" fillId="0" borderId="0" xfId="0" applyFont="1" applyBorder="1" applyAlignment="1" applyProtection="1"/>
    <xf numFmtId="0" fontId="101" fillId="0" borderId="0" xfId="0" applyFont="1" applyBorder="1" applyAlignment="1" applyProtection="1">
      <alignment horizontal="centerContinuous" vertical="center"/>
    </xf>
    <xf numFmtId="164" fontId="95" fillId="0" borderId="0" xfId="0" applyNumberFormat="1" applyFont="1" applyBorder="1" applyAlignment="1" applyProtection="1">
      <alignment horizontal="left" vertical="center"/>
    </xf>
    <xf numFmtId="0" fontId="90" fillId="0" borderId="0" xfId="0" applyFont="1" applyBorder="1" applyAlignment="1" applyProtection="1">
      <alignment horizontal="left" vertical="center"/>
    </xf>
    <xf numFmtId="0" fontId="96" fillId="0" borderId="0" xfId="0" applyFont="1" applyBorder="1" applyAlignment="1"/>
    <xf numFmtId="0" fontId="101" fillId="0" borderId="0" xfId="0" applyFont="1" applyBorder="1" applyAlignment="1" applyProtection="1">
      <alignment horizontal="center" vertical="center"/>
    </xf>
    <xf numFmtId="0" fontId="94" fillId="0" borderId="0" xfId="0" applyFont="1" applyBorder="1" applyAlignment="1">
      <alignment horizontal="left" vertical="top"/>
    </xf>
    <xf numFmtId="164" fontId="94" fillId="0" borderId="0" xfId="0" applyNumberFormat="1" applyFont="1" applyBorder="1" applyAlignment="1">
      <alignment horizontal="left" vertical="top"/>
    </xf>
    <xf numFmtId="0" fontId="102" fillId="0" borderId="0" xfId="0" applyFont="1" applyBorder="1" applyAlignment="1" applyProtection="1">
      <alignment horizontal="left" vertical="center"/>
    </xf>
    <xf numFmtId="0" fontId="103" fillId="0" borderId="0" xfId="0" applyFont="1" applyBorder="1" applyAlignment="1">
      <alignment horizontal="left" vertical="top"/>
    </xf>
    <xf numFmtId="0" fontId="90" fillId="0" borderId="0" xfId="0" applyFont="1" applyBorder="1" applyProtection="1"/>
    <xf numFmtId="0" fontId="90" fillId="0" borderId="0" xfId="0" applyFont="1" applyBorder="1" applyAlignment="1" applyProtection="1">
      <alignment horizontal="left"/>
    </xf>
    <xf numFmtId="0" fontId="94" fillId="0" borderId="0" xfId="0" applyFont="1" applyBorder="1" applyProtection="1"/>
    <xf numFmtId="0" fontId="89" fillId="0" borderId="0" xfId="0" applyFont="1" applyBorder="1" applyAlignment="1" applyProtection="1">
      <alignment horizontal="center" vertical="center"/>
    </xf>
    <xf numFmtId="164" fontId="89" fillId="0" borderId="2" xfId="0" applyNumberFormat="1" applyFont="1" applyBorder="1" applyAlignment="1" applyProtection="1">
      <alignment horizontal="center" vertical="center"/>
      <protection locked="0"/>
    </xf>
    <xf numFmtId="0" fontId="94" fillId="0" borderId="0" xfId="0" applyFont="1" applyBorder="1" applyAlignment="1">
      <alignment horizontal="left" vertical="center"/>
    </xf>
    <xf numFmtId="0" fontId="90" fillId="0" borderId="0" xfId="0" applyFont="1" applyBorder="1" applyAlignment="1" applyProtection="1">
      <alignment vertical="center"/>
    </xf>
    <xf numFmtId="164" fontId="95" fillId="0" borderId="0" xfId="0" applyNumberFormat="1" applyFont="1" applyBorder="1" applyAlignment="1" applyProtection="1">
      <alignment horizontal="right" vertical="center"/>
    </xf>
    <xf numFmtId="164" fontId="94" fillId="0" borderId="0" xfId="0" applyNumberFormat="1" applyFont="1" applyBorder="1" applyAlignment="1" applyProtection="1">
      <alignment vertical="center"/>
    </xf>
    <xf numFmtId="0" fontId="94" fillId="0" borderId="0" xfId="0" applyFont="1" applyBorder="1" applyAlignment="1" applyProtection="1">
      <alignment horizontal="left" vertical="center" indent="1"/>
    </xf>
    <xf numFmtId="0" fontId="89" fillId="0" borderId="2" xfId="0" applyFont="1" applyBorder="1" applyAlignment="1" applyProtection="1">
      <alignment horizontal="center" vertical="center"/>
      <protection locked="0"/>
    </xf>
    <xf numFmtId="164" fontId="95" fillId="0" borderId="0" xfId="0" applyNumberFormat="1" applyFont="1" applyBorder="1" applyAlignment="1" applyProtection="1">
      <alignment horizontal="right" vertical="center" wrapText="1"/>
    </xf>
    <xf numFmtId="164" fontId="94" fillId="0" borderId="0" xfId="0" applyNumberFormat="1" applyFont="1" applyBorder="1" applyAlignment="1">
      <alignment horizontal="left" vertical="center"/>
    </xf>
    <xf numFmtId="0" fontId="89" fillId="0" borderId="0" xfId="0" applyFont="1" applyBorder="1" applyAlignment="1" applyProtection="1">
      <alignment horizontal="left" vertical="center"/>
    </xf>
    <xf numFmtId="164" fontId="104" fillId="0" borderId="0" xfId="0" applyNumberFormat="1" applyFont="1" applyBorder="1" applyAlignment="1" applyProtection="1">
      <alignment horizontal="left" vertical="center" indent="1"/>
    </xf>
    <xf numFmtId="0" fontId="94" fillId="0" borderId="0" xfId="0" applyFont="1" applyAlignment="1">
      <alignment horizontal="left" vertical="center"/>
    </xf>
    <xf numFmtId="0" fontId="94" fillId="0" borderId="0" xfId="0" applyFont="1" applyAlignment="1">
      <alignment horizontal="left" vertical="center" indent="1"/>
    </xf>
    <xf numFmtId="0" fontId="104" fillId="0" borderId="0" xfId="0" applyFont="1" applyAlignment="1">
      <alignment horizontal="left" vertical="center" indent="1"/>
    </xf>
    <xf numFmtId="0" fontId="89" fillId="0" borderId="14" xfId="0" applyFont="1" applyBorder="1" applyAlignment="1" applyProtection="1">
      <alignment horizontal="center" vertical="center"/>
      <protection locked="0"/>
    </xf>
    <xf numFmtId="0" fontId="94" fillId="0" borderId="0" xfId="0" applyFont="1" applyBorder="1" applyAlignment="1">
      <alignment horizontal="left" vertical="center" indent="1"/>
    </xf>
    <xf numFmtId="0" fontId="89" fillId="0" borderId="0" xfId="0" applyFont="1" applyBorder="1" applyAlignment="1" applyProtection="1">
      <alignment horizontal="center" vertical="center"/>
      <protection locked="0"/>
    </xf>
    <xf numFmtId="0" fontId="94" fillId="0" borderId="0" xfId="0" applyFont="1" applyBorder="1" applyAlignment="1" applyProtection="1">
      <alignment vertical="center"/>
    </xf>
    <xf numFmtId="0" fontId="104" fillId="0" borderId="0" xfId="0" applyFont="1" applyAlignment="1">
      <alignment horizontal="left" vertical="center"/>
    </xf>
    <xf numFmtId="0" fontId="94" fillId="0" borderId="0" xfId="0" applyFont="1" applyBorder="1" applyAlignment="1" applyProtection="1">
      <alignment horizontal="left" vertical="top"/>
    </xf>
    <xf numFmtId="0" fontId="94" fillId="0" borderId="0" xfId="0" applyFont="1" applyBorder="1" applyAlignment="1" applyProtection="1">
      <alignment horizontal="left" vertical="top" indent="1"/>
    </xf>
    <xf numFmtId="0" fontId="104" fillId="0" borderId="0" xfId="0" applyFont="1" applyBorder="1" applyAlignment="1" applyProtection="1">
      <alignment horizontal="left" vertical="top" indent="1"/>
    </xf>
    <xf numFmtId="0" fontId="94" fillId="0" borderId="0" xfId="0" applyFont="1" applyAlignment="1">
      <alignment vertical="top"/>
    </xf>
    <xf numFmtId="0" fontId="94" fillId="0" borderId="0" xfId="0" applyFont="1" applyBorder="1" applyAlignment="1" applyProtection="1">
      <alignment vertical="top"/>
    </xf>
    <xf numFmtId="0" fontId="105" fillId="0" borderId="2" xfId="0" applyFont="1" applyBorder="1" applyAlignment="1" applyProtection="1">
      <alignment horizontal="center"/>
      <protection locked="0"/>
    </xf>
    <xf numFmtId="164" fontId="95" fillId="0" borderId="0" xfId="0" applyNumberFormat="1" applyFont="1" applyBorder="1" applyAlignment="1" applyProtection="1">
      <alignment horizontal="right"/>
    </xf>
    <xf numFmtId="0" fontId="96" fillId="0" borderId="14" xfId="0" applyFont="1" applyBorder="1" applyAlignment="1" applyProtection="1">
      <alignment horizontal="left"/>
    </xf>
    <xf numFmtId="0" fontId="94" fillId="0" borderId="0" xfId="0" applyFont="1" applyBorder="1" applyAlignment="1" applyProtection="1">
      <alignment horizontal="left" vertical="center"/>
    </xf>
    <xf numFmtId="0" fontId="96" fillId="0" borderId="0" xfId="0" applyFont="1" applyBorder="1" applyAlignment="1" applyProtection="1">
      <alignment horizontal="left" vertical="center"/>
    </xf>
    <xf numFmtId="14" fontId="90" fillId="0" borderId="0" xfId="0" applyNumberFormat="1" applyFont="1" applyBorder="1" applyAlignment="1" applyProtection="1">
      <alignment horizontal="center" vertical="center"/>
    </xf>
    <xf numFmtId="14" fontId="105" fillId="0" borderId="15" xfId="0" applyNumberFormat="1" applyFont="1" applyBorder="1" applyAlignment="1" applyProtection="1">
      <alignment horizontal="center" vertical="center"/>
      <protection locked="0"/>
    </xf>
    <xf numFmtId="0" fontId="106" fillId="0" borderId="0" xfId="0" applyFont="1" applyAlignment="1">
      <alignment horizontal="left" vertical="center"/>
    </xf>
    <xf numFmtId="0" fontId="96" fillId="0" borderId="0" xfId="0" applyFont="1" applyAlignment="1">
      <alignment horizontal="left" vertical="center"/>
    </xf>
    <xf numFmtId="0" fontId="102" fillId="0" borderId="0" xfId="0" applyFont="1" applyBorder="1" applyAlignment="1" applyProtection="1">
      <alignment horizontal="left" vertical="center" wrapText="1"/>
    </xf>
    <xf numFmtId="0" fontId="89" fillId="0" borderId="0" xfId="0" applyFont="1" applyBorder="1" applyAlignment="1" applyProtection="1">
      <alignment horizontal="center" vertical="center" wrapText="1"/>
    </xf>
    <xf numFmtId="0" fontId="90" fillId="0" borderId="0" xfId="0" applyFont="1" applyBorder="1" applyAlignment="1" applyProtection="1">
      <alignment horizontal="left" vertical="top"/>
    </xf>
    <xf numFmtId="0" fontId="96" fillId="0" borderId="0" xfId="0" applyFont="1" applyBorder="1" applyAlignment="1">
      <alignment horizontal="left" vertical="top"/>
    </xf>
    <xf numFmtId="0" fontId="96" fillId="0" borderId="0" xfId="0" applyFont="1" applyBorder="1" applyAlignment="1">
      <alignment horizontal="center" vertical="top"/>
    </xf>
    <xf numFmtId="0" fontId="94" fillId="0" borderId="0" xfId="0" applyFont="1" applyAlignment="1">
      <alignment horizontal="left"/>
    </xf>
    <xf numFmtId="0" fontId="94" fillId="0" borderId="0" xfId="0" applyFont="1"/>
    <xf numFmtId="0" fontId="96" fillId="0" borderId="0" xfId="0" applyFont="1" applyBorder="1" applyAlignment="1" applyProtection="1">
      <alignment horizontal="right" vertical="center"/>
    </xf>
    <xf numFmtId="14" fontId="96" fillId="0" borderId="132" xfId="0" applyNumberFormat="1" applyFont="1" applyBorder="1" applyAlignment="1" applyProtection="1">
      <alignment vertical="center"/>
      <protection locked="0"/>
    </xf>
    <xf numFmtId="164" fontId="89" fillId="0" borderId="0" xfId="0" applyNumberFormat="1" applyFont="1" applyBorder="1" applyAlignment="1" applyProtection="1">
      <alignment horizontal="center" vertical="center"/>
    </xf>
    <xf numFmtId="0" fontId="107" fillId="9" borderId="133" xfId="0" applyFont="1" applyFill="1" applyBorder="1" applyAlignment="1">
      <alignment horizontal="center" vertical="center"/>
    </xf>
    <xf numFmtId="0" fontId="107" fillId="9" borderId="134" xfId="0" applyFont="1" applyFill="1" applyBorder="1" applyAlignment="1">
      <alignment horizontal="center" vertical="center"/>
    </xf>
    <xf numFmtId="0" fontId="89" fillId="10" borderId="135" xfId="0" applyFont="1" applyFill="1" applyBorder="1" applyAlignment="1" applyProtection="1">
      <alignment horizontal="left" vertical="center"/>
    </xf>
    <xf numFmtId="164" fontId="89" fillId="10" borderId="135" xfId="0" applyNumberFormat="1" applyFont="1" applyFill="1" applyBorder="1" applyAlignment="1" applyProtection="1">
      <alignment horizontal="center" vertical="center"/>
    </xf>
    <xf numFmtId="164" fontId="95" fillId="10" borderId="135" xfId="0" applyNumberFormat="1" applyFont="1" applyFill="1" applyBorder="1" applyAlignment="1" applyProtection="1">
      <alignment vertical="center"/>
    </xf>
    <xf numFmtId="0" fontId="108" fillId="11" borderId="136" xfId="0" applyFont="1" applyFill="1" applyBorder="1" applyAlignment="1">
      <alignment horizontal="left" vertical="center"/>
    </xf>
    <xf numFmtId="38" fontId="109" fillId="11" borderId="137" xfId="0" applyNumberFormat="1" applyFont="1" applyFill="1" applyBorder="1" applyAlignment="1">
      <alignment horizontal="right"/>
    </xf>
    <xf numFmtId="38" fontId="109" fillId="11" borderId="138" xfId="0" applyNumberFormat="1" applyFont="1" applyFill="1" applyBorder="1" applyAlignment="1">
      <alignment horizontal="right"/>
    </xf>
    <xf numFmtId="0" fontId="89" fillId="10" borderId="138" xfId="0" applyFont="1" applyFill="1" applyBorder="1" applyAlignment="1" applyProtection="1">
      <alignment horizontal="center" vertical="center"/>
    </xf>
    <xf numFmtId="164" fontId="89" fillId="10" borderId="138" xfId="0" applyNumberFormat="1" applyFont="1" applyFill="1" applyBorder="1" applyAlignment="1" applyProtection="1">
      <alignment horizontal="center" vertical="center"/>
    </xf>
    <xf numFmtId="164" fontId="95" fillId="10" borderId="138" xfId="0" applyNumberFormat="1" applyFont="1" applyFill="1" applyBorder="1" applyAlignment="1" applyProtection="1">
      <alignment vertical="center"/>
    </xf>
    <xf numFmtId="0" fontId="108" fillId="11" borderId="137" xfId="0" applyFont="1" applyFill="1" applyBorder="1" applyAlignment="1">
      <alignment horizontal="left" vertical="center"/>
    </xf>
    <xf numFmtId="0" fontId="89" fillId="10" borderId="0" xfId="0" applyFont="1" applyFill="1" applyBorder="1" applyAlignment="1" applyProtection="1">
      <alignment horizontal="left" vertical="center"/>
    </xf>
    <xf numFmtId="164" fontId="89" fillId="10" borderId="0" xfId="0" applyNumberFormat="1" applyFont="1" applyFill="1" applyBorder="1" applyAlignment="1" applyProtection="1">
      <alignment horizontal="center" vertical="center"/>
    </xf>
    <xf numFmtId="164" fontId="95" fillId="10" borderId="0" xfId="0" applyNumberFormat="1" applyFont="1" applyFill="1" applyBorder="1" applyAlignment="1" applyProtection="1">
      <alignment vertical="center"/>
    </xf>
    <xf numFmtId="0" fontId="108" fillId="11" borderId="139" xfId="0" applyFont="1" applyFill="1" applyBorder="1" applyAlignment="1">
      <alignment horizontal="left" vertical="center"/>
    </xf>
    <xf numFmtId="1" fontId="90" fillId="0" borderId="0" xfId="0" applyNumberFormat="1" applyFont="1" applyBorder="1" applyAlignment="1" applyProtection="1">
      <alignment horizontal="center" vertical="center"/>
    </xf>
    <xf numFmtId="0" fontId="96" fillId="0" borderId="0" xfId="0" applyFont="1" applyBorder="1" applyAlignment="1" applyProtection="1">
      <alignment horizontal="center" vertical="center"/>
    </xf>
    <xf numFmtId="164" fontId="90" fillId="0" borderId="0" xfId="0" applyNumberFormat="1" applyFont="1" applyBorder="1" applyAlignment="1" applyProtection="1">
      <alignment horizontal="left" vertical="center" indent="1"/>
    </xf>
    <xf numFmtId="0" fontId="102" fillId="0" borderId="0" xfId="4" applyFont="1" applyBorder="1" applyAlignment="1" applyProtection="1">
      <alignment horizontal="left" vertical="center"/>
    </xf>
    <xf numFmtId="0" fontId="106" fillId="0" borderId="0" xfId="4" applyFont="1" applyAlignment="1">
      <alignment horizontal="left" vertical="center"/>
    </xf>
    <xf numFmtId="0" fontId="95" fillId="0" borderId="0" xfId="4" applyFont="1" applyBorder="1" applyAlignment="1" applyProtection="1">
      <alignment horizontal="left" vertical="center"/>
    </xf>
    <xf numFmtId="0" fontId="96" fillId="0" borderId="0" xfId="4" applyFont="1" applyBorder="1" applyAlignment="1" applyProtection="1">
      <alignment horizontal="right" vertical="center"/>
    </xf>
    <xf numFmtId="1" fontId="90" fillId="0" borderId="0" xfId="4" applyNumberFormat="1" applyFont="1" applyBorder="1" applyAlignment="1" applyProtection="1">
      <alignment horizontal="center" vertical="center"/>
    </xf>
    <xf numFmtId="0" fontId="96" fillId="0" borderId="0" xfId="4" applyFont="1" applyBorder="1" applyAlignment="1" applyProtection="1">
      <alignment vertical="center"/>
    </xf>
    <xf numFmtId="0" fontId="96" fillId="0" borderId="0" xfId="4" applyFont="1" applyBorder="1" applyAlignment="1" applyProtection="1">
      <alignment horizontal="center" vertical="center"/>
    </xf>
    <xf numFmtId="0" fontId="96" fillId="0" borderId="0" xfId="4" applyNumberFormat="1" applyFont="1" applyBorder="1" applyAlignment="1" applyProtection="1">
      <alignment vertical="center"/>
    </xf>
    <xf numFmtId="0" fontId="94" fillId="0" borderId="0" xfId="4" applyFont="1" applyBorder="1" applyAlignment="1">
      <alignment horizontal="left" indent="1"/>
    </xf>
    <xf numFmtId="0" fontId="90" fillId="0" borderId="0" xfId="4" applyFont="1" applyBorder="1"/>
    <xf numFmtId="164" fontId="95" fillId="0" borderId="0" xfId="4" applyNumberFormat="1" applyFont="1" applyBorder="1" applyAlignment="1" applyProtection="1">
      <alignment vertical="center"/>
    </xf>
    <xf numFmtId="0" fontId="96" fillId="0" borderId="0" xfId="4" applyFont="1" applyBorder="1"/>
    <xf numFmtId="0" fontId="90" fillId="0" borderId="0" xfId="4" applyFont="1" applyBorder="1" applyAlignment="1" applyProtection="1">
      <alignment horizontal="left" vertical="top"/>
    </xf>
    <xf numFmtId="0" fontId="94" fillId="0" borderId="0" xfId="4" applyFont="1" applyBorder="1"/>
    <xf numFmtId="0" fontId="89" fillId="0" borderId="0" xfId="4" applyFont="1" applyBorder="1" applyAlignment="1" applyProtection="1">
      <alignment horizontal="center" vertical="center"/>
    </xf>
    <xf numFmtId="164" fontId="95" fillId="0" borderId="0" xfId="4" applyNumberFormat="1" applyFont="1" applyBorder="1" applyAlignment="1" applyProtection="1">
      <alignment horizontal="right" vertical="center"/>
    </xf>
    <xf numFmtId="0" fontId="110" fillId="0" borderId="0" xfId="4" applyFont="1" applyBorder="1"/>
    <xf numFmtId="0" fontId="96" fillId="0" borderId="0" xfId="4" applyFont="1"/>
    <xf numFmtId="0" fontId="96" fillId="0" borderId="0" xfId="4" applyFont="1" applyProtection="1"/>
    <xf numFmtId="0" fontId="104" fillId="0" borderId="0" xfId="4" applyFont="1" applyBorder="1"/>
    <xf numFmtId="0" fontId="104" fillId="0" borderId="0" xfId="4" applyFont="1" applyBorder="1" applyAlignment="1">
      <alignment horizontal="center" vertical="top"/>
    </xf>
    <xf numFmtId="171" fontId="96" fillId="0" borderId="0" xfId="4" applyNumberFormat="1" applyFont="1" applyBorder="1" applyAlignment="1" applyProtection="1">
      <alignment horizontal="center" vertical="center"/>
    </xf>
    <xf numFmtId="0" fontId="104" fillId="0" borderId="0" xfId="4" applyFont="1" applyBorder="1" applyAlignment="1">
      <alignment horizontal="center"/>
    </xf>
    <xf numFmtId="0" fontId="96" fillId="0" borderId="0" xfId="4" applyFont="1" applyBorder="1" applyProtection="1"/>
    <xf numFmtId="0" fontId="96" fillId="0" borderId="0" xfId="4" applyFont="1" applyProtection="1">
      <protection locked="0"/>
    </xf>
    <xf numFmtId="0" fontId="96" fillId="0" borderId="0" xfId="4" applyFont="1" applyBorder="1" applyProtection="1">
      <protection locked="0"/>
    </xf>
    <xf numFmtId="0" fontId="96" fillId="0" borderId="0" xfId="4" applyFont="1" applyBorder="1" applyAlignment="1">
      <alignment horizontal="center" vertical="center"/>
    </xf>
    <xf numFmtId="164" fontId="94" fillId="0" borderId="0" xfId="4" applyNumberFormat="1" applyFont="1" applyBorder="1"/>
    <xf numFmtId="0" fontId="104" fillId="0" borderId="16" xfId="4" applyFont="1" applyBorder="1" applyAlignment="1">
      <alignment horizontal="center"/>
    </xf>
    <xf numFmtId="0" fontId="90" fillId="0" borderId="0" xfId="4" applyFont="1" applyBorder="1" applyProtection="1"/>
    <xf numFmtId="0" fontId="96" fillId="0" borderId="0" xfId="0" applyFont="1"/>
    <xf numFmtId="0" fontId="104" fillId="0" borderId="0" xfId="0" applyFont="1" applyBorder="1"/>
    <xf numFmtId="0" fontId="104" fillId="0" borderId="0" xfId="0" applyFont="1" applyBorder="1" applyAlignment="1">
      <alignment horizontal="left" vertical="top" wrapText="1"/>
    </xf>
    <xf numFmtId="0" fontId="104" fillId="0" borderId="0" xfId="0" applyFont="1" applyBorder="1" applyAlignment="1">
      <alignment horizontal="center"/>
    </xf>
    <xf numFmtId="0" fontId="104" fillId="0" borderId="0" xfId="0" applyFont="1" applyBorder="1" applyAlignment="1" applyProtection="1">
      <alignment horizontal="center" vertical="top"/>
    </xf>
    <xf numFmtId="0" fontId="96" fillId="0" borderId="0" xfId="0" applyFont="1" applyBorder="1" applyAlignment="1">
      <alignment horizontal="center" vertical="center"/>
    </xf>
    <xf numFmtId="164" fontId="94" fillId="0" borderId="0" xfId="0" applyNumberFormat="1" applyFont="1" applyBorder="1"/>
    <xf numFmtId="0" fontId="89" fillId="0" borderId="0" xfId="0" applyFont="1" applyBorder="1" applyAlignment="1" applyProtection="1">
      <alignment horizontal="center"/>
    </xf>
    <xf numFmtId="0" fontId="104" fillId="0" borderId="0" xfId="0" applyFont="1" applyBorder="1" applyAlignment="1">
      <alignment horizontal="center" vertical="top"/>
    </xf>
    <xf numFmtId="171" fontId="96" fillId="0" borderId="0" xfId="0" applyNumberFormat="1" applyFont="1" applyBorder="1" applyAlignment="1" applyProtection="1">
      <alignment horizontal="center" vertical="center"/>
    </xf>
    <xf numFmtId="164" fontId="94" fillId="0" borderId="0" xfId="0" applyNumberFormat="1" applyFont="1" applyBorder="1" applyProtection="1"/>
    <xf numFmtId="0" fontId="111" fillId="0" borderId="0" xfId="0" applyFont="1" applyBorder="1" applyAlignment="1">
      <alignment horizontal="left" vertical="top" wrapText="1"/>
    </xf>
    <xf numFmtId="166" fontId="96" fillId="0" borderId="0" xfId="0" applyNumberFormat="1" applyFont="1" applyBorder="1" applyAlignment="1" applyProtection="1">
      <alignment horizontal="left" vertical="center"/>
    </xf>
    <xf numFmtId="164" fontId="94" fillId="0" borderId="0" xfId="0" applyNumberFormat="1" applyFont="1" applyBorder="1" applyAlignment="1" applyProtection="1">
      <alignment horizontal="left" vertical="center"/>
    </xf>
    <xf numFmtId="0" fontId="96" fillId="0" borderId="0" xfId="0" applyFont="1" applyAlignment="1">
      <alignment vertical="center"/>
    </xf>
    <xf numFmtId="0" fontId="95" fillId="0" borderId="0" xfId="0" applyFont="1" applyBorder="1" applyAlignment="1" applyProtection="1">
      <alignment vertical="center"/>
    </xf>
    <xf numFmtId="0" fontId="90" fillId="0" borderId="0" xfId="4" applyFont="1" applyBorder="1" applyAlignment="1">
      <alignment horizontal="left" indent="1"/>
    </xf>
    <xf numFmtId="0" fontId="100" fillId="0" borderId="0" xfId="0" applyFont="1" applyBorder="1" applyAlignment="1" applyProtection="1">
      <alignment horizontal="center" vertical="center"/>
    </xf>
    <xf numFmtId="0" fontId="90" fillId="0" borderId="0" xfId="0" applyFont="1" applyAlignment="1" applyProtection="1">
      <alignment vertical="center"/>
    </xf>
    <xf numFmtId="0" fontId="112" fillId="0" borderId="0" xfId="0" applyFont="1" applyBorder="1" applyAlignment="1" applyProtection="1">
      <alignment horizontal="left" vertical="center"/>
    </xf>
    <xf numFmtId="0" fontId="89" fillId="0" borderId="0" xfId="0" applyFont="1" applyBorder="1" applyAlignment="1" applyProtection="1">
      <alignment vertical="center"/>
    </xf>
    <xf numFmtId="0" fontId="113" fillId="0" borderId="0" xfId="0" applyFont="1" applyBorder="1" applyAlignment="1" applyProtection="1">
      <alignment vertical="center"/>
    </xf>
    <xf numFmtId="0" fontId="94" fillId="0" borderId="0" xfId="0" applyFont="1" applyBorder="1" applyAlignment="1" applyProtection="1">
      <alignment horizontal="left" vertical="center" indent="3"/>
    </xf>
    <xf numFmtId="0" fontId="95" fillId="0" borderId="0" xfId="0" applyFont="1" applyBorder="1" applyAlignment="1" applyProtection="1">
      <alignment horizontal="center" vertical="center"/>
    </xf>
    <xf numFmtId="0" fontId="95" fillId="0" borderId="0" xfId="0" applyFont="1" applyBorder="1" applyAlignment="1" applyProtection="1">
      <alignment horizontal="center" vertical="center" wrapText="1"/>
    </xf>
    <xf numFmtId="176" fontId="96" fillId="0" borderId="2" xfId="0" applyNumberFormat="1" applyFont="1" applyBorder="1" applyAlignment="1" applyProtection="1">
      <alignment vertical="center" wrapText="1"/>
      <protection locked="0"/>
    </xf>
    <xf numFmtId="0" fontId="90" fillId="0" borderId="0" xfId="0" applyFont="1" applyBorder="1" applyAlignment="1" applyProtection="1">
      <alignment horizontal="center" vertical="center"/>
    </xf>
    <xf numFmtId="0" fontId="114" fillId="0" borderId="0" xfId="0" applyFont="1" applyBorder="1" applyAlignment="1" applyProtection="1">
      <alignment horizontal="center" vertical="center" wrapText="1"/>
    </xf>
    <xf numFmtId="0" fontId="115" fillId="0" borderId="0" xfId="0" applyNumberFormat="1" applyFont="1" applyBorder="1" applyAlignment="1" applyProtection="1">
      <alignment horizontal="left" vertical="center" wrapText="1"/>
    </xf>
    <xf numFmtId="0" fontId="90" fillId="0" borderId="0" xfId="0" applyFont="1" applyAlignment="1">
      <alignment horizontal="left" vertical="center" wrapText="1"/>
    </xf>
    <xf numFmtId="0" fontId="95" fillId="0" borderId="0" xfId="0" applyFont="1" applyBorder="1" applyAlignment="1" applyProtection="1">
      <alignment horizontal="center"/>
    </xf>
    <xf numFmtId="0" fontId="90" fillId="0" borderId="0" xfId="0" applyFont="1" applyBorder="1" applyAlignment="1" applyProtection="1"/>
    <xf numFmtId="0" fontId="95" fillId="0" borderId="0" xfId="0" applyFont="1" applyBorder="1" applyAlignment="1" applyProtection="1">
      <alignment horizontal="center" wrapText="1"/>
    </xf>
    <xf numFmtId="0" fontId="90" fillId="0" borderId="0" xfId="0" applyFont="1" applyBorder="1" applyAlignment="1" applyProtection="1">
      <alignment horizontal="right" vertical="center"/>
    </xf>
    <xf numFmtId="0" fontId="116" fillId="0" borderId="0" xfId="0" applyFont="1" applyBorder="1" applyAlignment="1" applyProtection="1">
      <alignment vertical="center"/>
    </xf>
    <xf numFmtId="0" fontId="104" fillId="0" borderId="0" xfId="0" applyFont="1" applyBorder="1" applyAlignment="1" applyProtection="1">
      <alignment vertical="center"/>
    </xf>
    <xf numFmtId="38" fontId="89" fillId="0" borderId="2" xfId="0" applyNumberFormat="1" applyFont="1" applyBorder="1" applyAlignment="1" applyProtection="1">
      <alignment horizontal="center" vertical="center"/>
      <protection locked="0"/>
    </xf>
    <xf numFmtId="0" fontId="90" fillId="0" borderId="0" xfId="0" applyFont="1" applyAlignment="1" applyProtection="1">
      <alignment horizontal="right" vertical="center"/>
    </xf>
    <xf numFmtId="0" fontId="94" fillId="0" borderId="7" xfId="0" applyFont="1" applyFill="1" applyBorder="1" applyAlignment="1" applyProtection="1">
      <alignment vertical="center"/>
    </xf>
    <xf numFmtId="38" fontId="96" fillId="0" borderId="2" xfId="0" applyNumberFormat="1" applyFont="1" applyBorder="1" applyAlignment="1" applyProtection="1">
      <alignment horizontal="center" vertical="center"/>
      <protection locked="0"/>
    </xf>
    <xf numFmtId="0" fontId="90" fillId="0" borderId="7" xfId="0" applyFont="1" applyBorder="1" applyAlignment="1" applyProtection="1">
      <alignment horizontal="right" vertical="center"/>
    </xf>
    <xf numFmtId="40" fontId="94" fillId="0" borderId="0" xfId="0" applyNumberFormat="1" applyFont="1" applyBorder="1" applyAlignment="1" applyProtection="1">
      <alignment horizontal="center" vertical="center"/>
    </xf>
    <xf numFmtId="0" fontId="117" fillId="0" borderId="0" xfId="0" applyFont="1" applyBorder="1" applyAlignment="1" applyProtection="1">
      <alignment vertical="center"/>
    </xf>
    <xf numFmtId="0" fontId="90" fillId="0" borderId="6" xfId="0" applyFont="1" applyFill="1" applyBorder="1" applyAlignment="1" applyProtection="1">
      <alignment vertical="center"/>
    </xf>
    <xf numFmtId="0" fontId="94" fillId="0" borderId="0" xfId="0" applyFont="1" applyBorder="1" applyAlignment="1" applyProtection="1">
      <alignment horizontal="right" vertical="center"/>
    </xf>
    <xf numFmtId="0" fontId="94" fillId="0" borderId="2" xfId="0" applyFont="1" applyBorder="1" applyAlignment="1" applyProtection="1">
      <alignment vertical="center"/>
    </xf>
    <xf numFmtId="38" fontId="96" fillId="2" borderId="2" xfId="0" applyNumberFormat="1" applyFont="1" applyFill="1" applyBorder="1" applyAlignment="1" applyProtection="1">
      <alignment vertical="center"/>
    </xf>
    <xf numFmtId="0" fontId="90" fillId="3" borderId="2" xfId="0" applyFont="1" applyFill="1" applyBorder="1" applyAlignment="1" applyProtection="1">
      <alignment vertical="center"/>
    </xf>
    <xf numFmtId="0" fontId="105" fillId="0" borderId="2" xfId="0" applyNumberFormat="1" applyFont="1" applyBorder="1" applyAlignment="1" applyProtection="1">
      <alignment horizontal="center" vertical="center"/>
      <protection locked="0"/>
    </xf>
    <xf numFmtId="38" fontId="96" fillId="0" borderId="0" xfId="0" applyNumberFormat="1" applyFont="1" applyBorder="1" applyAlignment="1" applyProtection="1">
      <alignment horizontal="center" vertical="center"/>
    </xf>
    <xf numFmtId="0" fontId="96" fillId="0" borderId="0" xfId="0" applyFont="1" applyBorder="1" applyAlignment="1" applyProtection="1">
      <alignment horizontal="left" vertical="top"/>
    </xf>
    <xf numFmtId="0" fontId="116" fillId="0" borderId="0" xfId="0" applyFont="1" applyBorder="1" applyAlignment="1" applyProtection="1">
      <alignment horizontal="left"/>
    </xf>
    <xf numFmtId="0" fontId="116" fillId="0" borderId="0" xfId="0" applyFont="1" applyBorder="1" applyAlignment="1" applyProtection="1"/>
    <xf numFmtId="0" fontId="118" fillId="0" borderId="0" xfId="0" applyFont="1" applyBorder="1" applyAlignment="1" applyProtection="1">
      <alignment horizontal="right" vertical="center"/>
    </xf>
    <xf numFmtId="0" fontId="96" fillId="0" borderId="0" xfId="0" applyFont="1" applyProtection="1"/>
    <xf numFmtId="0" fontId="90" fillId="0" borderId="0" xfId="0" applyFont="1" applyProtection="1"/>
    <xf numFmtId="0" fontId="119" fillId="0" borderId="0" xfId="2" applyFont="1" applyAlignment="1" applyProtection="1">
      <alignment horizontal="centerContinuous" vertical="center"/>
    </xf>
    <xf numFmtId="0" fontId="96" fillId="0" borderId="0" xfId="0" applyFont="1" applyAlignment="1">
      <alignment horizontal="centerContinuous" vertical="center"/>
    </xf>
    <xf numFmtId="0" fontId="90" fillId="0" borderId="0" xfId="0" applyFont="1" applyAlignment="1" applyProtection="1">
      <alignment horizontal="centerContinuous" vertical="center"/>
    </xf>
    <xf numFmtId="0" fontId="105" fillId="0" borderId="0" xfId="0" applyFont="1"/>
    <xf numFmtId="0" fontId="90" fillId="0" borderId="0" xfId="0" applyNumberFormat="1" applyFont="1" applyAlignment="1">
      <alignment horizontal="left"/>
    </xf>
    <xf numFmtId="0" fontId="96" fillId="0" borderId="0" xfId="0" applyFont="1" applyAlignment="1">
      <alignment horizontal="left"/>
    </xf>
    <xf numFmtId="174" fontId="90" fillId="0" borderId="0" xfId="0" applyNumberFormat="1" applyFont="1" applyAlignment="1">
      <alignment horizontal="left"/>
    </xf>
    <xf numFmtId="174" fontId="96" fillId="0" borderId="0" xfId="0" applyNumberFormat="1" applyFont="1" applyAlignment="1">
      <alignment horizontal="left"/>
    </xf>
    <xf numFmtId="0" fontId="90" fillId="0" borderId="0" xfId="0" applyNumberFormat="1" applyFont="1" applyBorder="1" applyAlignment="1" applyProtection="1">
      <alignment horizontal="left"/>
    </xf>
    <xf numFmtId="0" fontId="90" fillId="0" borderId="0" xfId="0" applyFont="1" applyBorder="1" applyAlignment="1" applyProtection="1">
      <alignment horizontal="right"/>
    </xf>
    <xf numFmtId="49" fontId="90" fillId="0" borderId="0" xfId="0" applyNumberFormat="1" applyFont="1" applyBorder="1" applyAlignment="1" applyProtection="1">
      <alignment horizontal="left" vertical="center"/>
    </xf>
    <xf numFmtId="49" fontId="89" fillId="0" borderId="0" xfId="0" applyNumberFormat="1" applyFont="1" applyBorder="1" applyAlignment="1" applyProtection="1">
      <alignment horizontal="left" vertical="center"/>
    </xf>
    <xf numFmtId="0" fontId="89" fillId="0" borderId="0" xfId="0" applyFont="1" applyBorder="1" applyProtection="1"/>
    <xf numFmtId="0" fontId="89" fillId="0" borderId="0" xfId="0" applyFont="1" applyBorder="1" applyAlignment="1" applyProtection="1">
      <alignment horizontal="right"/>
    </xf>
    <xf numFmtId="49" fontId="94" fillId="0" borderId="0" xfId="0" applyNumberFormat="1" applyFont="1" applyBorder="1" applyAlignment="1" applyProtection="1">
      <alignment horizontal="left" vertical="center"/>
    </xf>
    <xf numFmtId="0" fontId="94" fillId="0" borderId="0" xfId="0" applyFont="1" applyFill="1" applyBorder="1" applyProtection="1"/>
    <xf numFmtId="40" fontId="94" fillId="0" borderId="0" xfId="0" applyNumberFormat="1" applyFont="1" applyBorder="1" applyAlignment="1" applyProtection="1">
      <alignment horizontal="right"/>
    </xf>
    <xf numFmtId="37" fontId="94" fillId="0" borderId="0" xfId="0" applyNumberFormat="1" applyFont="1" applyBorder="1" applyProtection="1"/>
    <xf numFmtId="173" fontId="94" fillId="0" borderId="0" xfId="0" applyNumberFormat="1" applyFont="1" applyBorder="1" applyProtection="1"/>
    <xf numFmtId="0" fontId="94" fillId="0" borderId="0" xfId="0" applyFont="1" applyProtection="1"/>
    <xf numFmtId="0" fontId="94" fillId="0" borderId="0" xfId="0" applyFont="1" applyBorder="1" applyAlignment="1" applyProtection="1">
      <alignment vertical="center" wrapText="1"/>
    </xf>
    <xf numFmtId="0" fontId="94" fillId="0" borderId="0" xfId="0" applyFont="1" applyBorder="1" applyAlignment="1" applyProtection="1">
      <alignment horizontal="right"/>
    </xf>
    <xf numFmtId="0" fontId="120" fillId="0" borderId="0" xfId="0" applyFont="1" applyAlignment="1" applyProtection="1">
      <alignment horizontal="left"/>
    </xf>
    <xf numFmtId="0" fontId="94" fillId="0" borderId="0" xfId="0" applyFont="1" applyAlignment="1">
      <alignment wrapText="1"/>
    </xf>
    <xf numFmtId="0" fontId="90" fillId="0" borderId="0" xfId="0" applyFont="1" applyFill="1" applyBorder="1" applyProtection="1"/>
    <xf numFmtId="0" fontId="90" fillId="0" borderId="0" xfId="0" applyFont="1" applyBorder="1" applyAlignment="1" applyProtection="1">
      <alignment horizontal="center"/>
    </xf>
    <xf numFmtId="175" fontId="94" fillId="0" borderId="0" xfId="0" quotePrefix="1" applyNumberFormat="1" applyFont="1" applyBorder="1" applyAlignment="1" applyProtection="1">
      <alignment horizontal="right"/>
    </xf>
    <xf numFmtId="0" fontId="95" fillId="0" borderId="0" xfId="0" applyFont="1" applyProtection="1"/>
    <xf numFmtId="0" fontId="94" fillId="0" borderId="0" xfId="0" applyFont="1" applyBorder="1" applyAlignment="1" applyProtection="1">
      <alignment vertical="top" wrapText="1"/>
    </xf>
    <xf numFmtId="37" fontId="94" fillId="0" borderId="0" xfId="0" applyNumberFormat="1" applyFont="1" applyBorder="1" applyAlignment="1" applyProtection="1">
      <alignment horizontal="right"/>
    </xf>
    <xf numFmtId="175" fontId="94" fillId="4" borderId="0" xfId="0" quotePrefix="1" applyNumberFormat="1" applyFont="1" applyFill="1" applyBorder="1" applyAlignment="1" applyProtection="1">
      <alignment horizontal="right"/>
    </xf>
    <xf numFmtId="38" fontId="94" fillId="0" borderId="0" xfId="0" applyNumberFormat="1" applyFont="1" applyBorder="1" applyProtection="1"/>
    <xf numFmtId="1" fontId="94" fillId="0" borderId="0" xfId="0" applyNumberFormat="1" applyFont="1" applyBorder="1" applyProtection="1"/>
    <xf numFmtId="39" fontId="94" fillId="0" borderId="0" xfId="0" applyNumberFormat="1" applyFont="1" applyBorder="1" applyProtection="1"/>
    <xf numFmtId="3" fontId="94" fillId="0" borderId="0" xfId="0" applyNumberFormat="1" applyFont="1" applyBorder="1" applyAlignment="1" applyProtection="1">
      <alignment horizontal="right" vertical="center"/>
    </xf>
    <xf numFmtId="173" fontId="94" fillId="0" borderId="0" xfId="0" applyNumberFormat="1" applyFont="1" applyBorder="1" applyAlignment="1" applyProtection="1">
      <alignment horizontal="right"/>
    </xf>
    <xf numFmtId="49" fontId="94" fillId="0" borderId="0" xfId="0" applyNumberFormat="1" applyFont="1" applyBorder="1" applyProtection="1"/>
    <xf numFmtId="0" fontId="94" fillId="0" borderId="0" xfId="0" applyFont="1" applyBorder="1" applyAlignment="1" applyProtection="1">
      <alignment horizontal="center"/>
    </xf>
    <xf numFmtId="0" fontId="95" fillId="0" borderId="0" xfId="0" applyFont="1" applyFill="1" applyBorder="1" applyAlignment="1" applyProtection="1">
      <alignment horizontal="center"/>
    </xf>
    <xf numFmtId="0" fontId="90"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105" fillId="0" borderId="0" xfId="0" applyFont="1" applyFill="1" applyBorder="1" applyAlignment="1" applyProtection="1">
      <alignment horizontal="right"/>
    </xf>
    <xf numFmtId="0" fontId="118" fillId="0" borderId="0" xfId="0" applyFont="1" applyProtection="1"/>
    <xf numFmtId="0" fontId="90" fillId="0" borderId="0" xfId="0" applyFont="1" applyFill="1" applyBorder="1" applyAlignment="1" applyProtection="1">
      <alignment horizontal="center"/>
    </xf>
    <xf numFmtId="49" fontId="118" fillId="0" borderId="0" xfId="0" applyNumberFormat="1" applyFont="1" applyAlignment="1" applyProtection="1">
      <alignment horizontal="right" vertical="top"/>
    </xf>
    <xf numFmtId="0" fontId="94" fillId="0" borderId="0" xfId="0" applyFont="1" applyBorder="1" applyAlignment="1" applyProtection="1">
      <alignment horizontal="left"/>
    </xf>
    <xf numFmtId="49" fontId="90" fillId="0" borderId="0" xfId="0" applyNumberFormat="1" applyFont="1" applyBorder="1" applyAlignment="1" applyProtection="1">
      <alignment horizontal="left" vertical="top"/>
    </xf>
    <xf numFmtId="0" fontId="94" fillId="0" borderId="0" xfId="0" applyFont="1" applyAlignment="1" applyProtection="1">
      <alignment horizontal="left"/>
    </xf>
    <xf numFmtId="49" fontId="90" fillId="0" borderId="0" xfId="0" applyNumberFormat="1" applyFont="1" applyAlignment="1" applyProtection="1">
      <alignment horizontal="left" vertical="center"/>
    </xf>
    <xf numFmtId="49" fontId="90" fillId="0" borderId="0" xfId="0" applyNumberFormat="1" applyFont="1" applyAlignment="1" applyProtection="1">
      <alignment horizontal="left" vertical="top"/>
    </xf>
    <xf numFmtId="0" fontId="90" fillId="0" borderId="0" xfId="0" applyFont="1" applyAlignment="1" applyProtection="1">
      <alignment horizontal="right"/>
    </xf>
    <xf numFmtId="0" fontId="94" fillId="0" borderId="0" xfId="0" applyFont="1" applyAlignment="1" applyProtection="1">
      <alignment horizontal="right"/>
    </xf>
    <xf numFmtId="49" fontId="121" fillId="0" borderId="0" xfId="0" applyNumberFormat="1" applyFont="1" applyAlignment="1" applyProtection="1">
      <alignment horizontal="right" vertical="top"/>
    </xf>
    <xf numFmtId="0" fontId="94" fillId="0" borderId="17" xfId="0" applyFont="1" applyBorder="1" applyAlignment="1" applyProtection="1">
      <alignment horizontal="center" vertical="center"/>
    </xf>
    <xf numFmtId="49" fontId="89" fillId="0" borderId="17" xfId="0" applyNumberFormat="1" applyFont="1" applyBorder="1" applyAlignment="1" applyProtection="1">
      <alignment horizontal="center" vertical="center"/>
    </xf>
    <xf numFmtId="49" fontId="96" fillId="0" borderId="17" xfId="0" applyNumberFormat="1" applyFont="1" applyBorder="1" applyAlignment="1" applyProtection="1">
      <alignment horizontal="center" vertical="center"/>
    </xf>
    <xf numFmtId="49" fontId="105" fillId="0" borderId="8" xfId="0" applyNumberFormat="1" applyFont="1" applyBorder="1" applyAlignment="1" applyProtection="1">
      <alignment horizontal="centerContinuous" vertical="center"/>
    </xf>
    <xf numFmtId="49" fontId="96" fillId="0" borderId="4" xfId="0" applyNumberFormat="1" applyFont="1" applyBorder="1" applyAlignment="1" applyProtection="1">
      <alignment horizontal="centerContinuous" vertical="center"/>
    </xf>
    <xf numFmtId="0" fontId="96" fillId="0" borderId="0" xfId="0" applyFont="1" applyAlignment="1" applyProtection="1">
      <alignment vertical="center"/>
    </xf>
    <xf numFmtId="1" fontId="95" fillId="0" borderId="18" xfId="0" applyNumberFormat="1" applyFont="1" applyBorder="1" applyAlignment="1" applyProtection="1">
      <alignment horizontal="center" vertical="center" wrapText="1"/>
    </xf>
    <xf numFmtId="3" fontId="95" fillId="0" borderId="18" xfId="0" applyNumberFormat="1" applyFont="1" applyBorder="1" applyAlignment="1" applyProtection="1">
      <alignment horizontal="center" vertical="center" wrapText="1"/>
    </xf>
    <xf numFmtId="0" fontId="95" fillId="0" borderId="18" xfId="0" applyFont="1" applyBorder="1" applyAlignment="1" applyProtection="1">
      <alignment horizontal="center" vertical="center" wrapText="1"/>
    </xf>
    <xf numFmtId="43" fontId="95" fillId="0" borderId="2" xfId="1" applyFont="1" applyBorder="1" applyAlignment="1" applyProtection="1">
      <alignment horizontal="center" vertical="center" wrapText="1"/>
    </xf>
    <xf numFmtId="0" fontId="95" fillId="0" borderId="2" xfId="0" applyFont="1" applyBorder="1" applyAlignment="1" applyProtection="1">
      <alignment horizontal="center" vertical="center" wrapText="1"/>
    </xf>
    <xf numFmtId="0" fontId="94" fillId="0" borderId="14" xfId="0" applyFont="1" applyBorder="1" applyAlignment="1" applyProtection="1">
      <alignment horizontal="left" vertical="center" indent="1"/>
    </xf>
    <xf numFmtId="0" fontId="94" fillId="0" borderId="19" xfId="0" applyFont="1" applyBorder="1" applyAlignment="1" applyProtection="1">
      <alignment horizontal="center" vertical="center"/>
    </xf>
    <xf numFmtId="0" fontId="94" fillId="0" borderId="2" xfId="0" applyFont="1" applyBorder="1" applyAlignment="1" applyProtection="1">
      <alignment horizontal="center" vertical="center"/>
    </xf>
    <xf numFmtId="0" fontId="94" fillId="0" borderId="19" xfId="0" applyFont="1" applyBorder="1" applyAlignment="1" applyProtection="1">
      <alignment horizontal="left" vertical="center" indent="1"/>
    </xf>
    <xf numFmtId="164" fontId="94" fillId="0" borderId="2" xfId="0" applyNumberFormat="1" applyFont="1" applyFill="1" applyBorder="1" applyAlignment="1" applyProtection="1">
      <alignment horizontal="left" vertical="center"/>
    </xf>
    <xf numFmtId="0" fontId="94" fillId="0" borderId="2" xfId="0" applyFont="1" applyFill="1" applyBorder="1" applyAlignment="1" applyProtection="1">
      <alignment horizontal="center" vertical="center"/>
    </xf>
    <xf numFmtId="0" fontId="96" fillId="0" borderId="0" xfId="0" applyFont="1" applyFill="1" applyAlignment="1" applyProtection="1">
      <alignment vertical="center"/>
    </xf>
    <xf numFmtId="0" fontId="94" fillId="0" borderId="10" xfId="0" applyFont="1" applyBorder="1" applyAlignment="1" applyProtection="1">
      <alignment horizontal="left" vertical="center" indent="1"/>
    </xf>
    <xf numFmtId="0" fontId="94" fillId="0" borderId="18" xfId="0" applyFont="1" applyBorder="1" applyAlignment="1" applyProtection="1">
      <alignment horizontal="center" vertical="center"/>
    </xf>
    <xf numFmtId="0" fontId="94" fillId="0" borderId="6" xfId="0" applyFont="1" applyBorder="1" applyAlignment="1" applyProtection="1">
      <alignment horizontal="left" vertical="center" indent="1"/>
    </xf>
    <xf numFmtId="0" fontId="94" fillId="0" borderId="19" xfId="0" applyFont="1" applyBorder="1" applyAlignment="1" applyProtection="1">
      <alignment horizontal="left" vertical="center" wrapText="1" indent="1"/>
    </xf>
    <xf numFmtId="0" fontId="94" fillId="0" borderId="2" xfId="0" applyFont="1" applyFill="1" applyBorder="1" applyAlignment="1" applyProtection="1">
      <alignment horizontal="left" vertical="center" indent="1"/>
    </xf>
    <xf numFmtId="0" fontId="94" fillId="0" borderId="3" xfId="0" applyFont="1" applyFill="1" applyBorder="1" applyAlignment="1" applyProtection="1">
      <alignment horizontal="left" vertical="center" indent="1"/>
    </xf>
    <xf numFmtId="0" fontId="94" fillId="0" borderId="4" xfId="0" applyFont="1" applyFill="1" applyBorder="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center" vertical="center"/>
    </xf>
    <xf numFmtId="38" fontId="96" fillId="0" borderId="0" xfId="0" applyNumberFormat="1" applyFont="1" applyAlignment="1" applyProtection="1">
      <alignment vertical="center"/>
    </xf>
    <xf numFmtId="49" fontId="95" fillId="0" borderId="17" xfId="0" applyNumberFormat="1" applyFont="1" applyBorder="1" applyAlignment="1" applyProtection="1">
      <alignment horizontal="center" vertical="center"/>
    </xf>
    <xf numFmtId="0" fontId="96" fillId="0" borderId="0" xfId="0" applyFont="1" applyAlignment="1" applyProtection="1">
      <alignment horizontal="center" vertical="center"/>
    </xf>
    <xf numFmtId="0" fontId="90"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3" fontId="96" fillId="0" borderId="0" xfId="0" applyNumberFormat="1" applyFont="1" applyAlignment="1" applyProtection="1">
      <alignment vertical="center"/>
    </xf>
    <xf numFmtId="0" fontId="104" fillId="0" borderId="6" xfId="0" applyFont="1" applyBorder="1" applyAlignment="1" applyProtection="1">
      <alignment horizontal="left" indent="2"/>
    </xf>
    <xf numFmtId="0" fontId="94" fillId="0" borderId="10" xfId="0" applyFont="1" applyBorder="1" applyAlignment="1" applyProtection="1">
      <alignment horizontal="center" vertical="center"/>
    </xf>
    <xf numFmtId="0" fontId="89" fillId="0" borderId="0" xfId="0" applyFont="1" applyAlignment="1" applyProtection="1">
      <alignment vertical="center"/>
    </xf>
    <xf numFmtId="0" fontId="105" fillId="0" borderId="0" xfId="0" applyFont="1" applyAlignment="1" applyProtection="1">
      <alignment vertical="center"/>
    </xf>
    <xf numFmtId="0" fontId="90" fillId="0" borderId="0" xfId="0" applyFont="1" applyFill="1" applyAlignment="1" applyProtection="1">
      <alignment vertical="center"/>
    </xf>
    <xf numFmtId="0" fontId="94" fillId="0" borderId="18" xfId="0" applyFont="1" applyFill="1" applyBorder="1" applyAlignment="1" applyProtection="1">
      <alignment horizontal="center" vertical="center"/>
    </xf>
    <xf numFmtId="0" fontId="94" fillId="0" borderId="2" xfId="0" applyFont="1" applyFill="1" applyBorder="1" applyAlignment="1" applyProtection="1">
      <alignment horizontal="center" vertical="top"/>
    </xf>
    <xf numFmtId="0" fontId="90" fillId="0" borderId="0" xfId="0" applyFont="1" applyFill="1" applyBorder="1" applyAlignment="1" applyProtection="1">
      <alignment vertical="center"/>
    </xf>
    <xf numFmtId="38" fontId="90" fillId="0" borderId="0" xfId="0" applyNumberFormat="1" applyFont="1" applyAlignment="1" applyProtection="1"/>
    <xf numFmtId="0" fontId="94" fillId="0" borderId="10" xfId="0" applyFont="1" applyFill="1" applyBorder="1" applyAlignment="1" applyProtection="1">
      <alignment horizontal="center" vertical="center"/>
    </xf>
    <xf numFmtId="0" fontId="94" fillId="0" borderId="20" xfId="0" applyFont="1" applyBorder="1" applyAlignment="1" applyProtection="1">
      <alignment horizontal="left" vertical="center" indent="4"/>
    </xf>
    <xf numFmtId="0" fontId="94" fillId="0" borderId="21" xfId="0" applyFont="1" applyBorder="1" applyAlignment="1" applyProtection="1">
      <alignment horizontal="center" vertical="center"/>
    </xf>
    <xf numFmtId="40" fontId="90" fillId="5" borderId="22" xfId="0" applyNumberFormat="1" applyFont="1" applyFill="1" applyBorder="1" applyAlignment="1" applyProtection="1">
      <alignment horizontal="right" vertical="center"/>
    </xf>
    <xf numFmtId="0" fontId="94" fillId="0" borderId="23" xfId="0" applyFont="1" applyBorder="1" applyAlignment="1" applyProtection="1">
      <alignment horizontal="left" vertical="center" indent="4"/>
    </xf>
    <xf numFmtId="9" fontId="90" fillId="5" borderId="22" xfId="0" applyNumberFormat="1" applyFont="1" applyFill="1" applyBorder="1" applyAlignment="1" applyProtection="1">
      <alignment horizontal="right" vertical="center"/>
    </xf>
    <xf numFmtId="1" fontId="89" fillId="0" borderId="18" xfId="0" applyNumberFormat="1" applyFont="1" applyBorder="1" applyAlignment="1" applyProtection="1">
      <alignment horizontal="center" vertical="center" wrapText="1"/>
    </xf>
    <xf numFmtId="3" fontId="89" fillId="0" borderId="18" xfId="0" applyNumberFormat="1" applyFont="1" applyBorder="1" applyAlignment="1" applyProtection="1">
      <alignment horizontal="center" vertical="center" wrapText="1"/>
    </xf>
    <xf numFmtId="3" fontId="90" fillId="3" borderId="18" xfId="0" applyNumberFormat="1" applyFont="1" applyFill="1" applyBorder="1" applyAlignment="1" applyProtection="1">
      <alignment horizontal="center"/>
    </xf>
    <xf numFmtId="3" fontId="96" fillId="3" borderId="10" xfId="0" applyNumberFormat="1" applyFont="1" applyFill="1" applyBorder="1" applyAlignment="1" applyProtection="1">
      <alignment horizontal="center"/>
    </xf>
    <xf numFmtId="38" fontId="96" fillId="3" borderId="18" xfId="0" applyNumberFormat="1" applyFont="1" applyFill="1" applyBorder="1" applyAlignment="1" applyProtection="1">
      <alignment horizontal="center"/>
    </xf>
    <xf numFmtId="3" fontId="96" fillId="3" borderId="18" xfId="0" applyNumberFormat="1" applyFont="1" applyFill="1" applyBorder="1" applyAlignment="1" applyProtection="1">
      <alignment horizontal="center"/>
    </xf>
    <xf numFmtId="0" fontId="94" fillId="0" borderId="19" xfId="0" applyFont="1" applyBorder="1" applyAlignment="1" applyProtection="1">
      <alignment horizontal="center"/>
    </xf>
    <xf numFmtId="0" fontId="94" fillId="0" borderId="2" xfId="0" applyFont="1" applyBorder="1" applyAlignment="1" applyProtection="1">
      <alignment horizontal="center"/>
    </xf>
    <xf numFmtId="0" fontId="94" fillId="0" borderId="2" xfId="0" applyFont="1" applyBorder="1" applyAlignment="1" applyProtection="1">
      <alignment horizontal="center" vertical="center" wrapText="1"/>
    </xf>
    <xf numFmtId="38" fontId="96" fillId="0" borderId="0" xfId="0" applyNumberFormat="1" applyFont="1" applyProtection="1"/>
    <xf numFmtId="0" fontId="94" fillId="0" borderId="24" xfId="0" applyFont="1" applyFill="1" applyBorder="1" applyAlignment="1" applyProtection="1">
      <alignment horizontal="center" vertical="center"/>
    </xf>
    <xf numFmtId="0" fontId="94" fillId="0" borderId="2" xfId="0" applyFont="1" applyBorder="1" applyAlignment="1" applyProtection="1">
      <alignment horizontal="center" vertical="top"/>
    </xf>
    <xf numFmtId="0" fontId="94" fillId="0" borderId="24" xfId="0" applyFont="1" applyFill="1" applyBorder="1" applyAlignment="1" applyProtection="1">
      <alignment horizontal="center" vertical="top"/>
    </xf>
    <xf numFmtId="0" fontId="94" fillId="0" borderId="5" xfId="0" applyFont="1" applyFill="1" applyBorder="1" applyAlignment="1" applyProtection="1">
      <alignment horizontal="center" vertical="center"/>
    </xf>
    <xf numFmtId="1" fontId="94" fillId="0" borderId="2" xfId="0" applyNumberFormat="1" applyFont="1" applyBorder="1" applyAlignment="1" applyProtection="1">
      <alignment horizontal="center" vertical="center"/>
    </xf>
    <xf numFmtId="0" fontId="94" fillId="0" borderId="14" xfId="0" applyFont="1" applyBorder="1" applyAlignment="1" applyProtection="1">
      <alignment horizontal="left" vertical="top" wrapText="1" indent="1"/>
    </xf>
    <xf numFmtId="1" fontId="94" fillId="0" borderId="2" xfId="0" applyNumberFormat="1" applyFont="1" applyBorder="1" applyAlignment="1" applyProtection="1">
      <alignment horizontal="center" vertical="top"/>
    </xf>
    <xf numFmtId="1" fontId="94" fillId="0" borderId="18" xfId="0" applyNumberFormat="1" applyFont="1" applyBorder="1" applyAlignment="1" applyProtection="1">
      <alignment horizontal="center" vertical="center"/>
    </xf>
    <xf numFmtId="1" fontId="94" fillId="0" borderId="18" xfId="0" applyNumberFormat="1" applyFont="1" applyBorder="1" applyAlignment="1" applyProtection="1">
      <alignment horizontal="center" vertical="center"/>
    </xf>
    <xf numFmtId="1" fontId="94" fillId="0" borderId="25" xfId="0" applyNumberFormat="1" applyFont="1" applyBorder="1" applyAlignment="1" applyProtection="1">
      <alignment horizontal="center" vertical="center"/>
    </xf>
    <xf numFmtId="1" fontId="94" fillId="0" borderId="22" xfId="0" applyNumberFormat="1" applyFont="1" applyBorder="1" applyAlignment="1" applyProtection="1">
      <alignment horizontal="center" vertical="center"/>
    </xf>
    <xf numFmtId="0" fontId="94" fillId="0" borderId="2" xfId="0" applyFont="1" applyBorder="1" applyAlignment="1" applyProtection="1">
      <alignment horizontal="center" vertical="top" wrapText="1"/>
    </xf>
    <xf numFmtId="0" fontId="94" fillId="0" borderId="24" xfId="0" applyFont="1" applyBorder="1" applyAlignment="1" applyProtection="1">
      <alignment horizontal="center" vertical="center"/>
    </xf>
    <xf numFmtId="0" fontId="94" fillId="0" borderId="140" xfId="0" applyFont="1" applyFill="1" applyBorder="1" applyAlignment="1" applyProtection="1">
      <alignment horizontal="center" vertical="center"/>
    </xf>
    <xf numFmtId="0" fontId="94" fillId="0" borderId="132" xfId="0" applyFont="1" applyFill="1" applyBorder="1" applyAlignment="1" applyProtection="1">
      <alignment horizontal="center" vertical="center"/>
    </xf>
    <xf numFmtId="0" fontId="96" fillId="0" borderId="0" xfId="0" applyFont="1" applyAlignment="1" applyProtection="1"/>
    <xf numFmtId="0" fontId="94" fillId="0" borderId="0" xfId="0" applyFont="1" applyAlignment="1" applyProtection="1">
      <alignment horizontal="left" vertical="center" wrapText="1"/>
    </xf>
    <xf numFmtId="0" fontId="94" fillId="0" borderId="0" xfId="0" applyFont="1" applyAlignment="1" applyProtection="1">
      <alignment horizontal="center" vertical="center" wrapText="1"/>
    </xf>
    <xf numFmtId="0" fontId="96" fillId="0" borderId="0" xfId="0" applyFont="1" applyAlignment="1" applyProtection="1">
      <alignment wrapText="1"/>
    </xf>
    <xf numFmtId="0" fontId="96" fillId="0" borderId="0" xfId="0" applyFont="1" applyAlignment="1"/>
    <xf numFmtId="49" fontId="94" fillId="0" borderId="17" xfId="0" applyNumberFormat="1" applyFont="1" applyBorder="1" applyAlignment="1">
      <alignment horizontal="center" vertical="center"/>
    </xf>
    <xf numFmtId="49" fontId="89" fillId="0" borderId="17" xfId="0" applyNumberFormat="1" applyFont="1" applyBorder="1" applyAlignment="1">
      <alignment horizontal="center" vertical="center"/>
    </xf>
    <xf numFmtId="49" fontId="90" fillId="0" borderId="17" xfId="0" applyNumberFormat="1" applyFont="1" applyBorder="1" applyAlignment="1">
      <alignment horizontal="center" vertical="center"/>
    </xf>
    <xf numFmtId="49" fontId="95" fillId="0" borderId="24" xfId="0" applyNumberFormat="1" applyFont="1" applyBorder="1" applyAlignment="1">
      <alignment horizontal="center" vertical="center" wrapText="1"/>
    </xf>
    <xf numFmtId="3" fontId="89" fillId="0" borderId="24" xfId="0" applyNumberFormat="1" applyFont="1" applyBorder="1" applyAlignment="1">
      <alignment horizontal="center" vertical="center"/>
    </xf>
    <xf numFmtId="3" fontId="89" fillId="0" borderId="24" xfId="0" applyNumberFormat="1" applyFont="1" applyBorder="1" applyAlignment="1">
      <alignment horizontal="center" vertical="center" wrapText="1"/>
    </xf>
    <xf numFmtId="0" fontId="96" fillId="0" borderId="0" xfId="0" applyFont="1" applyAlignment="1">
      <alignment horizontal="center" vertical="top" wrapText="1"/>
    </xf>
    <xf numFmtId="0" fontId="96" fillId="0" borderId="0" xfId="0" applyFont="1" applyBorder="1" applyAlignment="1">
      <alignment vertical="center"/>
    </xf>
    <xf numFmtId="0" fontId="94" fillId="0" borderId="0" xfId="0" applyFont="1" applyBorder="1" applyAlignment="1"/>
    <xf numFmtId="49" fontId="94" fillId="0" borderId="2" xfId="0" applyNumberFormat="1" applyFont="1" applyBorder="1" applyAlignment="1">
      <alignment horizontal="center" vertical="center"/>
    </xf>
    <xf numFmtId="49" fontId="95" fillId="6" borderId="26" xfId="0" applyNumberFormat="1" applyFont="1" applyFill="1" applyBorder="1" applyAlignment="1">
      <alignment horizontal="center" vertical="center"/>
    </xf>
    <xf numFmtId="0" fontId="94" fillId="0" borderId="0" xfId="0" applyFont="1" applyFill="1" applyBorder="1" applyAlignment="1"/>
    <xf numFmtId="0" fontId="94" fillId="0" borderId="0" xfId="0" applyFont="1" applyFill="1"/>
    <xf numFmtId="3" fontId="95" fillId="3" borderId="23" xfId="0" applyNumberFormat="1" applyFont="1" applyFill="1" applyBorder="1" applyAlignment="1">
      <alignment horizontal="left" vertical="center" wrapText="1" indent="1"/>
    </xf>
    <xf numFmtId="49" fontId="95" fillId="3" borderId="19" xfId="0" applyNumberFormat="1" applyFont="1" applyFill="1" applyBorder="1" applyAlignment="1">
      <alignment horizontal="center" vertical="center"/>
    </xf>
    <xf numFmtId="164" fontId="95" fillId="3" borderId="9" xfId="0" applyNumberFormat="1" applyFont="1" applyFill="1" applyBorder="1" applyAlignment="1">
      <alignment horizontal="left" vertical="center" wrapText="1" indent="1"/>
    </xf>
    <xf numFmtId="49" fontId="95" fillId="3" borderId="21" xfId="0" applyNumberFormat="1" applyFont="1" applyFill="1" applyBorder="1" applyAlignment="1">
      <alignment horizontal="center" vertical="center"/>
    </xf>
    <xf numFmtId="49" fontId="94" fillId="0" borderId="17" xfId="0" applyNumberFormat="1" applyFont="1" applyBorder="1" applyAlignment="1">
      <alignment horizontal="center" vertical="center" wrapText="1"/>
    </xf>
    <xf numFmtId="49" fontId="94" fillId="0" borderId="2" xfId="0" applyNumberFormat="1" applyFont="1" applyBorder="1" applyAlignment="1">
      <alignment horizontal="center" vertical="top"/>
    </xf>
    <xf numFmtId="49" fontId="94" fillId="0" borderId="18" xfId="0" applyNumberFormat="1" applyFont="1" applyBorder="1" applyAlignment="1">
      <alignment horizontal="center" vertical="center"/>
    </xf>
    <xf numFmtId="49" fontId="95" fillId="3" borderId="10" xfId="0" applyNumberFormat="1" applyFont="1" applyFill="1" applyBorder="1" applyAlignment="1">
      <alignment horizontal="center" vertical="center"/>
    </xf>
    <xf numFmtId="49" fontId="94" fillId="0" borderId="22" xfId="0" applyNumberFormat="1" applyFont="1" applyFill="1" applyBorder="1" applyAlignment="1">
      <alignment horizontal="center" vertical="center"/>
    </xf>
    <xf numFmtId="0" fontId="94" fillId="0" borderId="0" xfId="0" applyFont="1" applyAlignment="1">
      <alignment vertical="center"/>
    </xf>
    <xf numFmtId="0" fontId="94" fillId="0" borderId="27" xfId="0" applyFont="1" applyFill="1" applyBorder="1" applyAlignment="1">
      <alignment horizontal="center" vertical="center"/>
    </xf>
    <xf numFmtId="0" fontId="94" fillId="0" borderId="18" xfId="0" applyFont="1" applyFill="1" applyBorder="1" applyAlignment="1">
      <alignment horizontal="center" vertical="center"/>
    </xf>
    <xf numFmtId="0" fontId="94" fillId="0" borderId="2" xfId="0" applyFont="1" applyFill="1" applyBorder="1" applyAlignment="1">
      <alignment horizontal="center" vertical="center"/>
    </xf>
    <xf numFmtId="0" fontId="94" fillId="0" borderId="18" xfId="0" applyFont="1" applyFill="1" applyBorder="1" applyAlignment="1">
      <alignment horizontal="center" vertical="center"/>
    </xf>
    <xf numFmtId="49" fontId="94" fillId="0" borderId="18" xfId="0" applyNumberFormat="1" applyFont="1" applyFill="1" applyBorder="1" applyAlignment="1">
      <alignment horizontal="center" vertical="center"/>
    </xf>
    <xf numFmtId="164" fontId="95" fillId="2" borderId="23" xfId="0" applyNumberFormat="1" applyFont="1" applyFill="1" applyBorder="1" applyAlignment="1">
      <alignment horizontal="left" vertical="center" wrapText="1" indent="1"/>
    </xf>
    <xf numFmtId="49" fontId="95" fillId="2" borderId="19" xfId="0" applyNumberFormat="1" applyFont="1" applyFill="1" applyBorder="1" applyAlignment="1">
      <alignment horizontal="center" vertical="center"/>
    </xf>
    <xf numFmtId="0" fontId="94" fillId="0" borderId="0" xfId="0" applyFont="1" applyAlignment="1"/>
    <xf numFmtId="49" fontId="95" fillId="0" borderId="27" xfId="0" applyNumberFormat="1" applyFont="1" applyFill="1" applyBorder="1" applyAlignment="1">
      <alignment horizontal="center" vertical="center"/>
    </xf>
    <xf numFmtId="3" fontId="95" fillId="0" borderId="23" xfId="0" applyNumberFormat="1" applyFont="1" applyBorder="1" applyAlignment="1">
      <alignment horizontal="left" vertical="top" wrapText="1" indent="2"/>
    </xf>
    <xf numFmtId="49" fontId="94" fillId="0" borderId="14" xfId="0" applyNumberFormat="1" applyFont="1" applyFill="1" applyBorder="1" applyAlignment="1">
      <alignment horizontal="left" vertical="top" indent="1"/>
    </xf>
    <xf numFmtId="0" fontId="90" fillId="0" borderId="0" xfId="0" applyFont="1" applyAlignment="1">
      <alignment vertical="center"/>
    </xf>
    <xf numFmtId="3" fontId="95" fillId="3" borderId="8" xfId="0" applyNumberFormat="1" applyFont="1" applyFill="1" applyBorder="1" applyAlignment="1">
      <alignment horizontal="left" vertical="center" wrapText="1" indent="1"/>
    </xf>
    <xf numFmtId="164" fontId="95" fillId="3" borderId="23" xfId="0" applyNumberFormat="1" applyFont="1" applyFill="1" applyBorder="1" applyAlignment="1">
      <alignment horizontal="left" vertical="center" wrapText="1" indent="1"/>
    </xf>
    <xf numFmtId="49" fontId="94" fillId="0" borderId="27" xfId="0" applyNumberFormat="1" applyFont="1" applyFill="1" applyBorder="1" applyAlignment="1">
      <alignment horizontal="center" vertical="center"/>
    </xf>
    <xf numFmtId="164" fontId="95" fillId="3" borderId="23" xfId="0" applyNumberFormat="1" applyFont="1" applyFill="1" applyBorder="1" applyAlignment="1" applyProtection="1">
      <alignment horizontal="left" vertical="center" wrapText="1" indent="1"/>
    </xf>
    <xf numFmtId="49" fontId="95" fillId="3" borderId="19" xfId="0" applyNumberFormat="1" applyFont="1" applyFill="1" applyBorder="1" applyAlignment="1" applyProtection="1">
      <alignment horizontal="center" vertical="center"/>
    </xf>
    <xf numFmtId="49" fontId="95" fillId="5" borderId="26" xfId="0" applyNumberFormat="1" applyFont="1" applyFill="1" applyBorder="1" applyAlignment="1">
      <alignment horizontal="center" vertical="center"/>
    </xf>
    <xf numFmtId="3" fontId="95" fillId="2" borderId="7" xfId="0" applyNumberFormat="1" applyFont="1" applyFill="1" applyBorder="1" applyAlignment="1">
      <alignment horizontal="left" vertical="center" wrapText="1" indent="1"/>
    </xf>
    <xf numFmtId="49" fontId="95" fillId="2" borderId="24" xfId="0" applyNumberFormat="1" applyFont="1" applyFill="1" applyBorder="1" applyAlignment="1">
      <alignment horizontal="center" vertical="center"/>
    </xf>
    <xf numFmtId="3" fontId="95" fillId="0" borderId="23" xfId="0" applyNumberFormat="1" applyFont="1" applyFill="1" applyBorder="1" applyAlignment="1">
      <alignment horizontal="left" vertical="top" wrapText="1" indent="2"/>
    </xf>
    <xf numFmtId="0" fontId="96" fillId="0" borderId="14" xfId="0" applyFont="1" applyFill="1" applyBorder="1" applyAlignment="1">
      <alignment horizontal="left" vertical="top" wrapText="1" indent="2"/>
    </xf>
    <xf numFmtId="0" fontId="96" fillId="0" borderId="0" xfId="0" applyFont="1" applyFill="1" applyBorder="1" applyAlignment="1"/>
    <xf numFmtId="0" fontId="96" fillId="0" borderId="0" xfId="0" applyFont="1" applyFill="1" applyBorder="1"/>
    <xf numFmtId="0" fontId="90" fillId="0" borderId="0" xfId="0" applyFont="1" applyBorder="1" applyAlignment="1"/>
    <xf numFmtId="0" fontId="90" fillId="0" borderId="0" xfId="0" applyFont="1"/>
    <xf numFmtId="3" fontId="95" fillId="3" borderId="9" xfId="0" applyNumberFormat="1" applyFont="1" applyFill="1" applyBorder="1" applyAlignment="1">
      <alignment horizontal="left" vertical="center" wrapText="1" indent="1"/>
    </xf>
    <xf numFmtId="49" fontId="95" fillId="3" borderId="27" xfId="0" applyNumberFormat="1" applyFont="1" applyFill="1" applyBorder="1" applyAlignment="1">
      <alignment horizontal="center" vertical="center"/>
    </xf>
    <xf numFmtId="49" fontId="95" fillId="3" borderId="18" xfId="0" applyNumberFormat="1" applyFont="1" applyFill="1" applyBorder="1" applyAlignment="1">
      <alignment horizontal="center" vertical="top"/>
    </xf>
    <xf numFmtId="49" fontId="95" fillId="3" borderId="2" xfId="0" applyNumberFormat="1" applyFont="1" applyFill="1" applyBorder="1" applyAlignment="1">
      <alignment horizontal="center" vertical="top"/>
    </xf>
    <xf numFmtId="49" fontId="94" fillId="0" borderId="14" xfId="0" applyNumberFormat="1" applyFont="1" applyFill="1" applyBorder="1" applyAlignment="1">
      <alignment horizontal="center" vertical="top"/>
    </xf>
    <xf numFmtId="0" fontId="96" fillId="0" borderId="0" xfId="0" applyFont="1" applyFill="1"/>
    <xf numFmtId="0" fontId="95" fillId="3" borderId="23" xfId="0" applyFont="1" applyFill="1" applyBorder="1" applyAlignment="1">
      <alignment horizontal="left" vertical="center" wrapText="1" indent="1"/>
    </xf>
    <xf numFmtId="49" fontId="95" fillId="3" borderId="10" xfId="0" applyNumberFormat="1" applyFont="1" applyFill="1" applyBorder="1" applyAlignment="1">
      <alignment horizontal="center" vertical="center"/>
    </xf>
    <xf numFmtId="49" fontId="94" fillId="0" borderId="18" xfId="0" applyNumberFormat="1" applyFont="1" applyBorder="1" applyAlignment="1">
      <alignment horizontal="center" vertical="center"/>
    </xf>
    <xf numFmtId="49" fontId="95" fillId="3" borderId="18" xfId="0" applyNumberFormat="1" applyFont="1" applyFill="1" applyBorder="1" applyAlignment="1">
      <alignment horizontal="center" vertical="center"/>
    </xf>
    <xf numFmtId="3" fontId="95" fillId="2" borderId="27" xfId="0" applyNumberFormat="1" applyFont="1" applyFill="1" applyBorder="1" applyAlignment="1">
      <alignment horizontal="left" vertical="center" wrapText="1" indent="1"/>
    </xf>
    <xf numFmtId="49" fontId="95" fillId="2" borderId="27" xfId="0" applyNumberFormat="1" applyFont="1" applyFill="1" applyBorder="1" applyAlignment="1">
      <alignment horizontal="center" vertical="center"/>
    </xf>
    <xf numFmtId="3" fontId="95" fillId="3" borderId="2" xfId="0" applyNumberFormat="1" applyFont="1" applyFill="1" applyBorder="1" applyAlignment="1">
      <alignment horizontal="left" vertical="center" wrapText="1" indent="1"/>
    </xf>
    <xf numFmtId="49" fontId="95" fillId="3" borderId="10" xfId="0" applyNumberFormat="1" applyFont="1" applyFill="1" applyBorder="1" applyAlignment="1">
      <alignment horizontal="center" vertical="center" wrapText="1"/>
    </xf>
    <xf numFmtId="49" fontId="94" fillId="0" borderId="17" xfId="0" applyNumberFormat="1" applyFont="1" applyBorder="1" applyAlignment="1">
      <alignment horizontal="center" vertical="top"/>
    </xf>
    <xf numFmtId="49" fontId="95" fillId="3" borderId="21" xfId="0" applyNumberFormat="1" applyFont="1" applyFill="1" applyBorder="1" applyAlignment="1">
      <alignment horizontal="center" vertical="center" wrapText="1"/>
    </xf>
    <xf numFmtId="49" fontId="94" fillId="0" borderId="2" xfId="0" applyNumberFormat="1" applyFont="1" applyBorder="1" applyAlignment="1">
      <alignment horizontal="center" vertical="center" wrapText="1"/>
    </xf>
    <xf numFmtId="164" fontId="95" fillId="3" borderId="7" xfId="0" applyNumberFormat="1" applyFont="1" applyFill="1" applyBorder="1" applyAlignment="1">
      <alignment horizontal="left" vertical="center" wrapText="1" indent="1"/>
    </xf>
    <xf numFmtId="0" fontId="94" fillId="0" borderId="2" xfId="0" applyFont="1" applyBorder="1" applyAlignment="1">
      <alignment horizontal="center" vertical="center"/>
    </xf>
    <xf numFmtId="49" fontId="94" fillId="0" borderId="2" xfId="0" applyNumberFormat="1" applyFont="1" applyFill="1" applyBorder="1" applyAlignment="1">
      <alignment horizontal="center" vertical="center"/>
    </xf>
    <xf numFmtId="3" fontId="95" fillId="0" borderId="9" xfId="0" applyNumberFormat="1" applyFont="1" applyFill="1" applyBorder="1" applyAlignment="1">
      <alignment horizontal="left" vertical="top" wrapText="1" indent="1"/>
    </xf>
    <xf numFmtId="0" fontId="96" fillId="0" borderId="6" xfId="0" applyFont="1" applyFill="1" applyBorder="1" applyAlignment="1">
      <alignment horizontal="left" vertical="top" wrapText="1"/>
    </xf>
    <xf numFmtId="0" fontId="95" fillId="2" borderId="8" xfId="0" applyFont="1" applyFill="1" applyBorder="1" applyAlignment="1">
      <alignment horizontal="left" vertical="center" wrapText="1" indent="1"/>
    </xf>
    <xf numFmtId="49" fontId="94" fillId="2" borderId="19" xfId="0" applyNumberFormat="1" applyFont="1" applyFill="1" applyBorder="1" applyAlignment="1">
      <alignment horizontal="center" vertical="center"/>
    </xf>
    <xf numFmtId="49" fontId="94" fillId="0" borderId="19" xfId="0" applyNumberFormat="1" applyFont="1" applyFill="1" applyBorder="1" applyAlignment="1">
      <alignment horizontal="center" vertical="center"/>
    </xf>
    <xf numFmtId="49" fontId="94" fillId="0" borderId="19" xfId="0" applyNumberFormat="1" applyFont="1" applyFill="1" applyBorder="1" applyAlignment="1">
      <alignment horizontal="center" vertical="top"/>
    </xf>
    <xf numFmtId="164" fontId="95" fillId="3" borderId="23" xfId="0" applyNumberFormat="1" applyFont="1" applyFill="1" applyBorder="1" applyAlignment="1">
      <alignment horizontal="left" vertical="top" wrapText="1" indent="1"/>
    </xf>
    <xf numFmtId="49" fontId="95" fillId="3" borderId="19" xfId="0" applyNumberFormat="1" applyFont="1" applyFill="1" applyBorder="1" applyAlignment="1">
      <alignment horizontal="center" vertical="top"/>
    </xf>
    <xf numFmtId="49" fontId="95" fillId="2" borderId="2" xfId="14" applyNumberFormat="1" applyFont="1" applyFill="1" applyBorder="1" applyAlignment="1">
      <alignment horizontal="left" vertical="center" wrapText="1" indent="1"/>
    </xf>
    <xf numFmtId="0" fontId="95" fillId="2" borderId="2" xfId="15" applyNumberFormat="1" applyFont="1" applyFill="1" applyBorder="1" applyAlignment="1">
      <alignment horizontal="center" vertical="top"/>
    </xf>
    <xf numFmtId="0" fontId="116" fillId="0" borderId="0" xfId="13" applyFont="1"/>
    <xf numFmtId="0" fontId="94" fillId="0" borderId="7" xfId="0" applyFont="1" applyBorder="1" applyAlignment="1">
      <alignment horizontal="left" vertical="center" wrapText="1"/>
    </xf>
    <xf numFmtId="49" fontId="94" fillId="0" borderId="0" xfId="0" applyNumberFormat="1" applyFont="1" applyAlignment="1">
      <alignment horizontal="center" vertical="center"/>
    </xf>
    <xf numFmtId="0" fontId="96" fillId="0" borderId="0" xfId="0" applyFont="1" applyAlignment="1">
      <alignment horizontal="right" vertical="center"/>
    </xf>
    <xf numFmtId="38" fontId="96" fillId="0" borderId="0" xfId="0" applyNumberFormat="1" applyFont="1" applyAlignment="1">
      <alignment horizontal="right" vertical="center"/>
    </xf>
    <xf numFmtId="38" fontId="96" fillId="0" borderId="0" xfId="0" applyNumberFormat="1" applyFont="1" applyFill="1" applyAlignment="1">
      <alignment horizontal="right" vertical="center"/>
    </xf>
    <xf numFmtId="0" fontId="94" fillId="0" borderId="2" xfId="0" applyFont="1" applyBorder="1" applyAlignment="1">
      <alignment horizontal="left" vertical="center" wrapText="1" indent="1"/>
    </xf>
    <xf numFmtId="38" fontId="96" fillId="0" borderId="0" xfId="0" applyNumberFormat="1" applyFont="1"/>
    <xf numFmtId="0" fontId="104" fillId="0" borderId="0" xfId="0" applyFont="1" applyAlignment="1">
      <alignment horizontal="left" indent="2"/>
    </xf>
    <xf numFmtId="0" fontId="104" fillId="0" borderId="0" xfId="0" applyFont="1" applyAlignment="1">
      <alignment horizontal="left"/>
    </xf>
    <xf numFmtId="0" fontId="104" fillId="0" borderId="0" xfId="0" applyFont="1" applyAlignment="1">
      <alignment horizontal="left" vertical="top" indent="2"/>
    </xf>
    <xf numFmtId="0" fontId="104" fillId="0" borderId="0" xfId="0" applyFont="1" applyAlignment="1">
      <alignment horizontal="left" vertical="top"/>
    </xf>
    <xf numFmtId="49" fontId="94" fillId="0" borderId="0" xfId="0" applyNumberFormat="1" applyFont="1" applyFill="1" applyBorder="1" applyAlignment="1" applyProtection="1">
      <alignment horizontal="left" vertical="center"/>
    </xf>
    <xf numFmtId="49" fontId="94" fillId="0" borderId="0" xfId="0" applyNumberFormat="1" applyFont="1" applyAlignment="1" applyProtection="1">
      <alignment horizontal="left" vertical="center"/>
    </xf>
    <xf numFmtId="49" fontId="94" fillId="0" borderId="23" xfId="0" applyNumberFormat="1" applyFont="1" applyBorder="1" applyAlignment="1" applyProtection="1">
      <alignment horizontal="left" vertical="center" indent="1"/>
    </xf>
    <xf numFmtId="49" fontId="94" fillId="0" borderId="14" xfId="0" applyNumberFormat="1" applyFont="1" applyBorder="1" applyAlignment="1" applyProtection="1">
      <alignment horizontal="left" vertical="center"/>
    </xf>
    <xf numFmtId="38" fontId="90" fillId="3" borderId="0" xfId="0" applyNumberFormat="1" applyFont="1" applyFill="1" applyBorder="1" applyAlignment="1" applyProtection="1">
      <alignment horizontal="right" vertical="center"/>
    </xf>
    <xf numFmtId="38" fontId="90" fillId="3" borderId="5" xfId="0" applyNumberFormat="1" applyFont="1" applyFill="1" applyBorder="1" applyAlignment="1" applyProtection="1">
      <alignment horizontal="right" vertical="center"/>
    </xf>
    <xf numFmtId="0" fontId="116" fillId="0" borderId="0" xfId="16" applyFont="1" applyFill="1"/>
    <xf numFmtId="49" fontId="95" fillId="0" borderId="2" xfId="16" applyNumberFormat="1" applyFont="1" applyFill="1" applyBorder="1" applyAlignment="1">
      <alignment horizontal="center" vertical="center" wrapText="1"/>
    </xf>
    <xf numFmtId="0" fontId="96" fillId="0" borderId="0" xfId="16" applyFont="1" applyFill="1"/>
    <xf numFmtId="164" fontId="94" fillId="0" borderId="2" xfId="16" applyNumberFormat="1" applyFont="1" applyFill="1" applyBorder="1" applyAlignment="1" applyProtection="1">
      <alignment horizontal="left" vertical="center"/>
      <protection locked="0"/>
    </xf>
    <xf numFmtId="177" fontId="94" fillId="0" borderId="2" xfId="16" applyNumberFormat="1" applyFont="1" applyFill="1" applyBorder="1" applyAlignment="1" applyProtection="1">
      <alignment horizontal="right"/>
      <protection locked="0"/>
    </xf>
    <xf numFmtId="0" fontId="96" fillId="0" borderId="0" xfId="16" applyFont="1" applyFill="1" applyAlignment="1"/>
    <xf numFmtId="0" fontId="94" fillId="0" borderId="0" xfId="16" applyFont="1" applyFill="1" applyAlignment="1"/>
    <xf numFmtId="0" fontId="116" fillId="0" borderId="0" xfId="16" applyFont="1" applyFill="1" applyAlignment="1">
      <alignment vertical="top"/>
    </xf>
    <xf numFmtId="0" fontId="94" fillId="0" borderId="0" xfId="16" applyFont="1" applyFill="1" applyBorder="1" applyAlignment="1"/>
    <xf numFmtId="0" fontId="116" fillId="0" borderId="0" xfId="16" applyFont="1" applyFill="1" applyAlignment="1"/>
    <xf numFmtId="0" fontId="94" fillId="0" borderId="0" xfId="16" applyFont="1" applyFill="1" applyAlignment="1">
      <alignment vertical="top"/>
    </xf>
    <xf numFmtId="0" fontId="94" fillId="0" borderId="0" xfId="16" applyFont="1" applyFill="1" applyAlignment="1">
      <alignment horizontal="left" indent="1"/>
    </xf>
    <xf numFmtId="49" fontId="94" fillId="0" borderId="0" xfId="16" applyNumberFormat="1" applyFont="1" applyFill="1" applyAlignment="1">
      <alignment horizontal="right" vertical="center"/>
    </xf>
    <xf numFmtId="0" fontId="94" fillId="0" borderId="0" xfId="16" applyFont="1" applyFill="1" applyAlignment="1">
      <alignment horizontal="left" vertical="center" indent="1"/>
    </xf>
    <xf numFmtId="0" fontId="94" fillId="0" borderId="0" xfId="16" applyFont="1" applyFill="1" applyAlignment="1">
      <alignment vertical="center"/>
    </xf>
    <xf numFmtId="0" fontId="94" fillId="0" borderId="0" xfId="16" applyFont="1" applyFill="1" applyAlignment="1">
      <alignment horizontal="left" vertical="top" indent="1"/>
    </xf>
    <xf numFmtId="0" fontId="94" fillId="0" borderId="0" xfId="16" applyFont="1" applyFill="1" applyAlignment="1">
      <alignment horizontal="left"/>
    </xf>
    <xf numFmtId="0" fontId="116" fillId="0" borderId="0" xfId="16" applyFont="1" applyFill="1" applyBorder="1" applyAlignment="1">
      <alignment horizontal="left" vertical="center"/>
    </xf>
    <xf numFmtId="0" fontId="94" fillId="0" borderId="0" xfId="16" applyFont="1" applyFill="1" applyBorder="1" applyAlignment="1">
      <alignment horizontal="left"/>
    </xf>
    <xf numFmtId="49" fontId="94" fillId="0" borderId="0" xfId="16" applyNumberFormat="1" applyFont="1" applyFill="1" applyBorder="1" applyAlignment="1">
      <alignment horizontal="right"/>
    </xf>
    <xf numFmtId="0" fontId="96" fillId="0" borderId="16" xfId="16" applyFont="1" applyFill="1" applyBorder="1" applyAlignment="1" applyProtection="1">
      <protection locked="0"/>
    </xf>
    <xf numFmtId="49" fontId="94" fillId="0" borderId="0" xfId="16" applyNumberFormat="1" applyFont="1" applyFill="1" applyAlignment="1">
      <alignment horizontal="left" vertical="center"/>
    </xf>
    <xf numFmtId="49" fontId="104" fillId="0" borderId="0" xfId="16" applyNumberFormat="1" applyFont="1" applyFill="1" applyAlignment="1">
      <alignment horizontal="left" vertical="center"/>
    </xf>
    <xf numFmtId="0" fontId="95" fillId="0" borderId="28" xfId="0" applyFont="1" applyBorder="1" applyAlignment="1" applyProtection="1">
      <alignment horizontal="center" vertical="center" wrapText="1"/>
    </xf>
    <xf numFmtId="0" fontId="95" fillId="0" borderId="11" xfId="0" applyFont="1" applyFill="1" applyBorder="1" applyAlignment="1" applyProtection="1">
      <alignment horizontal="center" vertical="center"/>
    </xf>
    <xf numFmtId="0" fontId="95" fillId="0" borderId="11" xfId="0" applyFont="1" applyFill="1" applyBorder="1" applyAlignment="1" applyProtection="1">
      <alignment horizontal="center" vertical="center" wrapText="1"/>
    </xf>
    <xf numFmtId="0" fontId="96" fillId="0" borderId="29" xfId="0" applyFont="1" applyBorder="1" applyAlignment="1" applyProtection="1">
      <alignment vertical="center"/>
    </xf>
    <xf numFmtId="38" fontId="90" fillId="0" borderId="11" xfId="0" applyNumberFormat="1" applyFont="1" applyBorder="1" applyAlignment="1" applyProtection="1">
      <alignment vertical="center"/>
      <protection locked="0"/>
    </xf>
    <xf numFmtId="38" fontId="90" fillId="0" borderId="11" xfId="0" applyNumberFormat="1" applyFont="1" applyFill="1" applyBorder="1" applyAlignment="1" applyProtection="1">
      <alignment horizontal="right" vertical="center"/>
      <protection locked="0"/>
    </xf>
    <xf numFmtId="0" fontId="96" fillId="2" borderId="29" xfId="0" applyFont="1" applyFill="1" applyBorder="1" applyAlignment="1" applyProtection="1">
      <alignment vertical="center"/>
    </xf>
    <xf numFmtId="38" fontId="90" fillId="2" borderId="30" xfId="0" applyNumberFormat="1" applyFont="1" applyFill="1" applyBorder="1" applyAlignment="1" applyProtection="1">
      <alignment horizontal="right" vertical="center"/>
    </xf>
    <xf numFmtId="49" fontId="94" fillId="0" borderId="29" xfId="0" applyNumberFormat="1" applyFont="1" applyBorder="1" applyAlignment="1" applyProtection="1">
      <alignment horizontal="center" vertical="center" wrapText="1"/>
    </xf>
    <xf numFmtId="38" fontId="90" fillId="2" borderId="31" xfId="0" applyNumberFormat="1" applyFont="1" applyFill="1" applyBorder="1" applyAlignment="1" applyProtection="1">
      <alignment vertical="center"/>
    </xf>
    <xf numFmtId="38" fontId="90" fillId="2" borderId="31" xfId="0" applyNumberFormat="1" applyFont="1" applyFill="1" applyBorder="1" applyAlignment="1" applyProtection="1">
      <alignment horizontal="right" vertical="center"/>
    </xf>
    <xf numFmtId="0" fontId="94" fillId="0" borderId="32" xfId="0" applyFont="1" applyBorder="1" applyAlignment="1" applyProtection="1">
      <alignment horizontal="left" indent="1"/>
    </xf>
    <xf numFmtId="0" fontId="94" fillId="0" borderId="33" xfId="0" applyFont="1" applyBorder="1" applyAlignment="1" applyProtection="1">
      <alignment horizontal="left" indent="1"/>
    </xf>
    <xf numFmtId="0" fontId="96" fillId="0" borderId="29" xfId="0" applyFont="1" applyBorder="1" applyAlignment="1">
      <alignment horizontal="left" indent="1"/>
    </xf>
    <xf numFmtId="49" fontId="94" fillId="0" borderId="29" xfId="0" applyNumberFormat="1" applyFont="1" applyBorder="1" applyAlignment="1" applyProtection="1">
      <alignment horizontal="center" vertical="center"/>
    </xf>
    <xf numFmtId="0" fontId="94" fillId="0" borderId="32" xfId="0" applyFont="1" applyBorder="1" applyAlignment="1" applyProtection="1">
      <alignment horizontal="left" vertical="center" indent="1"/>
    </xf>
    <xf numFmtId="0" fontId="94" fillId="0" borderId="33" xfId="0" applyFont="1" applyBorder="1" applyAlignment="1" applyProtection="1">
      <alignment horizontal="left" vertical="center" wrapText="1" indent="1"/>
    </xf>
    <xf numFmtId="0" fontId="96" fillId="0" borderId="29" xfId="0" applyFont="1" applyBorder="1" applyAlignment="1">
      <alignment horizontal="left" wrapText="1" indent="1"/>
    </xf>
    <xf numFmtId="38" fontId="90" fillId="2" borderId="11" xfId="0" applyNumberFormat="1" applyFont="1" applyFill="1" applyBorder="1" applyAlignment="1" applyProtection="1">
      <alignment horizontal="right" vertical="center"/>
    </xf>
    <xf numFmtId="49" fontId="94" fillId="0" borderId="33" xfId="0" applyNumberFormat="1" applyFont="1" applyBorder="1" applyAlignment="1" applyProtection="1">
      <alignment horizontal="center" vertical="center"/>
    </xf>
    <xf numFmtId="49" fontId="94" fillId="2" borderId="34" xfId="0" applyNumberFormat="1" applyFont="1" applyFill="1" applyBorder="1" applyAlignment="1" applyProtection="1">
      <alignment horizontal="center" vertical="center"/>
    </xf>
    <xf numFmtId="49" fontId="94" fillId="0" borderId="11" xfId="0" applyNumberFormat="1" applyFont="1" applyBorder="1" applyAlignment="1" applyProtection="1">
      <alignment horizontal="center" vertical="center"/>
    </xf>
    <xf numFmtId="49" fontId="94" fillId="3" borderId="11" xfId="0" applyNumberFormat="1" applyFont="1" applyFill="1" applyBorder="1" applyAlignment="1" applyProtection="1">
      <alignment horizontal="center" vertical="center"/>
    </xf>
    <xf numFmtId="38" fontId="90" fillId="3" borderId="31" xfId="0" applyNumberFormat="1" applyFont="1" applyFill="1" applyBorder="1" applyAlignment="1" applyProtection="1">
      <alignment horizontal="right" vertical="center"/>
    </xf>
    <xf numFmtId="38" fontId="90" fillId="2" borderId="35" xfId="0" applyNumberFormat="1" applyFont="1" applyFill="1" applyBorder="1" applyAlignment="1" applyProtection="1">
      <alignment horizontal="right" vertical="center"/>
    </xf>
    <xf numFmtId="0" fontId="95" fillId="0" borderId="32" xfId="0" applyFont="1" applyFill="1" applyBorder="1" applyAlignment="1">
      <alignment horizontal="left" indent="2"/>
    </xf>
    <xf numFmtId="0" fontId="95" fillId="0" borderId="33" xfId="0" applyFont="1" applyFill="1" applyBorder="1" applyAlignment="1" applyProtection="1">
      <alignment horizontal="left" vertical="center"/>
    </xf>
    <xf numFmtId="0" fontId="96" fillId="0" borderId="29" xfId="0" applyFont="1" applyBorder="1" applyAlignment="1" applyProtection="1"/>
    <xf numFmtId="0" fontId="94" fillId="0" borderId="11" xfId="0" applyFont="1" applyFill="1" applyBorder="1" applyAlignment="1">
      <alignment horizontal="center" wrapText="1"/>
    </xf>
    <xf numFmtId="0" fontId="90" fillId="0" borderId="36" xfId="0" applyFont="1" applyBorder="1" applyAlignment="1" applyProtection="1">
      <alignment vertical="center"/>
    </xf>
    <xf numFmtId="0" fontId="96" fillId="0" borderId="28" xfId="0" applyFont="1" applyBorder="1" applyProtection="1"/>
    <xf numFmtId="0" fontId="96" fillId="0" borderId="37" xfId="0" applyFont="1" applyBorder="1" applyProtection="1"/>
    <xf numFmtId="0" fontId="105" fillId="0" borderId="0" xfId="0" applyFont="1" applyBorder="1" applyAlignment="1" applyProtection="1">
      <alignment horizontal="center"/>
    </xf>
    <xf numFmtId="0" fontId="105" fillId="0" borderId="11" xfId="0" applyFont="1" applyBorder="1" applyAlignment="1" applyProtection="1">
      <alignment horizontal="center"/>
      <protection locked="0"/>
    </xf>
    <xf numFmtId="0" fontId="94" fillId="0" borderId="0" xfId="0" applyFont="1" applyAlignment="1" applyProtection="1">
      <alignment horizontal="left" vertical="center" indent="1"/>
    </xf>
    <xf numFmtId="0" fontId="94" fillId="0" borderId="38" xfId="0" applyFont="1" applyBorder="1" applyAlignment="1" applyProtection="1">
      <alignment vertical="center"/>
    </xf>
    <xf numFmtId="0" fontId="94" fillId="0" borderId="0" xfId="0" applyFont="1" applyAlignment="1" applyProtection="1">
      <alignment horizontal="left" indent="1"/>
    </xf>
    <xf numFmtId="0" fontId="94" fillId="0" borderId="11" xfId="0" applyFont="1" applyBorder="1" applyAlignment="1" applyProtection="1">
      <alignment horizontal="left" vertical="center"/>
    </xf>
    <xf numFmtId="0" fontId="104" fillId="0" borderId="38" xfId="0" applyFont="1" applyBorder="1" applyAlignment="1" applyProtection="1"/>
    <xf numFmtId="0" fontId="90" fillId="0" borderId="37" xfId="0" applyFont="1" applyBorder="1" applyAlignment="1" applyProtection="1">
      <alignment vertical="center"/>
    </xf>
    <xf numFmtId="0" fontId="104" fillId="0" borderId="38" xfId="0" applyFont="1" applyBorder="1" applyAlignment="1" applyProtection="1">
      <alignment vertical="top"/>
    </xf>
    <xf numFmtId="0" fontId="96" fillId="2" borderId="33" xfId="0" applyFont="1" applyFill="1" applyBorder="1" applyProtection="1"/>
    <xf numFmtId="0" fontId="90" fillId="2" borderId="11" xfId="0" applyFont="1" applyFill="1" applyBorder="1" applyAlignment="1" applyProtection="1">
      <alignment vertical="center"/>
    </xf>
    <xf numFmtId="0" fontId="122" fillId="0" borderId="0" xfId="0" applyFont="1" applyAlignment="1" applyProtection="1">
      <alignment horizontal="left" indent="2"/>
    </xf>
    <xf numFmtId="0" fontId="94" fillId="0" borderId="33" xfId="0" applyFont="1" applyBorder="1" applyAlignment="1" applyProtection="1">
      <alignment vertical="center"/>
    </xf>
    <xf numFmtId="0" fontId="94" fillId="0" borderId="29" xfId="0" applyFont="1" applyBorder="1" applyAlignment="1" applyProtection="1">
      <alignment vertical="center"/>
    </xf>
    <xf numFmtId="0" fontId="94" fillId="0" borderId="33" xfId="0" applyFont="1" applyBorder="1" applyAlignment="1" applyProtection="1">
      <alignment horizontal="left" vertical="center" indent="1"/>
    </xf>
    <xf numFmtId="0" fontId="122" fillId="0" borderId="0" xfId="0" applyFont="1" applyAlignment="1" applyProtection="1">
      <alignment horizontal="left" vertical="top"/>
    </xf>
    <xf numFmtId="0" fontId="94" fillId="0" borderId="0" xfId="0" applyFont="1" applyAlignment="1" applyProtection="1">
      <alignment vertical="top"/>
    </xf>
    <xf numFmtId="0" fontId="96" fillId="0" borderId="0" xfId="0" applyFont="1" applyAlignment="1" applyProtection="1">
      <alignment vertical="top"/>
    </xf>
    <xf numFmtId="0" fontId="96" fillId="0" borderId="0" xfId="0" applyFont="1" applyBorder="1" applyAlignment="1" applyProtection="1">
      <alignment vertical="top"/>
    </xf>
    <xf numFmtId="0" fontId="95" fillId="2" borderId="32" xfId="0" applyFont="1" applyFill="1" applyBorder="1" applyAlignment="1" applyProtection="1">
      <alignment vertical="center"/>
    </xf>
    <xf numFmtId="0" fontId="110" fillId="0" borderId="36" xfId="0" applyFont="1" applyFill="1" applyBorder="1" applyAlignment="1" applyProtection="1">
      <alignment horizontal="left" indent="2"/>
    </xf>
    <xf numFmtId="0" fontId="96" fillId="0" borderId="28" xfId="0" applyFont="1" applyBorder="1" applyAlignment="1">
      <alignment horizontal="left" vertical="center"/>
    </xf>
    <xf numFmtId="0" fontId="96" fillId="0" borderId="28" xfId="0" applyFont="1" applyFill="1" applyBorder="1" applyAlignment="1" applyProtection="1">
      <alignment vertical="center"/>
    </xf>
    <xf numFmtId="0" fontId="89" fillId="0" borderId="28" xfId="0" applyFont="1" applyFill="1" applyBorder="1" applyAlignment="1" applyProtection="1">
      <alignment horizontal="left" vertical="center"/>
    </xf>
    <xf numFmtId="0" fontId="96" fillId="0" borderId="28" xfId="0" applyFont="1" applyFill="1" applyBorder="1" applyAlignment="1">
      <alignment horizontal="left" vertical="center"/>
    </xf>
    <xf numFmtId="0" fontId="95" fillId="0" borderId="36" xfId="0" applyFont="1" applyBorder="1" applyAlignment="1" applyProtection="1">
      <alignment horizontal="center" vertical="center" wrapText="1"/>
    </xf>
    <xf numFmtId="0" fontId="95" fillId="0" borderId="31" xfId="0" applyFont="1" applyBorder="1" applyAlignment="1" applyProtection="1">
      <alignment horizontal="center" vertical="center" wrapText="1"/>
    </xf>
    <xf numFmtId="0" fontId="96" fillId="0" borderId="0" xfId="0" applyFont="1" applyAlignment="1" applyProtection="1">
      <alignment horizontal="center" vertical="center" wrapText="1"/>
    </xf>
    <xf numFmtId="38" fontId="90" fillId="0" borderId="35" xfId="0" applyNumberFormat="1" applyFont="1" applyFill="1" applyBorder="1" applyAlignment="1" applyProtection="1">
      <alignment horizontal="right" vertical="center"/>
      <protection locked="0"/>
    </xf>
    <xf numFmtId="0" fontId="95" fillId="2" borderId="35" xfId="0" applyFont="1" applyFill="1" applyBorder="1" applyAlignment="1" applyProtection="1">
      <alignment horizontal="center" vertical="center" wrapText="1"/>
    </xf>
    <xf numFmtId="38" fontId="95" fillId="2" borderId="35" xfId="0" quotePrefix="1" applyNumberFormat="1" applyFont="1" applyFill="1" applyBorder="1" applyAlignment="1" applyProtection="1">
      <alignment horizontal="center" vertical="center"/>
    </xf>
    <xf numFmtId="49" fontId="90" fillId="2" borderId="30" xfId="0" applyNumberFormat="1" applyFont="1" applyFill="1" applyBorder="1" applyAlignment="1" applyProtection="1">
      <alignment horizontal="right" vertical="center"/>
    </xf>
    <xf numFmtId="49" fontId="90" fillId="2" borderId="35" xfId="0" applyNumberFormat="1" applyFont="1" applyFill="1" applyBorder="1" applyAlignment="1" applyProtection="1">
      <alignment horizontal="right" vertical="center"/>
    </xf>
    <xf numFmtId="0" fontId="94" fillId="0" borderId="11" xfId="0" applyFont="1" applyBorder="1" applyAlignment="1" applyProtection="1">
      <alignment horizontal="center" vertical="center"/>
    </xf>
    <xf numFmtId="49" fontId="90" fillId="3" borderId="31" xfId="0" applyNumberFormat="1" applyFont="1" applyFill="1" applyBorder="1" applyAlignment="1" applyProtection="1">
      <alignment horizontal="right" vertical="center"/>
    </xf>
    <xf numFmtId="38" fontId="95" fillId="2" borderId="35" xfId="0" applyNumberFormat="1" applyFont="1" applyFill="1" applyBorder="1" applyAlignment="1" applyProtection="1">
      <alignment horizontal="center" vertical="center"/>
    </xf>
    <xf numFmtId="0" fontId="94" fillId="0" borderId="32" xfId="0" applyFont="1" applyBorder="1" applyAlignment="1" applyProtection="1">
      <alignment horizontal="left" vertical="center" wrapText="1" indent="1"/>
    </xf>
    <xf numFmtId="38" fontId="90" fillId="0" borderId="11" xfId="0" applyNumberFormat="1" applyFont="1" applyFill="1" applyBorder="1" applyAlignment="1" applyProtection="1">
      <alignment horizontal="right"/>
      <protection locked="0"/>
    </xf>
    <xf numFmtId="0" fontId="94" fillId="0" borderId="32" xfId="0" applyFont="1" applyBorder="1" applyAlignment="1" applyProtection="1">
      <alignment horizontal="left" vertical="center" wrapText="1" indent="2"/>
    </xf>
    <xf numFmtId="49" fontId="95" fillId="2" borderId="35" xfId="0" applyNumberFormat="1" applyFont="1" applyFill="1" applyBorder="1" applyAlignment="1" applyProtection="1">
      <alignment horizontal="center" vertical="center"/>
    </xf>
    <xf numFmtId="38" fontId="90" fillId="2" borderId="39" xfId="0" applyNumberFormat="1" applyFont="1" applyFill="1" applyBorder="1" applyAlignment="1" applyProtection="1">
      <alignment horizontal="right" vertical="center"/>
    </xf>
    <xf numFmtId="0" fontId="96" fillId="2" borderId="31" xfId="0" applyFont="1" applyFill="1" applyBorder="1" applyAlignment="1" applyProtection="1">
      <alignment vertical="center"/>
    </xf>
    <xf numFmtId="0" fontId="96" fillId="0" borderId="0" xfId="0" applyFont="1" applyAlignment="1" applyProtection="1">
      <alignment horizontal="right" vertical="center" indent="1"/>
    </xf>
    <xf numFmtId="0" fontId="94" fillId="0" borderId="0" xfId="0" applyFont="1" applyAlignment="1" applyProtection="1">
      <alignment horizontal="right" vertical="center" indent="1"/>
    </xf>
    <xf numFmtId="0" fontId="94" fillId="0" borderId="0" xfId="0" applyFont="1" applyBorder="1" applyAlignment="1" applyProtection="1">
      <alignment horizontal="right" vertical="center" indent="1"/>
    </xf>
    <xf numFmtId="0" fontId="94" fillId="0" borderId="40" xfId="17" applyFont="1" applyFill="1" applyBorder="1" applyAlignment="1">
      <alignment vertical="center"/>
    </xf>
    <xf numFmtId="0" fontId="94" fillId="0" borderId="0" xfId="17" applyFont="1" applyAlignment="1">
      <alignment vertical="center"/>
    </xf>
    <xf numFmtId="0" fontId="94" fillId="0" borderId="40" xfId="17" applyFont="1" applyFill="1" applyBorder="1" applyAlignment="1">
      <alignment horizontal="centerContinuous" vertical="center"/>
    </xf>
    <xf numFmtId="0" fontId="123" fillId="0" borderId="0" xfId="17" applyFont="1" applyBorder="1" applyAlignment="1">
      <alignment vertical="top"/>
    </xf>
    <xf numFmtId="0" fontId="94" fillId="0" borderId="0" xfId="17" applyFont="1" applyBorder="1" applyAlignment="1">
      <alignment vertical="center"/>
    </xf>
    <xf numFmtId="0" fontId="94" fillId="0" borderId="0" xfId="17" applyFont="1" applyBorder="1" applyAlignment="1">
      <alignment horizontal="right" vertical="center"/>
    </xf>
    <xf numFmtId="0" fontId="124" fillId="0" borderId="0" xfId="17" applyFont="1" applyFill="1" applyAlignment="1">
      <alignment horizontal="left" vertical="center" indent="1"/>
    </xf>
    <xf numFmtId="0" fontId="124" fillId="0" borderId="0" xfId="17" applyFont="1" applyAlignment="1">
      <alignment horizontal="center" vertical="center"/>
    </xf>
    <xf numFmtId="0" fontId="94" fillId="0" borderId="0" xfId="17" applyFont="1" applyAlignment="1">
      <alignment horizontal="right" vertical="center"/>
    </xf>
    <xf numFmtId="0" fontId="124" fillId="0" borderId="0" xfId="17" applyFont="1" applyAlignment="1">
      <alignment vertical="center"/>
    </xf>
    <xf numFmtId="0" fontId="94" fillId="0" borderId="0" xfId="17" applyFont="1" applyFill="1" applyAlignment="1">
      <alignment vertical="center"/>
    </xf>
    <xf numFmtId="0" fontId="95" fillId="0" borderId="0" xfId="17" applyFont="1" applyFill="1" applyBorder="1" applyAlignment="1">
      <alignment horizontal="left"/>
    </xf>
    <xf numFmtId="0" fontId="94" fillId="0" borderId="0" xfId="17" applyFont="1" applyFill="1" applyBorder="1" applyAlignment="1">
      <alignment vertical="center"/>
    </xf>
    <xf numFmtId="0" fontId="94" fillId="0" borderId="0" xfId="17" applyFont="1" applyFill="1" applyBorder="1" applyAlignment="1">
      <alignment horizontal="right" vertical="center"/>
    </xf>
    <xf numFmtId="0" fontId="94" fillId="0" borderId="0" xfId="17" applyFont="1" applyFill="1" applyAlignment="1">
      <alignment horizontal="left" vertical="center"/>
    </xf>
    <xf numFmtId="49" fontId="94" fillId="0" borderId="0" xfId="17" applyNumberFormat="1" applyFont="1" applyFill="1" applyAlignment="1">
      <alignment horizontal="left" vertical="center"/>
    </xf>
    <xf numFmtId="0" fontId="94" fillId="0" borderId="0" xfId="17" applyFont="1" applyFill="1" applyAlignment="1">
      <alignment horizontal="right" vertical="center"/>
    </xf>
    <xf numFmtId="3" fontId="94" fillId="0" borderId="0" xfId="17" applyNumberFormat="1" applyFont="1" applyFill="1" applyAlignment="1">
      <alignment vertical="center"/>
    </xf>
    <xf numFmtId="3" fontId="94" fillId="0" borderId="0" xfId="17" applyNumberFormat="1" applyFont="1" applyFill="1" applyBorder="1" applyAlignment="1">
      <alignment vertical="center"/>
    </xf>
    <xf numFmtId="0" fontId="95" fillId="0" borderId="0" xfId="17" applyFont="1" applyFill="1" applyBorder="1" applyAlignment="1">
      <alignment horizontal="left" vertical="center"/>
    </xf>
    <xf numFmtId="0" fontId="94" fillId="0" borderId="0" xfId="17" applyFont="1" applyFill="1" applyAlignment="1">
      <alignment horizontal="center" vertical="center"/>
    </xf>
    <xf numFmtId="0" fontId="94" fillId="0" borderId="0" xfId="17" applyFont="1" applyFill="1" applyAlignment="1">
      <alignment vertical="center" wrapText="1"/>
    </xf>
    <xf numFmtId="0" fontId="94" fillId="0" borderId="0" xfId="17" applyFont="1" applyFill="1" applyAlignment="1">
      <alignment horizontal="center" vertical="top"/>
    </xf>
    <xf numFmtId="0" fontId="94" fillId="0" borderId="0" xfId="17" applyFont="1" applyFill="1" applyAlignment="1">
      <alignment vertical="top" wrapText="1"/>
    </xf>
    <xf numFmtId="0" fontId="94" fillId="0" borderId="0" xfId="17" applyFont="1" applyFill="1" applyBorder="1" applyAlignment="1">
      <alignment horizontal="right" vertical="top"/>
    </xf>
    <xf numFmtId="1" fontId="94" fillId="0" borderId="0" xfId="17" applyNumberFormat="1" applyFont="1" applyFill="1" applyAlignment="1">
      <alignment horizontal="center" vertical="center"/>
    </xf>
    <xf numFmtId="1" fontId="94" fillId="0" borderId="0" xfId="17" applyNumberFormat="1" applyFont="1" applyFill="1" applyAlignment="1">
      <alignment horizontal="left" vertical="center"/>
    </xf>
    <xf numFmtId="0" fontId="94" fillId="0" borderId="0" xfId="17" quotePrefix="1" applyFont="1" applyFill="1" applyAlignment="1">
      <alignment horizontal="left" vertical="center" wrapText="1"/>
    </xf>
    <xf numFmtId="167" fontId="94" fillId="0" borderId="0" xfId="17" applyNumberFormat="1" applyFont="1" applyFill="1" applyBorder="1" applyAlignment="1" applyProtection="1">
      <alignment horizontal="right" vertical="center"/>
    </xf>
    <xf numFmtId="0" fontId="94" fillId="0" borderId="0" xfId="17" applyFont="1" applyFill="1" applyAlignment="1">
      <alignment horizontal="left" vertical="center" wrapText="1"/>
    </xf>
    <xf numFmtId="49" fontId="94" fillId="0" borderId="0" xfId="17" applyNumberFormat="1" applyFont="1" applyFill="1" applyAlignment="1">
      <alignment horizontal="center" vertical="center"/>
    </xf>
    <xf numFmtId="3" fontId="94" fillId="0" borderId="0" xfId="17" quotePrefix="1" applyNumberFormat="1" applyFont="1" applyFill="1" applyAlignment="1">
      <alignment horizontal="left" vertical="center" wrapText="1"/>
    </xf>
    <xf numFmtId="3" fontId="94" fillId="0" borderId="0" xfId="17" applyNumberFormat="1" applyFont="1" applyFill="1" applyAlignment="1">
      <alignment vertical="center" wrapText="1"/>
    </xf>
    <xf numFmtId="0" fontId="94" fillId="0" borderId="0" xfId="17" applyNumberFormat="1" applyFont="1" applyFill="1" applyAlignment="1">
      <alignment horizontal="center" vertical="center"/>
    </xf>
    <xf numFmtId="3" fontId="94" fillId="0" borderId="0" xfId="17" applyNumberFormat="1" applyFont="1" applyFill="1" applyAlignment="1">
      <alignment horizontal="center" vertical="center" wrapText="1"/>
    </xf>
    <xf numFmtId="3" fontId="94" fillId="0" borderId="0" xfId="17" applyNumberFormat="1" applyFont="1" applyAlignment="1">
      <alignment vertical="center"/>
    </xf>
    <xf numFmtId="3" fontId="94" fillId="0" borderId="0" xfId="17" applyNumberFormat="1" applyFont="1" applyFill="1" applyAlignment="1">
      <alignment horizontal="left" vertical="center" wrapText="1"/>
    </xf>
    <xf numFmtId="0" fontId="94" fillId="0" borderId="0" xfId="17" applyFont="1" applyAlignment="1">
      <alignment horizontal="left" vertical="center"/>
    </xf>
    <xf numFmtId="0" fontId="94" fillId="0" borderId="0" xfId="17" applyFont="1" applyAlignment="1">
      <alignment horizontal="center" vertical="center"/>
    </xf>
    <xf numFmtId="0" fontId="94" fillId="0" borderId="0" xfId="17" applyFont="1" applyFill="1" applyAlignment="1">
      <alignment horizontal="left" vertical="top"/>
    </xf>
    <xf numFmtId="49" fontId="94" fillId="0" borderId="0" xfId="17" applyNumberFormat="1" applyFont="1" applyFill="1" applyAlignment="1">
      <alignment horizontal="center" vertical="top"/>
    </xf>
    <xf numFmtId="3" fontId="94" fillId="0" borderId="0" xfId="17" applyNumberFormat="1" applyFont="1" applyFill="1" applyAlignment="1">
      <alignment horizontal="left" vertical="top" wrapText="1"/>
    </xf>
    <xf numFmtId="0" fontId="94" fillId="0" borderId="0" xfId="17" applyFont="1" applyFill="1" applyBorder="1" applyAlignment="1">
      <alignment horizontal="left" vertical="center"/>
    </xf>
    <xf numFmtId="0" fontId="95" fillId="0" borderId="0" xfId="17" quotePrefix="1" applyFont="1" applyFill="1" applyAlignment="1">
      <alignment horizontal="left" vertical="center"/>
    </xf>
    <xf numFmtId="0" fontId="95" fillId="0" borderId="0" xfId="17" applyFont="1" applyFill="1" applyAlignment="1">
      <alignment horizontal="right" vertical="center"/>
    </xf>
    <xf numFmtId="0" fontId="94" fillId="0" borderId="0" xfId="17" applyFont="1" applyFill="1" applyAlignment="1" applyProtection="1">
      <alignment horizontal="left" vertical="center"/>
    </xf>
    <xf numFmtId="0" fontId="95" fillId="0" borderId="0" xfId="18" applyFont="1" applyFill="1" applyBorder="1" applyAlignment="1">
      <alignment vertical="center"/>
    </xf>
    <xf numFmtId="0" fontId="94" fillId="0" borderId="0" xfId="18" applyFont="1" applyFill="1" applyBorder="1" applyAlignment="1">
      <alignment vertical="center"/>
    </xf>
    <xf numFmtId="0" fontId="94" fillId="0" borderId="0" xfId="18" applyFont="1" applyFill="1" applyBorder="1" applyAlignment="1">
      <alignment horizontal="right" vertical="center"/>
    </xf>
    <xf numFmtId="0" fontId="114" fillId="0" borderId="0" xfId="0" quotePrefix="1" applyFont="1" applyFill="1" applyBorder="1" applyAlignment="1">
      <alignment horizontal="left" vertical="center"/>
    </xf>
    <xf numFmtId="0" fontId="94" fillId="0" borderId="0" xfId="18" applyFont="1" applyFill="1" applyAlignment="1">
      <alignment horizontal="left" vertical="center"/>
    </xf>
    <xf numFmtId="49" fontId="94" fillId="0" borderId="0" xfId="18" applyNumberFormat="1" applyFont="1" applyFill="1" applyAlignment="1">
      <alignment horizontal="left" vertical="center"/>
    </xf>
    <xf numFmtId="0" fontId="94" fillId="0" borderId="0" xfId="18" applyFont="1" applyFill="1" applyAlignment="1">
      <alignment horizontal="center" vertical="center"/>
    </xf>
    <xf numFmtId="0" fontId="94" fillId="0" borderId="0" xfId="18" applyFont="1" applyFill="1" applyAlignment="1">
      <alignment vertical="center" wrapText="1"/>
    </xf>
    <xf numFmtId="0" fontId="94" fillId="0" borderId="0" xfId="18" applyFont="1" applyFill="1" applyAlignment="1">
      <alignment vertical="center"/>
    </xf>
    <xf numFmtId="0" fontId="94" fillId="0" borderId="0" xfId="18" applyNumberFormat="1" applyFont="1" applyFill="1" applyAlignment="1">
      <alignment horizontal="center" vertical="center"/>
    </xf>
    <xf numFmtId="3" fontId="94" fillId="0" borderId="0" xfId="18" applyNumberFormat="1" applyFont="1" applyFill="1" applyAlignment="1">
      <alignment vertical="center"/>
    </xf>
    <xf numFmtId="0" fontId="94" fillId="0" borderId="0" xfId="18" applyFont="1" applyFill="1" applyAlignment="1">
      <alignment horizontal="center" vertical="top"/>
    </xf>
    <xf numFmtId="3" fontId="94" fillId="0" borderId="0" xfId="18" applyNumberFormat="1" applyFont="1" applyFill="1" applyBorder="1" applyAlignment="1">
      <alignment vertical="center"/>
    </xf>
    <xf numFmtId="38" fontId="94" fillId="0" borderId="0" xfId="18" applyNumberFormat="1" applyFont="1" applyFill="1" applyAlignment="1">
      <alignment horizontal="left" vertical="center" wrapText="1"/>
    </xf>
    <xf numFmtId="0" fontId="94" fillId="0" borderId="0" xfId="18" applyFont="1" applyFill="1" applyAlignment="1">
      <alignment horizontal="left" vertical="center" wrapText="1"/>
    </xf>
    <xf numFmtId="0" fontId="94" fillId="0" borderId="0" xfId="18" quotePrefix="1" applyFont="1" applyFill="1" applyAlignment="1">
      <alignment horizontal="left" vertical="center" wrapText="1"/>
    </xf>
    <xf numFmtId="1" fontId="94" fillId="0" borderId="0" xfId="18" applyNumberFormat="1" applyFont="1" applyFill="1" applyAlignment="1">
      <alignment horizontal="center" vertical="center"/>
    </xf>
    <xf numFmtId="0" fontId="94" fillId="0" borderId="0" xfId="18" quotePrefix="1" applyFont="1" applyFill="1" applyAlignment="1">
      <alignment horizontal="left" vertical="center"/>
    </xf>
    <xf numFmtId="1" fontId="94" fillId="0" borderId="0" xfId="18" quotePrefix="1" applyNumberFormat="1" applyFont="1" applyFill="1" applyAlignment="1">
      <alignment horizontal="center" vertical="center"/>
    </xf>
    <xf numFmtId="0" fontId="94" fillId="0" borderId="0" xfId="18" applyFont="1" applyFill="1" applyAlignment="1">
      <alignment horizontal="left" vertical="top"/>
    </xf>
    <xf numFmtId="1" fontId="94" fillId="0" borderId="0" xfId="18" applyNumberFormat="1" applyFont="1" applyFill="1" applyAlignment="1">
      <alignment horizontal="center" vertical="top"/>
    </xf>
    <xf numFmtId="0" fontId="94" fillId="0" borderId="0" xfId="18" applyFont="1" applyFill="1" applyAlignment="1">
      <alignment vertical="top" wrapText="1"/>
    </xf>
    <xf numFmtId="0" fontId="94" fillId="0" borderId="0" xfId="18" applyFont="1" applyFill="1" applyBorder="1" applyAlignment="1">
      <alignment horizontal="right" vertical="top"/>
    </xf>
    <xf numFmtId="0" fontId="94" fillId="0" borderId="0" xfId="18" applyFont="1" applyAlignment="1">
      <alignment horizontal="left" vertical="center"/>
    </xf>
    <xf numFmtId="1" fontId="94" fillId="0" borderId="0" xfId="18" applyNumberFormat="1" applyFont="1" applyAlignment="1">
      <alignment horizontal="center" vertical="center"/>
    </xf>
    <xf numFmtId="0" fontId="94" fillId="0" borderId="0" xfId="18" applyFont="1" applyAlignment="1">
      <alignment vertical="center" wrapText="1"/>
    </xf>
    <xf numFmtId="0" fontId="94" fillId="0" borderId="0" xfId="18" applyFont="1" applyAlignment="1">
      <alignment vertical="center"/>
    </xf>
    <xf numFmtId="167" fontId="94" fillId="0" borderId="0" xfId="18" applyNumberFormat="1" applyFont="1" applyFill="1" applyBorder="1" applyAlignment="1" applyProtection="1">
      <alignment horizontal="right" vertical="center"/>
    </xf>
    <xf numFmtId="0" fontId="94" fillId="0" borderId="0" xfId="18" applyFont="1" applyAlignment="1">
      <alignment horizontal="center" vertical="center"/>
    </xf>
    <xf numFmtId="0" fontId="94" fillId="0" borderId="0" xfId="18" applyFont="1" applyAlignment="1">
      <alignment horizontal="left" vertical="center" wrapText="1"/>
    </xf>
    <xf numFmtId="49" fontId="94" fillId="7" borderId="0" xfId="18" applyNumberFormat="1" applyFont="1" applyFill="1" applyBorder="1" applyAlignment="1">
      <alignment horizontal="left" vertical="center"/>
    </xf>
    <xf numFmtId="49" fontId="94" fillId="7" borderId="0" xfId="18" applyNumberFormat="1" applyFont="1" applyFill="1" applyBorder="1" applyAlignment="1">
      <alignment horizontal="center" vertical="center"/>
    </xf>
    <xf numFmtId="0" fontId="94" fillId="7" borderId="0" xfId="18" applyNumberFormat="1" applyFont="1" applyFill="1" applyBorder="1" applyAlignment="1">
      <alignment vertical="center" wrapText="1"/>
    </xf>
    <xf numFmtId="49" fontId="94" fillId="7" borderId="0" xfId="18" applyNumberFormat="1" applyFont="1" applyFill="1" applyBorder="1" applyAlignment="1">
      <alignment horizontal="right" vertical="center"/>
    </xf>
    <xf numFmtId="49" fontId="94" fillId="0" borderId="0" xfId="18" applyNumberFormat="1" applyFont="1" applyFill="1" applyBorder="1" applyAlignment="1">
      <alignment horizontal="left" vertical="center"/>
    </xf>
    <xf numFmtId="49" fontId="94" fillId="0" borderId="0" xfId="18" applyNumberFormat="1" applyFont="1" applyFill="1" applyBorder="1" applyAlignment="1">
      <alignment horizontal="left" vertical="center" wrapText="1"/>
    </xf>
    <xf numFmtId="49" fontId="94" fillId="0" borderId="0" xfId="18" applyNumberFormat="1" applyFont="1" applyFill="1" applyBorder="1" applyAlignment="1">
      <alignment horizontal="center" vertical="center"/>
    </xf>
    <xf numFmtId="0" fontId="94" fillId="0" borderId="0" xfId="18" applyNumberFormat="1" applyFont="1" applyFill="1" applyBorder="1" applyAlignment="1">
      <alignment vertical="center" wrapText="1"/>
    </xf>
    <xf numFmtId="49" fontId="94" fillId="0" borderId="0" xfId="18" applyNumberFormat="1" applyFont="1" applyFill="1" applyBorder="1" applyAlignment="1">
      <alignment horizontal="right" vertical="center"/>
    </xf>
    <xf numFmtId="0" fontId="94" fillId="0" borderId="0" xfId="18" applyFont="1" applyBorder="1" applyAlignment="1">
      <alignment vertical="center"/>
    </xf>
    <xf numFmtId="0" fontId="94" fillId="0" borderId="0" xfId="18" applyFont="1" applyAlignment="1">
      <alignment horizontal="left" vertical="top"/>
    </xf>
    <xf numFmtId="0" fontId="94" fillId="0" borderId="0" xfId="18" applyFont="1" applyAlignment="1">
      <alignment horizontal="center" vertical="top"/>
    </xf>
    <xf numFmtId="0" fontId="94" fillId="0" borderId="0" xfId="18" applyFont="1" applyAlignment="1">
      <alignment horizontal="left" vertical="top" wrapText="1"/>
    </xf>
    <xf numFmtId="0" fontId="94" fillId="0" borderId="0" xfId="18" applyFont="1" applyBorder="1" applyAlignment="1">
      <alignment horizontal="left" vertical="center"/>
    </xf>
    <xf numFmtId="0" fontId="94" fillId="0" borderId="0" xfId="18" quotePrefix="1" applyFont="1" applyAlignment="1">
      <alignment horizontal="left" vertical="top"/>
    </xf>
    <xf numFmtId="0" fontId="94" fillId="0" borderId="0" xfId="18" applyFont="1" applyAlignment="1">
      <alignment horizontal="right" vertical="center"/>
    </xf>
    <xf numFmtId="0" fontId="94" fillId="0" borderId="0" xfId="18" applyFont="1" applyAlignment="1" applyProtection="1">
      <alignment vertical="center"/>
    </xf>
    <xf numFmtId="0" fontId="89" fillId="2" borderId="8" xfId="0" applyFont="1" applyFill="1" applyBorder="1" applyAlignment="1">
      <alignment horizontal="left"/>
    </xf>
    <xf numFmtId="0" fontId="89" fillId="2" borderId="3" xfId="0" applyFont="1" applyFill="1" applyBorder="1"/>
    <xf numFmtId="0" fontId="96" fillId="2" borderId="3" xfId="0" applyFont="1" applyFill="1" applyBorder="1"/>
    <xf numFmtId="0" fontId="96" fillId="2" borderId="4" xfId="0" applyFont="1" applyFill="1" applyBorder="1"/>
    <xf numFmtId="0" fontId="89" fillId="2" borderId="0" xfId="0" applyFont="1" applyFill="1" applyBorder="1" applyAlignment="1"/>
    <xf numFmtId="0" fontId="89" fillId="2" borderId="0" xfId="0" applyFont="1" applyFill="1" applyBorder="1"/>
    <xf numFmtId="0" fontId="96" fillId="2" borderId="0" xfId="0" applyFont="1" applyFill="1" applyBorder="1"/>
    <xf numFmtId="0" fontId="96" fillId="2" borderId="5" xfId="0" applyFont="1" applyFill="1" applyBorder="1"/>
    <xf numFmtId="0" fontId="117" fillId="2" borderId="0" xfId="0" applyFont="1" applyFill="1" applyAlignment="1">
      <alignment horizontal="left"/>
    </xf>
    <xf numFmtId="0" fontId="96" fillId="2" borderId="0" xfId="0" applyFont="1" applyFill="1" applyAlignment="1"/>
    <xf numFmtId="0" fontId="96" fillId="2" borderId="0" xfId="0" applyFont="1" applyFill="1" applyBorder="1" applyAlignment="1">
      <alignment vertical="center"/>
    </xf>
    <xf numFmtId="0" fontId="96" fillId="2" borderId="0" xfId="0" applyFont="1" applyFill="1" applyBorder="1" applyAlignment="1">
      <alignment horizontal="left" vertical="center"/>
    </xf>
    <xf numFmtId="0" fontId="96" fillId="2" borderId="5" xfId="0" applyFont="1" applyFill="1" applyBorder="1" applyAlignment="1">
      <alignment horizontal="left" vertical="center"/>
    </xf>
    <xf numFmtId="0" fontId="89" fillId="2" borderId="8" xfId="0" applyFont="1" applyFill="1" applyBorder="1" applyAlignment="1" applyProtection="1">
      <alignment vertical="center"/>
    </xf>
    <xf numFmtId="0" fontId="95" fillId="2" borderId="3" xfId="0" applyFont="1" applyFill="1" applyBorder="1" applyAlignment="1" applyProtection="1">
      <alignment vertical="center"/>
    </xf>
    <xf numFmtId="0" fontId="96" fillId="2" borderId="3" xfId="0" applyFont="1" applyFill="1" applyBorder="1" applyAlignment="1" applyProtection="1">
      <alignment vertical="center"/>
    </xf>
    <xf numFmtId="0" fontId="96" fillId="0" borderId="7" xfId="0" applyFont="1" applyFill="1" applyBorder="1" applyAlignment="1" applyProtection="1">
      <alignment vertical="center"/>
    </xf>
    <xf numFmtId="0" fontId="96" fillId="0" borderId="5" xfId="0" applyFont="1" applyFill="1" applyBorder="1" applyAlignment="1" applyProtection="1">
      <alignment vertical="center"/>
    </xf>
    <xf numFmtId="0" fontId="94" fillId="0" borderId="23" xfId="0" applyFont="1" applyBorder="1" applyAlignment="1" applyProtection="1">
      <alignment horizontal="left" vertical="center" indent="1"/>
    </xf>
    <xf numFmtId="0" fontId="96" fillId="0" borderId="14" xfId="0" applyFont="1" applyBorder="1" applyAlignment="1" applyProtection="1">
      <alignment vertical="center"/>
    </xf>
    <xf numFmtId="0" fontId="94" fillId="0" borderId="19" xfId="0" applyFont="1" applyBorder="1" applyAlignment="1" applyProtection="1">
      <alignment horizontal="right" vertical="center"/>
    </xf>
    <xf numFmtId="0" fontId="94" fillId="0" borderId="7" xfId="0" applyFont="1" applyFill="1" applyBorder="1" applyAlignment="1" applyProtection="1">
      <alignment horizontal="center" vertical="center"/>
    </xf>
    <xf numFmtId="38" fontId="90" fillId="0" borderId="5" xfId="0" applyNumberFormat="1" applyFont="1" applyFill="1" applyBorder="1" applyAlignment="1" applyProtection="1">
      <alignment vertical="center"/>
    </xf>
    <xf numFmtId="0" fontId="104" fillId="0" borderId="14" xfId="0" applyFont="1" applyBorder="1" applyAlignment="1" applyProtection="1">
      <alignment vertical="center"/>
    </xf>
    <xf numFmtId="38" fontId="90" fillId="0" borderId="5" xfId="0" applyNumberFormat="1" applyFont="1" applyFill="1" applyBorder="1" applyAlignment="1" applyProtection="1"/>
    <xf numFmtId="0" fontId="94" fillId="0" borderId="9" xfId="0" applyFont="1" applyFill="1" applyBorder="1" applyAlignment="1" applyProtection="1">
      <alignment horizontal="center" vertical="center"/>
    </xf>
    <xf numFmtId="38" fontId="90" fillId="0" borderId="10" xfId="0" applyNumberFormat="1" applyFont="1" applyFill="1" applyBorder="1" applyAlignment="1" applyProtection="1">
      <alignment vertical="center"/>
    </xf>
    <xf numFmtId="0" fontId="96" fillId="2" borderId="4" xfId="0" applyFont="1" applyFill="1" applyBorder="1" applyAlignment="1" applyProtection="1">
      <alignment vertical="center"/>
    </xf>
    <xf numFmtId="0" fontId="89" fillId="2" borderId="9" xfId="0" applyFont="1" applyFill="1" applyBorder="1" applyAlignment="1">
      <alignment vertical="center"/>
    </xf>
    <xf numFmtId="0" fontId="105" fillId="2" borderId="6" xfId="0" applyFont="1" applyFill="1" applyBorder="1" applyAlignment="1">
      <alignment horizontal="left" vertical="center" indent="1"/>
    </xf>
    <xf numFmtId="0" fontId="96" fillId="2" borderId="6" xfId="0" applyFont="1" applyFill="1" applyBorder="1" applyAlignment="1">
      <alignment horizontal="left" vertical="center"/>
    </xf>
    <xf numFmtId="0" fontId="96" fillId="0" borderId="7" xfId="0" applyFont="1" applyBorder="1"/>
    <xf numFmtId="0" fontId="90" fillId="0" borderId="0" xfId="0" applyNumberFormat="1" applyFont="1" applyFill="1" applyBorder="1" applyAlignment="1">
      <alignment horizontal="left" vertical="center"/>
    </xf>
    <xf numFmtId="0" fontId="90" fillId="0" borderId="7" xfId="0" applyFont="1" applyBorder="1"/>
    <xf numFmtId="0" fontId="94" fillId="0" borderId="7" xfId="0" applyFont="1" applyBorder="1"/>
    <xf numFmtId="0" fontId="95" fillId="0" borderId="0" xfId="0" applyFont="1" applyBorder="1" applyAlignment="1">
      <alignment horizontal="center"/>
    </xf>
    <xf numFmtId="0" fontId="95" fillId="0" borderId="23" xfId="0" applyFont="1" applyBorder="1" applyAlignment="1">
      <alignment horizontal="left"/>
    </xf>
    <xf numFmtId="0" fontId="95" fillId="0" borderId="19" xfId="0" applyFont="1" applyBorder="1" applyAlignment="1">
      <alignment horizontal="left" indent="1"/>
    </xf>
    <xf numFmtId="49" fontId="94" fillId="0" borderId="2" xfId="0" applyNumberFormat="1" applyFont="1" applyBorder="1" applyAlignment="1">
      <alignment horizontal="center"/>
    </xf>
    <xf numFmtId="0" fontId="94" fillId="0" borderId="2" xfId="0" applyFont="1" applyBorder="1" applyAlignment="1">
      <alignment horizontal="center"/>
    </xf>
    <xf numFmtId="0" fontId="94" fillId="0" borderId="23" xfId="0" applyFont="1" applyBorder="1" applyAlignment="1">
      <alignment horizontal="left" indent="1"/>
    </xf>
    <xf numFmtId="0" fontId="94" fillId="0" borderId="19" xfId="0" applyFont="1" applyBorder="1" applyAlignment="1">
      <alignment horizontal="left" indent="2"/>
    </xf>
    <xf numFmtId="0" fontId="95" fillId="0" borderId="19" xfId="0" applyFont="1" applyBorder="1" applyAlignment="1">
      <alignment horizontal="left" indent="2"/>
    </xf>
    <xf numFmtId="0" fontId="94" fillId="0" borderId="19" xfId="0" applyFont="1" applyBorder="1" applyAlignment="1">
      <alignment horizontal="left" indent="4"/>
    </xf>
    <xf numFmtId="0" fontId="95" fillId="5" borderId="23" xfId="0" applyFont="1" applyFill="1" applyBorder="1" applyAlignment="1">
      <alignment horizontal="left" indent="2"/>
    </xf>
    <xf numFmtId="0" fontId="95" fillId="5" borderId="19" xfId="0" applyFont="1" applyFill="1" applyBorder="1" applyAlignment="1">
      <alignment horizontal="left" indent="2"/>
    </xf>
    <xf numFmtId="0" fontId="94" fillId="5" borderId="2" xfId="0" applyFont="1" applyFill="1" applyBorder="1"/>
    <xf numFmtId="0" fontId="90" fillId="0" borderId="5" xfId="0" applyFont="1" applyBorder="1"/>
    <xf numFmtId="0" fontId="95" fillId="0" borderId="6" xfId="0" applyFont="1" applyBorder="1" applyAlignment="1">
      <alignment horizontal="centerContinuous"/>
    </xf>
    <xf numFmtId="0" fontId="90" fillId="0" borderId="10" xfId="0" applyFont="1" applyBorder="1" applyAlignment="1">
      <alignment horizontal="centerContinuous"/>
    </xf>
    <xf numFmtId="0" fontId="96" fillId="0" borderId="9" xfId="0" applyFont="1" applyBorder="1"/>
    <xf numFmtId="0" fontId="96" fillId="0" borderId="6" xfId="0" applyFont="1" applyBorder="1"/>
    <xf numFmtId="0" fontId="90" fillId="0" borderId="9" xfId="0" applyFont="1" applyBorder="1"/>
    <xf numFmtId="0" fontId="90" fillId="0" borderId="10" xfId="0" applyFont="1" applyBorder="1"/>
    <xf numFmtId="0" fontId="96" fillId="0" borderId="0" xfId="4" applyNumberFormat="1" applyFont="1" applyBorder="1" applyAlignment="1">
      <alignment vertical="center"/>
    </xf>
    <xf numFmtId="0" fontId="96" fillId="0" borderId="7" xfId="4" applyNumberFormat="1" applyFont="1" applyBorder="1" applyAlignment="1">
      <alignment vertical="center"/>
    </xf>
    <xf numFmtId="0" fontId="96" fillId="0" borderId="3" xfId="4" applyNumberFormat="1" applyFont="1" applyBorder="1" applyAlignment="1">
      <alignment vertical="center"/>
    </xf>
    <xf numFmtId="0" fontId="96" fillId="0" borderId="17" xfId="4" applyNumberFormat="1" applyFont="1" applyBorder="1" applyAlignment="1">
      <alignment vertical="center"/>
    </xf>
    <xf numFmtId="0" fontId="96" fillId="0" borderId="19" xfId="4" applyNumberFormat="1" applyFont="1" applyBorder="1" applyAlignment="1">
      <alignment horizontal="left" vertical="center"/>
    </xf>
    <xf numFmtId="171" fontId="96" fillId="0" borderId="0" xfId="4" applyNumberFormat="1" applyFont="1" applyBorder="1" applyAlignment="1" applyProtection="1">
      <alignment horizontal="center"/>
    </xf>
    <xf numFmtId="0" fontId="96" fillId="0" borderId="141" xfId="4" applyNumberFormat="1" applyFont="1" applyBorder="1" applyAlignment="1">
      <alignment vertical="center"/>
    </xf>
    <xf numFmtId="0" fontId="96" fillId="0" borderId="0" xfId="4" applyNumberFormat="1" applyFont="1" applyBorder="1" applyAlignment="1">
      <alignment wrapText="1"/>
    </xf>
    <xf numFmtId="0" fontId="105" fillId="0" borderId="11" xfId="4" applyNumberFormat="1" applyFont="1" applyBorder="1" applyAlignment="1" applyProtection="1">
      <alignment horizontal="center" vertical="center"/>
      <protection locked="0"/>
    </xf>
    <xf numFmtId="164" fontId="94" fillId="0" borderId="0" xfId="0" applyNumberFormat="1" applyFont="1"/>
    <xf numFmtId="164" fontId="96" fillId="0" borderId="0" xfId="0" applyNumberFormat="1" applyFont="1"/>
    <xf numFmtId="166" fontId="94" fillId="0" borderId="0" xfId="0" applyNumberFormat="1" applyFont="1" applyAlignment="1">
      <alignment horizontal="left"/>
    </xf>
    <xf numFmtId="0" fontId="96" fillId="0" borderId="0" xfId="0" applyFont="1" applyAlignment="1">
      <alignment vertical="top"/>
    </xf>
    <xf numFmtId="0" fontId="125" fillId="0" borderId="0" xfId="0" applyFont="1"/>
    <xf numFmtId="0" fontId="90" fillId="0" borderId="0" xfId="0" applyFont="1" applyAlignment="1">
      <alignment vertical="top" wrapText="1"/>
    </xf>
    <xf numFmtId="0" fontId="96" fillId="0" borderId="0" xfId="4" applyFont="1" applyAlignment="1">
      <alignment wrapText="1"/>
    </xf>
    <xf numFmtId="0" fontId="96" fillId="0" borderId="0" xfId="4" applyFont="1" applyAlignment="1">
      <alignment vertical="center"/>
    </xf>
    <xf numFmtId="0" fontId="95" fillId="0" borderId="32" xfId="4" applyFont="1" applyFill="1" applyBorder="1" applyAlignment="1">
      <alignment horizontal="center" vertical="center"/>
    </xf>
    <xf numFmtId="0" fontId="95" fillId="0" borderId="11" xfId="4" applyFont="1" applyBorder="1" applyAlignment="1">
      <alignment horizontal="center" vertical="center" wrapText="1"/>
    </xf>
    <xf numFmtId="0" fontId="89" fillId="0" borderId="11" xfId="4" applyFont="1" applyBorder="1" applyAlignment="1">
      <alignment horizontal="left" vertical="center" wrapText="1" indent="1"/>
    </xf>
    <xf numFmtId="0" fontId="96" fillId="0" borderId="0" xfId="4" applyFont="1" applyAlignment="1">
      <alignment horizontal="left" vertical="center"/>
    </xf>
    <xf numFmtId="0" fontId="95" fillId="0" borderId="30" xfId="4" applyFont="1" applyBorder="1" applyAlignment="1">
      <alignment horizontal="left" vertical="center" wrapText="1" indent="2"/>
    </xf>
    <xf numFmtId="0" fontId="95" fillId="0" borderId="11" xfId="4" applyFont="1" applyBorder="1" applyAlignment="1">
      <alignment horizontal="left" vertical="center" wrapText="1" indent="1"/>
    </xf>
    <xf numFmtId="0" fontId="89" fillId="0" borderId="0" xfId="4" applyFont="1" applyFill="1" applyBorder="1" applyAlignment="1">
      <alignment wrapText="1"/>
    </xf>
    <xf numFmtId="38" fontId="105" fillId="0" borderId="0" xfId="4" applyNumberFormat="1" applyFont="1" applyFill="1" applyBorder="1"/>
    <xf numFmtId="0" fontId="94" fillId="0" borderId="0" xfId="4" applyNumberFormat="1" applyFont="1" applyBorder="1" applyAlignment="1">
      <alignment horizontal="left" vertical="center" wrapText="1"/>
    </xf>
    <xf numFmtId="0" fontId="96" fillId="0" borderId="0" xfId="4" applyFont="1" applyBorder="1" applyAlignment="1">
      <alignment horizontal="left" vertical="center" wrapText="1"/>
    </xf>
    <xf numFmtId="0" fontId="96" fillId="0" borderId="0" xfId="4" applyFont="1" applyAlignment="1">
      <alignment horizontal="left"/>
    </xf>
    <xf numFmtId="0" fontId="96" fillId="0" borderId="0" xfId="4" applyFont="1" applyAlignment="1"/>
    <xf numFmtId="49" fontId="126" fillId="0" borderId="0" xfId="0" applyNumberFormat="1" applyFont="1" applyFill="1" applyBorder="1" applyAlignment="1">
      <alignment horizontal="centerContinuous" vertical="top"/>
    </xf>
    <xf numFmtId="0" fontId="90" fillId="0" borderId="0" xfId="0" applyFont="1" applyAlignment="1">
      <alignment horizontal="centerContinuous" vertical="top"/>
    </xf>
    <xf numFmtId="0" fontId="90" fillId="0" borderId="0" xfId="0" applyFont="1" applyAlignment="1">
      <alignment horizontal="centerContinuous" vertical="top" wrapText="1"/>
    </xf>
    <xf numFmtId="0" fontId="95" fillId="0" borderId="0" xfId="0" applyFont="1" applyBorder="1" applyAlignment="1">
      <alignment horizontal="centerContinuous" vertical="top"/>
    </xf>
    <xf numFmtId="0" fontId="90" fillId="0" borderId="0" xfId="0" applyFont="1" applyAlignment="1"/>
    <xf numFmtId="164" fontId="127" fillId="0" borderId="14" xfId="0" applyNumberFormat="1" applyFont="1" applyBorder="1" applyAlignment="1">
      <alignment vertical="top"/>
    </xf>
    <xf numFmtId="0" fontId="90" fillId="0" borderId="14" xfId="0" applyFont="1" applyBorder="1" applyAlignment="1">
      <alignment vertical="top"/>
    </xf>
    <xf numFmtId="0" fontId="94" fillId="0" borderId="19" xfId="0" applyFont="1" applyBorder="1"/>
    <xf numFmtId="0" fontId="90" fillId="0" borderId="14" xfId="0" applyFont="1" applyBorder="1" applyAlignment="1">
      <alignment vertical="top" wrapText="1"/>
    </xf>
    <xf numFmtId="0" fontId="96" fillId="0" borderId="19" xfId="0" applyFont="1" applyBorder="1" applyAlignment="1">
      <alignment wrapText="1"/>
    </xf>
    <xf numFmtId="0" fontId="90" fillId="0" borderId="7" xfId="0" applyFont="1" applyBorder="1" applyAlignment="1">
      <alignment horizontal="left" vertical="top"/>
    </xf>
    <xf numFmtId="164" fontId="127" fillId="0" borderId="0" xfId="0" applyNumberFormat="1" applyFont="1" applyBorder="1" applyAlignment="1">
      <alignment horizontal="right" vertical="top"/>
    </xf>
    <xf numFmtId="0" fontId="128" fillId="0" borderId="23" xfId="0" applyFont="1" applyBorder="1" applyAlignment="1">
      <alignment horizontal="right" vertical="top"/>
    </xf>
    <xf numFmtId="0" fontId="90" fillId="0" borderId="14" xfId="0" applyFont="1" applyBorder="1" applyAlignment="1">
      <alignment horizontal="left" vertical="top"/>
    </xf>
    <xf numFmtId="0" fontId="90" fillId="0" borderId="14" xfId="0" applyFont="1" applyBorder="1" applyAlignment="1">
      <alignment horizontal="left" vertical="top" indent="1"/>
    </xf>
    <xf numFmtId="0" fontId="114" fillId="0" borderId="2" xfId="0" applyFont="1" applyBorder="1" applyAlignment="1">
      <alignment vertical="top" wrapText="1"/>
    </xf>
    <xf numFmtId="0" fontId="90" fillId="0" borderId="19" xfId="0" applyFont="1" applyBorder="1" applyAlignment="1">
      <alignment horizontal="left" vertical="top" indent="1"/>
    </xf>
    <xf numFmtId="0" fontId="114" fillId="0" borderId="41" xfId="19" applyNumberFormat="1" applyFont="1" applyBorder="1" applyAlignment="1" applyProtection="1">
      <alignment vertical="center"/>
    </xf>
    <xf numFmtId="0" fontId="128" fillId="0" borderId="7" xfId="0" applyFont="1" applyBorder="1" applyAlignment="1">
      <alignment horizontal="right" vertical="top"/>
    </xf>
    <xf numFmtId="0" fontId="114" fillId="0" borderId="4" xfId="19" applyNumberFormat="1" applyFont="1" applyBorder="1" applyAlignment="1" applyProtection="1">
      <alignment vertical="center" wrapText="1"/>
    </xf>
    <xf numFmtId="0" fontId="127" fillId="0" borderId="14" xfId="0" applyNumberFormat="1" applyFont="1" applyBorder="1" applyAlignment="1">
      <alignment horizontal="left" vertical="center"/>
    </xf>
    <xf numFmtId="0" fontId="94" fillId="0" borderId="19" xfId="0" applyFont="1" applyBorder="1" applyAlignment="1">
      <alignment vertical="top" wrapText="1"/>
    </xf>
    <xf numFmtId="0" fontId="128" fillId="0" borderId="14" xfId="0" applyNumberFormat="1" applyFont="1" applyBorder="1" applyAlignment="1">
      <alignment horizontal="left" vertical="center"/>
    </xf>
    <xf numFmtId="0" fontId="114" fillId="0" borderId="2" xfId="0" applyNumberFormat="1" applyFont="1" applyBorder="1" applyAlignment="1" applyProtection="1">
      <alignment horizontal="left" vertical="center" wrapText="1"/>
    </xf>
    <xf numFmtId="0" fontId="90" fillId="0" borderId="19" xfId="0" applyFont="1" applyBorder="1" applyAlignment="1">
      <alignment horizontal="left" vertical="top" wrapText="1"/>
    </xf>
    <xf numFmtId="0" fontId="129" fillId="0" borderId="7" xfId="0" applyFont="1" applyBorder="1" applyAlignment="1"/>
    <xf numFmtId="0" fontId="127" fillId="0" borderId="14" xfId="0" applyFont="1" applyBorder="1" applyAlignment="1">
      <alignment vertical="top"/>
    </xf>
    <xf numFmtId="0" fontId="114" fillId="0" borderId="19" xfId="0" applyFont="1" applyBorder="1" applyAlignment="1">
      <alignment vertical="top" wrapText="1"/>
    </xf>
    <xf numFmtId="0" fontId="129" fillId="0" borderId="0" xfId="0" applyFont="1" applyAlignment="1"/>
    <xf numFmtId="0" fontId="129" fillId="0" borderId="23" xfId="0" applyFont="1" applyBorder="1" applyAlignment="1"/>
    <xf numFmtId="0" fontId="90" fillId="0" borderId="14" xfId="0" applyFont="1" applyBorder="1" applyAlignment="1">
      <alignment horizontal="left" vertical="top" wrapText="1" indent="1"/>
    </xf>
    <xf numFmtId="0" fontId="90" fillId="0" borderId="23" xfId="0" applyFont="1" applyBorder="1" applyAlignment="1">
      <alignment horizontal="left" vertical="top"/>
    </xf>
    <xf numFmtId="164" fontId="127" fillId="0" borderId="14" xfId="0" applyNumberFormat="1" applyFont="1" applyBorder="1" applyAlignment="1">
      <alignment horizontal="right" vertical="top"/>
    </xf>
    <xf numFmtId="164" fontId="128" fillId="0" borderId="14" xfId="0" applyNumberFormat="1" applyFont="1" applyBorder="1" applyAlignment="1">
      <alignment horizontal="right" vertical="center"/>
    </xf>
    <xf numFmtId="0" fontId="90" fillId="0" borderId="14" xfId="0" applyNumberFormat="1" applyFont="1" applyBorder="1" applyAlignment="1">
      <alignment horizontal="left" vertical="center" wrapText="1" indent="1"/>
    </xf>
    <xf numFmtId="0" fontId="114" fillId="0" borderId="2" xfId="0" applyFont="1" applyBorder="1" applyAlignment="1"/>
    <xf numFmtId="0" fontId="114" fillId="0" borderId="2" xfId="0" applyFont="1" applyBorder="1" applyAlignment="1">
      <alignment horizontal="left" vertical="top"/>
    </xf>
    <xf numFmtId="0" fontId="94" fillId="0" borderId="2" xfId="0" applyFont="1" applyBorder="1" applyAlignment="1">
      <alignment horizontal="left" vertical="top" wrapText="1"/>
    </xf>
    <xf numFmtId="0" fontId="114" fillId="0" borderId="2" xfId="0" applyFont="1" applyBorder="1" applyAlignment="1">
      <alignment horizontal="left" vertical="top" wrapText="1"/>
    </xf>
    <xf numFmtId="164" fontId="128" fillId="0" borderId="23" xfId="0" applyNumberFormat="1" applyFont="1" applyBorder="1" applyAlignment="1">
      <alignment horizontal="right" vertical="top"/>
    </xf>
    <xf numFmtId="0" fontId="94" fillId="0" borderId="19" xfId="0" applyFont="1" applyBorder="1" applyAlignment="1">
      <alignment horizontal="left" vertical="top" wrapText="1"/>
    </xf>
    <xf numFmtId="164" fontId="130" fillId="0" borderId="14" xfId="0" applyNumberFormat="1" applyFont="1" applyBorder="1" applyAlignment="1">
      <alignment horizontal="left" vertical="center"/>
    </xf>
    <xf numFmtId="0" fontId="127" fillId="0" borderId="14" xfId="0" applyFont="1" applyBorder="1" applyAlignment="1">
      <alignment horizontal="left" vertical="top"/>
    </xf>
    <xf numFmtId="0" fontId="114" fillId="0" borderId="2" xfId="0" applyFont="1" applyBorder="1" applyAlignment="1">
      <alignment horizontal="left"/>
    </xf>
    <xf numFmtId="0" fontId="114" fillId="0" borderId="2" xfId="0" applyFont="1" applyBorder="1"/>
    <xf numFmtId="0" fontId="90" fillId="0" borderId="0" xfId="0" applyFont="1" applyAlignment="1">
      <alignment horizontal="left" vertical="top"/>
    </xf>
    <xf numFmtId="0" fontId="90" fillId="0" borderId="14" xfId="0" applyFont="1" applyBorder="1" applyAlignment="1"/>
    <xf numFmtId="164" fontId="127" fillId="0" borderId="14" xfId="0" applyNumberFormat="1" applyFont="1" applyBorder="1" applyAlignment="1">
      <alignment vertical="center"/>
    </xf>
    <xf numFmtId="0" fontId="90" fillId="0" borderId="14" xfId="0" applyFont="1" applyBorder="1" applyAlignment="1">
      <alignment vertical="center"/>
    </xf>
    <xf numFmtId="0" fontId="94" fillId="0" borderId="142" xfId="0" applyFont="1" applyBorder="1"/>
    <xf numFmtId="0" fontId="90" fillId="0" borderId="23" xfId="0" applyFont="1" applyBorder="1"/>
    <xf numFmtId="0" fontId="90" fillId="0" borderId="9" xfId="0" applyFont="1" applyBorder="1" applyAlignment="1">
      <alignment horizontal="left" vertical="top"/>
    </xf>
    <xf numFmtId="164" fontId="127" fillId="0" borderId="6" xfId="0" applyNumberFormat="1" applyFont="1" applyBorder="1" applyAlignment="1">
      <alignment horizontal="right" vertical="top"/>
    </xf>
    <xf numFmtId="0" fontId="90" fillId="0" borderId="6" xfId="0" applyNumberFormat="1" applyFont="1" applyBorder="1" applyAlignment="1">
      <alignment horizontal="left" vertical="center" wrapText="1" indent="1"/>
    </xf>
    <xf numFmtId="0" fontId="114" fillId="0" borderId="18" xfId="0" applyFont="1" applyBorder="1" applyAlignment="1">
      <alignment horizontal="left" vertical="center" wrapText="1"/>
    </xf>
    <xf numFmtId="0" fontId="90" fillId="0" borderId="6" xfId="0" applyFont="1" applyBorder="1" applyAlignment="1">
      <alignment horizontal="left" vertical="top"/>
    </xf>
    <xf numFmtId="0" fontId="90" fillId="0" borderId="0" xfId="0" applyFont="1" applyBorder="1" applyAlignment="1">
      <alignment vertical="top"/>
    </xf>
    <xf numFmtId="0" fontId="128" fillId="0" borderId="6" xfId="0" applyNumberFormat="1" applyFont="1" applyBorder="1" applyAlignment="1">
      <alignment horizontal="left" vertical="center"/>
    </xf>
    <xf numFmtId="0" fontId="127" fillId="0" borderId="6" xfId="0" applyFont="1" applyBorder="1" applyAlignment="1">
      <alignment vertical="top"/>
    </xf>
    <xf numFmtId="0" fontId="127" fillId="0" borderId="6" xfId="0" applyFont="1" applyBorder="1" applyAlignment="1">
      <alignment horizontal="left" vertical="top"/>
    </xf>
    <xf numFmtId="0" fontId="90" fillId="0" borderId="9" xfId="0" applyFont="1" applyBorder="1" applyAlignment="1"/>
    <xf numFmtId="164" fontId="127" fillId="0" borderId="6" xfId="0" applyNumberFormat="1" applyFont="1" applyBorder="1" applyAlignment="1"/>
    <xf numFmtId="0" fontId="90" fillId="0" borderId="6" xfId="0" applyFont="1" applyBorder="1" applyAlignment="1"/>
    <xf numFmtId="0" fontId="94" fillId="0" borderId="10" xfId="0" applyFont="1" applyBorder="1" applyAlignment="1"/>
    <xf numFmtId="0" fontId="113" fillId="0" borderId="8" xfId="0" applyFont="1" applyBorder="1" applyAlignment="1">
      <alignment horizontal="left"/>
    </xf>
    <xf numFmtId="0" fontId="100" fillId="0" borderId="3" xfId="0" applyFont="1" applyBorder="1" applyAlignment="1">
      <alignment horizontal="left" vertical="center" indent="1"/>
    </xf>
    <xf numFmtId="0" fontId="93" fillId="0" borderId="3" xfId="0" applyFont="1" applyBorder="1" applyAlignment="1">
      <alignment horizontal="left" vertical="center"/>
    </xf>
    <xf numFmtId="0" fontId="124" fillId="0" borderId="4" xfId="0" applyFont="1" applyBorder="1" applyAlignment="1">
      <alignment horizontal="left" vertical="center"/>
    </xf>
    <xf numFmtId="49" fontId="113" fillId="0" borderId="8" xfId="0" applyNumberFormat="1" applyFont="1" applyFill="1" applyBorder="1" applyAlignment="1">
      <alignment horizontal="left" vertical="center"/>
    </xf>
    <xf numFmtId="49" fontId="90" fillId="0" borderId="3" xfId="0" applyNumberFormat="1" applyFont="1" applyFill="1" applyBorder="1" applyAlignment="1">
      <alignment horizontal="left" vertical="center"/>
    </xf>
    <xf numFmtId="0" fontId="90" fillId="0" borderId="3" xfId="0" applyFont="1" applyFill="1" applyBorder="1" applyAlignment="1" applyProtection="1">
      <alignment horizontal="left" vertical="center"/>
    </xf>
    <xf numFmtId="0" fontId="94" fillId="0" borderId="42" xfId="0" applyFont="1" applyFill="1" applyBorder="1" applyAlignment="1" applyProtection="1">
      <alignment horizontal="left" vertical="center"/>
      <protection locked="0"/>
    </xf>
    <xf numFmtId="49" fontId="113" fillId="0" borderId="7" xfId="0" applyNumberFormat="1" applyFont="1" applyFill="1" applyBorder="1" applyAlignment="1">
      <alignment horizontal="left" vertical="center"/>
    </xf>
    <xf numFmtId="49" fontId="90" fillId="0" borderId="0" xfId="0" applyNumberFormat="1" applyFont="1" applyFill="1" applyBorder="1" applyAlignment="1">
      <alignment horizontal="left" vertical="center"/>
    </xf>
    <xf numFmtId="0" fontId="90" fillId="0" borderId="0" xfId="0" applyFont="1" applyFill="1" applyBorder="1" applyAlignment="1">
      <alignment horizontal="left" vertical="center"/>
    </xf>
    <xf numFmtId="0" fontId="94" fillId="0" borderId="43" xfId="0" applyFont="1" applyFill="1" applyBorder="1" applyAlignment="1">
      <alignment horizontal="left" vertical="center"/>
    </xf>
    <xf numFmtId="0" fontId="90" fillId="0" borderId="44" xfId="0" applyFont="1" applyFill="1" applyBorder="1" applyAlignment="1">
      <alignment horizontal="left" vertical="center"/>
    </xf>
    <xf numFmtId="0" fontId="90" fillId="0" borderId="45" xfId="0" applyFont="1" applyFill="1" applyBorder="1" applyAlignment="1">
      <alignment horizontal="left" vertical="center"/>
    </xf>
    <xf numFmtId="0" fontId="90" fillId="0" borderId="45" xfId="0" applyFont="1" applyFill="1" applyBorder="1" applyAlignment="1">
      <alignment horizontal="left" vertical="center" indent="2"/>
    </xf>
    <xf numFmtId="0" fontId="95" fillId="0" borderId="46" xfId="0" applyFont="1" applyFill="1" applyBorder="1" applyAlignment="1">
      <alignment horizontal="left" vertical="center"/>
    </xf>
    <xf numFmtId="0" fontId="89" fillId="0" borderId="9" xfId="0" applyFont="1" applyFill="1" applyBorder="1" applyAlignment="1"/>
    <xf numFmtId="0" fontId="89" fillId="0" borderId="6" xfId="0" applyFont="1" applyFill="1" applyBorder="1" applyAlignment="1">
      <alignment horizontal="left" vertical="top"/>
    </xf>
    <xf numFmtId="0" fontId="89" fillId="0" borderId="10" xfId="0" applyFont="1" applyFill="1" applyBorder="1" applyAlignment="1">
      <alignment horizontal="left"/>
    </xf>
    <xf numFmtId="0" fontId="89" fillId="0" borderId="0" xfId="0" applyFont="1" applyAlignment="1"/>
    <xf numFmtId="0" fontId="90" fillId="0" borderId="0" xfId="0" applyFont="1" applyAlignment="1">
      <alignment horizontal="left"/>
    </xf>
    <xf numFmtId="0" fontId="89" fillId="0" borderId="10" xfId="0" applyFont="1" applyFill="1" applyBorder="1" applyAlignment="1">
      <alignment horizontal="center" vertical="center"/>
    </xf>
    <xf numFmtId="0" fontId="130" fillId="0" borderId="14" xfId="0" applyFont="1" applyBorder="1" applyAlignment="1">
      <alignment horizontal="left" vertical="top" wrapText="1"/>
    </xf>
    <xf numFmtId="0" fontId="96" fillId="0" borderId="0" xfId="4" applyNumberFormat="1" applyFont="1" applyAlignment="1" applyProtection="1">
      <alignment horizontal="centerContinuous"/>
    </xf>
    <xf numFmtId="0" fontId="96" fillId="0" borderId="0" xfId="4" applyNumberFormat="1" applyFont="1" applyBorder="1" applyAlignment="1" applyProtection="1">
      <alignment horizontal="center"/>
    </xf>
    <xf numFmtId="0" fontId="105" fillId="0" borderId="0" xfId="4" applyNumberFormat="1" applyFont="1" applyAlignment="1" applyProtection="1">
      <alignment horizontal="centerContinuous"/>
    </xf>
    <xf numFmtId="0" fontId="95" fillId="0" borderId="0" xfId="4" applyNumberFormat="1" applyFont="1" applyAlignment="1" applyProtection="1">
      <alignment horizontal="right" vertical="center" textRotation="180"/>
    </xf>
    <xf numFmtId="0" fontId="95" fillId="0" borderId="0" xfId="4" applyNumberFormat="1" applyFont="1" applyAlignment="1" applyProtection="1">
      <alignment vertical="center" textRotation="180"/>
    </xf>
    <xf numFmtId="0" fontId="96" fillId="0" borderId="0" xfId="4" applyNumberFormat="1" applyFont="1" applyProtection="1"/>
    <xf numFmtId="0" fontId="96" fillId="0" borderId="28" xfId="4" applyNumberFormat="1" applyFont="1" applyBorder="1" applyProtection="1"/>
    <xf numFmtId="0" fontId="96" fillId="0" borderId="28" xfId="4" applyNumberFormat="1" applyFont="1" applyBorder="1" applyAlignment="1" applyProtection="1">
      <alignment horizontal="center"/>
    </xf>
    <xf numFmtId="0" fontId="94" fillId="0" borderId="0" xfId="4" applyNumberFormat="1" applyFont="1" applyProtection="1"/>
    <xf numFmtId="0" fontId="90" fillId="0" borderId="47" xfId="4" quotePrefix="1" applyNumberFormat="1" applyFont="1" applyBorder="1" applyAlignment="1" applyProtection="1">
      <alignment horizontal="left"/>
    </xf>
    <xf numFmtId="0" fontId="94" fillId="0" borderId="16" xfId="4" applyNumberFormat="1" applyFont="1" applyBorder="1" applyAlignment="1" applyProtection="1">
      <alignment horizontal="center"/>
    </xf>
    <xf numFmtId="0" fontId="94" fillId="0" borderId="16" xfId="4" applyNumberFormat="1" applyFont="1" applyBorder="1" applyProtection="1"/>
    <xf numFmtId="0" fontId="90" fillId="0" borderId="47" xfId="4" applyNumberFormat="1" applyFont="1" applyBorder="1" applyAlignment="1" applyProtection="1"/>
    <xf numFmtId="0" fontId="94" fillId="0" borderId="48" xfId="4" applyNumberFormat="1" applyFont="1" applyBorder="1" applyAlignment="1" applyProtection="1">
      <alignment horizontal="centerContinuous"/>
    </xf>
    <xf numFmtId="0" fontId="90" fillId="0" borderId="47" xfId="4" applyNumberFormat="1" applyFont="1" applyBorder="1" applyAlignment="1" applyProtection="1">
      <alignment horizontal="left"/>
    </xf>
    <xf numFmtId="0" fontId="94" fillId="0" borderId="48" xfId="4" applyNumberFormat="1" applyFont="1" applyBorder="1" applyProtection="1"/>
    <xf numFmtId="0" fontId="94" fillId="0" borderId="16" xfId="4" quotePrefix="1" applyNumberFormat="1" applyFont="1" applyBorder="1" applyAlignment="1" applyProtection="1">
      <alignment horizontal="left"/>
    </xf>
    <xf numFmtId="0" fontId="90" fillId="0" borderId="38" xfId="4" quotePrefix="1" applyNumberFormat="1" applyFont="1" applyBorder="1" applyAlignment="1" applyProtection="1">
      <alignment horizontal="left"/>
    </xf>
    <xf numFmtId="0" fontId="94" fillId="0" borderId="0" xfId="4" applyNumberFormat="1" applyFont="1" applyBorder="1" applyProtection="1"/>
    <xf numFmtId="0" fontId="94" fillId="0" borderId="37" xfId="4" applyNumberFormat="1" applyFont="1" applyBorder="1" applyProtection="1"/>
    <xf numFmtId="0" fontId="90" fillId="0" borderId="38" xfId="4" applyNumberFormat="1" applyFont="1" applyBorder="1" applyProtection="1"/>
    <xf numFmtId="0" fontId="105" fillId="0" borderId="0" xfId="4" applyNumberFormat="1" applyFont="1" applyBorder="1" applyProtection="1"/>
    <xf numFmtId="0" fontId="90" fillId="0" borderId="47" xfId="4" applyNumberFormat="1" applyFont="1" applyBorder="1" applyProtection="1"/>
    <xf numFmtId="0" fontId="96" fillId="0" borderId="0" xfId="4" applyNumberFormat="1" applyFont="1" applyBorder="1" applyProtection="1"/>
    <xf numFmtId="0" fontId="89" fillId="0" borderId="0" xfId="4" applyNumberFormat="1" applyFont="1" applyAlignment="1" applyProtection="1">
      <alignment horizontal="left"/>
    </xf>
    <xf numFmtId="0" fontId="105" fillId="0" borderId="0" xfId="4" applyNumberFormat="1" applyFont="1" applyAlignment="1" applyProtection="1">
      <alignment horizontal="left"/>
    </xf>
    <xf numFmtId="0" fontId="96" fillId="0" borderId="1" xfId="4" applyNumberFormat="1" applyFont="1" applyBorder="1" applyAlignment="1" applyProtection="1">
      <alignment horizontal="center" vertical="center"/>
      <protection locked="0"/>
    </xf>
    <xf numFmtId="0" fontId="90" fillId="0" borderId="0" xfId="4" applyNumberFormat="1" applyFont="1" applyBorder="1" applyAlignment="1" applyProtection="1">
      <alignment vertical="center"/>
    </xf>
    <xf numFmtId="0" fontId="94" fillId="0" borderId="0" xfId="4" applyNumberFormat="1" applyFont="1" applyBorder="1" applyAlignment="1" applyProtection="1">
      <alignment horizontal="center"/>
    </xf>
    <xf numFmtId="0" fontId="101" fillId="0" borderId="0" xfId="4" applyNumberFormat="1" applyFont="1" applyAlignment="1" applyProtection="1">
      <alignment vertical="center"/>
    </xf>
    <xf numFmtId="0" fontId="95" fillId="0" borderId="0" xfId="4" applyNumberFormat="1" applyFont="1" applyBorder="1" applyProtection="1"/>
    <xf numFmtId="0" fontId="90" fillId="0" borderId="0" xfId="4" applyNumberFormat="1" applyFont="1" applyAlignment="1" applyProtection="1">
      <alignment vertical="center"/>
    </xf>
    <xf numFmtId="0" fontId="95" fillId="0" borderId="0" xfId="4" applyNumberFormat="1" applyFont="1" applyProtection="1"/>
    <xf numFmtId="0" fontId="105" fillId="0" borderId="0" xfId="4" applyNumberFormat="1" applyFont="1" applyProtection="1"/>
    <xf numFmtId="0" fontId="90" fillId="0" borderId="0" xfId="4" applyNumberFormat="1" applyFont="1" applyBorder="1" applyProtection="1"/>
    <xf numFmtId="0" fontId="90" fillId="0" borderId="0" xfId="4" applyNumberFormat="1" applyFont="1" applyProtection="1"/>
    <xf numFmtId="0" fontId="94" fillId="0" borderId="0" xfId="4" quotePrefix="1" applyNumberFormat="1" applyFont="1" applyAlignment="1" applyProtection="1">
      <alignment horizontal="left"/>
    </xf>
    <xf numFmtId="0" fontId="90" fillId="0" borderId="0" xfId="4" applyFont="1"/>
    <xf numFmtId="0" fontId="89" fillId="0" borderId="0" xfId="4" applyFont="1" applyAlignment="1">
      <alignment horizontal="center" vertical="center"/>
    </xf>
    <xf numFmtId="0" fontId="96" fillId="0" borderId="0" xfId="4" applyFont="1" applyAlignment="1">
      <alignment horizontal="center" vertical="center"/>
    </xf>
    <xf numFmtId="164" fontId="94" fillId="0" borderId="0" xfId="4" applyNumberFormat="1" applyFont="1"/>
    <xf numFmtId="0" fontId="95" fillId="0" borderId="0" xfId="4" applyFont="1"/>
    <xf numFmtId="164" fontId="95" fillId="0" borderId="0" xfId="4" applyNumberFormat="1" applyFont="1" applyAlignment="1">
      <alignment horizontal="right"/>
    </xf>
    <xf numFmtId="49" fontId="94" fillId="0" borderId="0" xfId="4" applyNumberFormat="1" applyFont="1"/>
    <xf numFmtId="0" fontId="94" fillId="0" borderId="0" xfId="4" applyFont="1"/>
    <xf numFmtId="0" fontId="124" fillId="0" borderId="0" xfId="4" applyFont="1"/>
    <xf numFmtId="164" fontId="124" fillId="0" borderId="0" xfId="4" applyNumberFormat="1" applyFont="1" applyAlignment="1">
      <alignment horizontal="right"/>
    </xf>
    <xf numFmtId="0" fontId="95" fillId="0" borderId="11" xfId="4" applyFont="1" applyBorder="1" applyAlignment="1" applyProtection="1">
      <alignment horizontal="center"/>
      <protection locked="0"/>
    </xf>
    <xf numFmtId="164" fontId="94" fillId="0" borderId="0" xfId="4" applyNumberFormat="1" applyFont="1" applyBorder="1" applyAlignment="1">
      <alignment horizontal="right"/>
    </xf>
    <xf numFmtId="49" fontId="124" fillId="0" borderId="0" xfId="4" applyNumberFormat="1" applyFont="1" applyAlignment="1"/>
    <xf numFmtId="0" fontId="94" fillId="0" borderId="0" xfId="4" applyFont="1" applyAlignment="1"/>
    <xf numFmtId="0" fontId="95" fillId="0" borderId="33" xfId="4" applyFont="1" applyBorder="1" applyAlignment="1" applyProtection="1">
      <alignment horizontal="center"/>
      <protection locked="0"/>
    </xf>
    <xf numFmtId="49" fontId="94" fillId="0" borderId="0" xfId="4" applyNumberFormat="1" applyFont="1" applyAlignment="1"/>
    <xf numFmtId="0" fontId="94" fillId="0" borderId="0" xfId="4" applyFont="1" applyAlignment="1">
      <alignment horizontal="center"/>
    </xf>
    <xf numFmtId="164" fontId="94" fillId="0" borderId="0" xfId="4" applyNumberFormat="1" applyFont="1" applyAlignment="1">
      <alignment horizontal="right"/>
    </xf>
    <xf numFmtId="49" fontId="95" fillId="0" borderId="0" xfId="4" applyNumberFormat="1" applyFont="1" applyAlignment="1"/>
    <xf numFmtId="49" fontId="94" fillId="0" borderId="0" xfId="4" applyNumberFormat="1" applyFont="1" applyFill="1" applyAlignment="1"/>
    <xf numFmtId="49" fontId="94" fillId="0" borderId="0" xfId="4" applyNumberFormat="1" applyFont="1" applyFill="1" applyBorder="1" applyAlignment="1"/>
    <xf numFmtId="49" fontId="131" fillId="0" borderId="0" xfId="3" applyNumberFormat="1" applyFont="1"/>
    <xf numFmtId="49" fontId="94" fillId="0" borderId="0" xfId="4" applyNumberFormat="1" applyFont="1" applyFill="1" applyBorder="1"/>
    <xf numFmtId="0" fontId="94" fillId="0" borderId="0" xfId="4" applyFont="1" applyBorder="1" applyAlignment="1">
      <alignment horizontal="center"/>
    </xf>
    <xf numFmtId="0" fontId="132" fillId="0" borderId="0" xfId="4" applyFont="1" applyAlignment="1">
      <alignment horizontal="center"/>
    </xf>
    <xf numFmtId="164" fontId="132" fillId="0" borderId="0" xfId="4" applyNumberFormat="1" applyFont="1" applyAlignment="1">
      <alignment horizontal="right"/>
    </xf>
    <xf numFmtId="0" fontId="124" fillId="0" borderId="11" xfId="4" applyFont="1" applyBorder="1" applyAlignment="1" applyProtection="1">
      <alignment horizontal="center"/>
      <protection locked="0"/>
    </xf>
    <xf numFmtId="0" fontId="132" fillId="0" borderId="0" xfId="4" applyFont="1" applyBorder="1" applyAlignment="1">
      <alignment horizontal="center"/>
    </xf>
    <xf numFmtId="0" fontId="94" fillId="0" borderId="0" xfId="8" applyFont="1" applyFill="1" applyBorder="1" applyAlignment="1">
      <alignment horizontal="left"/>
    </xf>
    <xf numFmtId="164" fontId="95" fillId="0" borderId="11" xfId="4" applyNumberFormat="1" applyFont="1" applyBorder="1" applyAlignment="1" applyProtection="1">
      <alignment horizontal="center" vertical="center"/>
      <protection locked="0"/>
    </xf>
    <xf numFmtId="49" fontId="91" fillId="0" borderId="0" xfId="2" applyNumberFormat="1" applyFont="1" applyAlignment="1" applyProtection="1">
      <alignment horizontal="left" indent="2"/>
    </xf>
    <xf numFmtId="49" fontId="94" fillId="0" borderId="0" xfId="4" applyNumberFormat="1" applyFont="1" applyFill="1"/>
    <xf numFmtId="49" fontId="95" fillId="0" borderId="0" xfId="4" applyNumberFormat="1" applyFont="1" applyFill="1" applyBorder="1"/>
    <xf numFmtId="49" fontId="95" fillId="0" borderId="0" xfId="4" applyNumberFormat="1" applyFont="1"/>
    <xf numFmtId="49" fontId="124" fillId="0" borderId="0" xfId="4" applyNumberFormat="1" applyFont="1"/>
    <xf numFmtId="0" fontId="94" fillId="0" borderId="0" xfId="4" applyFont="1" applyBorder="1" applyAlignment="1" applyProtection="1">
      <alignment horizontal="center"/>
    </xf>
    <xf numFmtId="49" fontId="124" fillId="0" borderId="0" xfId="4" applyNumberFormat="1" applyFont="1" applyFill="1" applyBorder="1"/>
    <xf numFmtId="49" fontId="133" fillId="0" borderId="0" xfId="4" applyNumberFormat="1" applyFont="1" applyFill="1" applyBorder="1"/>
    <xf numFmtId="49" fontId="124" fillId="0" borderId="0" xfId="4" applyNumberFormat="1" applyFont="1" applyAlignment="1">
      <alignment vertical="top"/>
    </xf>
    <xf numFmtId="0" fontId="94" fillId="0" borderId="16" xfId="4" applyFont="1" applyBorder="1" applyAlignment="1" applyProtection="1">
      <alignment horizontal="center"/>
    </xf>
    <xf numFmtId="49" fontId="94" fillId="0" borderId="0" xfId="4" applyNumberFormat="1" applyFont="1" applyAlignment="1">
      <alignment vertical="top"/>
    </xf>
    <xf numFmtId="0" fontId="95" fillId="0" borderId="28" xfId="4" applyFont="1" applyBorder="1" applyAlignment="1" applyProtection="1">
      <alignment horizontal="center"/>
      <protection locked="0"/>
    </xf>
    <xf numFmtId="0" fontId="94" fillId="0" borderId="0" xfId="4" applyFont="1" applyBorder="1" applyProtection="1"/>
    <xf numFmtId="0" fontId="96" fillId="0" borderId="0" xfId="4" applyFont="1" applyAlignment="1" applyProtection="1">
      <alignment horizontal="center"/>
    </xf>
    <xf numFmtId="42" fontId="96" fillId="0" borderId="0" xfId="4" applyNumberFormat="1" applyFont="1" applyProtection="1"/>
    <xf numFmtId="0" fontId="105" fillId="0" borderId="0" xfId="4" applyFont="1" applyProtection="1"/>
    <xf numFmtId="0" fontId="96" fillId="0" borderId="0" xfId="20" applyFont="1" applyBorder="1" applyProtection="1"/>
    <xf numFmtId="0" fontId="96" fillId="0" borderId="0" xfId="20" applyFont="1" applyBorder="1" applyAlignment="1" applyProtection="1">
      <alignment horizontal="center"/>
    </xf>
    <xf numFmtId="42" fontId="96" fillId="6" borderId="28" xfId="4" applyNumberFormat="1" applyFont="1" applyFill="1" applyBorder="1" applyProtection="1"/>
    <xf numFmtId="41" fontId="96" fillId="6" borderId="28" xfId="4" applyNumberFormat="1" applyFont="1" applyFill="1" applyBorder="1" applyProtection="1"/>
    <xf numFmtId="0" fontId="105" fillId="0" borderId="0" xfId="4" applyFont="1" applyAlignment="1" applyProtection="1">
      <alignment horizontal="left" indent="2"/>
    </xf>
    <xf numFmtId="42" fontId="96" fillId="6" borderId="12" xfId="4" applyNumberFormat="1" applyFont="1" applyFill="1" applyBorder="1" applyProtection="1"/>
    <xf numFmtId="0" fontId="106" fillId="0" borderId="0" xfId="4" applyFont="1" applyProtection="1"/>
    <xf numFmtId="42" fontId="96" fillId="0" borderId="49" xfId="4" applyNumberFormat="1" applyFont="1" applyBorder="1" applyProtection="1">
      <protection locked="0"/>
    </xf>
    <xf numFmtId="42" fontId="96" fillId="0" borderId="0" xfId="4" applyNumberFormat="1" applyFont="1" applyFill="1" applyProtection="1"/>
    <xf numFmtId="42" fontId="96" fillId="0" borderId="28" xfId="4" applyNumberFormat="1" applyFont="1" applyBorder="1" applyProtection="1">
      <protection locked="0"/>
    </xf>
    <xf numFmtId="42" fontId="96" fillId="0" borderId="50" xfId="4" applyNumberFormat="1" applyFont="1" applyBorder="1" applyProtection="1">
      <protection locked="0"/>
    </xf>
    <xf numFmtId="0" fontId="96" fillId="0" borderId="0" xfId="4" applyFont="1" applyAlignment="1" applyProtection="1">
      <alignment horizontal="right"/>
    </xf>
    <xf numFmtId="42" fontId="96" fillId="6" borderId="6" xfId="4" applyNumberFormat="1" applyFont="1" applyFill="1" applyBorder="1" applyProtection="1"/>
    <xf numFmtId="0" fontId="105" fillId="0" borderId="0" xfId="4" applyFont="1" applyAlignment="1" applyProtection="1">
      <alignment horizontal="center" vertical="center"/>
    </xf>
    <xf numFmtId="165" fontId="105" fillId="0" borderId="0" xfId="4" applyNumberFormat="1" applyFont="1" applyAlignment="1" applyProtection="1">
      <alignment vertical="center"/>
    </xf>
    <xf numFmtId="0" fontId="89" fillId="0" borderId="0" xfId="4" applyFont="1" applyProtection="1"/>
    <xf numFmtId="0" fontId="89" fillId="0" borderId="0" xfId="4" applyFont="1" applyFill="1" applyProtection="1"/>
    <xf numFmtId="0" fontId="96" fillId="0" borderId="0" xfId="4" applyFont="1" applyFill="1" applyProtection="1"/>
    <xf numFmtId="169" fontId="90" fillId="0" borderId="0" xfId="4" applyNumberFormat="1" applyFont="1" applyFill="1" applyProtection="1"/>
    <xf numFmtId="0" fontId="90" fillId="0" borderId="0" xfId="4" applyFont="1" applyFill="1" applyProtection="1"/>
    <xf numFmtId="0" fontId="96" fillId="0" borderId="28" xfId="4" applyFont="1" applyFill="1" applyBorder="1" applyAlignment="1" applyProtection="1">
      <alignment horizontal="center" vertical="center"/>
      <protection locked="0"/>
    </xf>
    <xf numFmtId="0" fontId="90" fillId="0" borderId="0" xfId="4" applyFont="1" applyProtection="1"/>
    <xf numFmtId="0" fontId="90" fillId="0" borderId="32" xfId="4" applyFont="1" applyBorder="1" applyProtection="1"/>
    <xf numFmtId="0" fontId="90" fillId="0" borderId="33" xfId="4" applyFont="1" applyBorder="1" applyProtection="1">
      <protection locked="0"/>
    </xf>
    <xf numFmtId="0" fontId="90" fillId="0" borderId="32" xfId="4" applyFont="1" applyBorder="1" applyAlignment="1" applyProtection="1">
      <alignment horizontal="center"/>
      <protection locked="0"/>
    </xf>
    <xf numFmtId="0" fontId="105" fillId="0" borderId="0" xfId="4" applyFont="1" applyAlignment="1" applyProtection="1">
      <alignment horizontal="center"/>
    </xf>
    <xf numFmtId="0" fontId="89" fillId="0" borderId="0" xfId="4" applyFont="1" applyBorder="1" applyProtection="1"/>
    <xf numFmtId="5" fontId="90" fillId="0" borderId="15" xfId="4" applyNumberFormat="1" applyFont="1" applyBorder="1" applyAlignment="1" applyProtection="1">
      <protection locked="0"/>
    </xf>
    <xf numFmtId="5" fontId="90" fillId="0" borderId="51" xfId="4" applyNumberFormat="1" applyFont="1" applyBorder="1" applyAlignment="1" applyProtection="1">
      <protection locked="0"/>
    </xf>
    <xf numFmtId="5" fontId="105" fillId="0" borderId="0" xfId="4" applyNumberFormat="1" applyFont="1" applyAlignment="1" applyProtection="1"/>
    <xf numFmtId="0" fontId="105" fillId="0" borderId="0" xfId="4" applyFont="1" applyAlignment="1" applyProtection="1"/>
    <xf numFmtId="5" fontId="90" fillId="0" borderId="15" xfId="4" applyNumberFormat="1" applyFont="1" applyBorder="1" applyAlignment="1" applyProtection="1">
      <alignment horizontal="center"/>
      <protection locked="0"/>
    </xf>
    <xf numFmtId="5" fontId="90" fillId="0" borderId="51" xfId="4" applyNumberFormat="1" applyFont="1" applyBorder="1" applyAlignment="1" applyProtection="1">
      <alignment horizontal="center"/>
      <protection locked="0"/>
    </xf>
    <xf numFmtId="0" fontId="105" fillId="0" borderId="0" xfId="4" applyFont="1" applyBorder="1" applyProtection="1"/>
    <xf numFmtId="0" fontId="94" fillId="0" borderId="0" xfId="4" applyFont="1" applyAlignment="1" applyProtection="1">
      <alignment vertical="top"/>
    </xf>
    <xf numFmtId="0" fontId="94" fillId="0" borderId="15" xfId="4" applyFont="1" applyBorder="1" applyAlignment="1" applyProtection="1">
      <alignment vertical="top"/>
    </xf>
    <xf numFmtId="0" fontId="96" fillId="0" borderId="15" xfId="4" applyFont="1" applyBorder="1" applyProtection="1"/>
    <xf numFmtId="0" fontId="94" fillId="0" borderId="0" xfId="4" applyFont="1" applyBorder="1" applyAlignment="1" applyProtection="1">
      <alignment vertical="top"/>
    </xf>
    <xf numFmtId="0" fontId="134" fillId="0" borderId="0" xfId="4" applyFont="1" applyAlignment="1" applyProtection="1">
      <alignment vertical="top"/>
    </xf>
    <xf numFmtId="0" fontId="94" fillId="0" borderId="0" xfId="4" applyFont="1" applyProtection="1"/>
    <xf numFmtId="0" fontId="134" fillId="0" borderId="0" xfId="4" applyFont="1" applyAlignment="1" applyProtection="1">
      <alignment horizontal="right" vertical="top"/>
    </xf>
    <xf numFmtId="0" fontId="103" fillId="0" borderId="0" xfId="4" applyFont="1" applyAlignment="1" applyProtection="1">
      <alignment horizontal="center" vertical="center"/>
    </xf>
    <xf numFmtId="0" fontId="96" fillId="0" borderId="30" xfId="4" applyFont="1" applyBorder="1" applyProtection="1"/>
    <xf numFmtId="169" fontId="95" fillId="0" borderId="30" xfId="4" applyNumberFormat="1" applyFont="1" applyBorder="1" applyAlignment="1" applyProtection="1">
      <alignment horizontal="center"/>
    </xf>
    <xf numFmtId="1" fontId="95" fillId="0" borderId="48" xfId="4" applyNumberFormat="1" applyFont="1" applyBorder="1" applyAlignment="1" applyProtection="1">
      <alignment horizontal="center"/>
    </xf>
    <xf numFmtId="0" fontId="95" fillId="0" borderId="16" xfId="4" applyFont="1" applyBorder="1" applyAlignment="1" applyProtection="1">
      <alignment horizontal="centerContinuous"/>
    </xf>
    <xf numFmtId="0" fontId="95" fillId="0" borderId="48" xfId="4" applyFont="1" applyBorder="1" applyAlignment="1" applyProtection="1">
      <alignment horizontal="centerContinuous"/>
    </xf>
    <xf numFmtId="0" fontId="95" fillId="0" borderId="52" xfId="4" applyFont="1" applyBorder="1" applyAlignment="1" applyProtection="1">
      <alignment horizontal="centerContinuous"/>
    </xf>
    <xf numFmtId="0" fontId="95" fillId="0" borderId="30" xfId="4" applyFont="1" applyBorder="1" applyAlignment="1" applyProtection="1">
      <alignment horizontal="center"/>
    </xf>
    <xf numFmtId="0" fontId="95" fillId="8" borderId="30" xfId="4" applyFont="1" applyFill="1" applyBorder="1" applyAlignment="1" applyProtection="1">
      <alignment horizontal="center"/>
    </xf>
    <xf numFmtId="0" fontId="95" fillId="8" borderId="48" xfId="4" applyFont="1" applyFill="1" applyBorder="1" applyAlignment="1" applyProtection="1">
      <alignment horizontal="center"/>
    </xf>
    <xf numFmtId="0" fontId="95" fillId="0" borderId="38" xfId="4" applyFont="1" applyBorder="1" applyAlignment="1" applyProtection="1">
      <alignment horizontal="left"/>
    </xf>
    <xf numFmtId="169" fontId="95" fillId="0" borderId="35" xfId="4" applyNumberFormat="1" applyFont="1" applyBorder="1" applyAlignment="1" applyProtection="1">
      <alignment horizontal="center"/>
    </xf>
    <xf numFmtId="1" fontId="95" fillId="0" borderId="37" xfId="4" applyNumberFormat="1" applyFont="1" applyBorder="1" applyAlignment="1" applyProtection="1">
      <alignment horizontal="center"/>
    </xf>
    <xf numFmtId="0" fontId="95" fillId="0" borderId="0" xfId="4" applyFont="1" applyBorder="1" applyAlignment="1" applyProtection="1">
      <alignment horizontal="centerContinuous"/>
    </xf>
    <xf numFmtId="0" fontId="95" fillId="0" borderId="37" xfId="4" applyFont="1" applyBorder="1" applyAlignment="1" applyProtection="1">
      <alignment horizontal="centerContinuous"/>
    </xf>
    <xf numFmtId="0" fontId="95" fillId="12" borderId="53" xfId="4" applyFont="1" applyFill="1" applyBorder="1" applyAlignment="1" applyProtection="1">
      <alignment horizontal="center"/>
    </xf>
    <xf numFmtId="0" fontId="95" fillId="13" borderId="53" xfId="4" applyFont="1" applyFill="1" applyBorder="1" applyAlignment="1" applyProtection="1">
      <alignment horizontal="center"/>
    </xf>
    <xf numFmtId="0" fontId="95" fillId="0" borderId="53" xfId="4" applyFont="1" applyBorder="1" applyAlignment="1" applyProtection="1">
      <alignment horizontal="center"/>
    </xf>
    <xf numFmtId="0" fontId="95" fillId="8" borderId="53" xfId="4" applyFont="1" applyFill="1" applyBorder="1" applyAlignment="1" applyProtection="1">
      <alignment horizontal="center"/>
    </xf>
    <xf numFmtId="0" fontId="95" fillId="8" borderId="37" xfId="4" applyFont="1" applyFill="1" applyBorder="1" applyAlignment="1" applyProtection="1">
      <alignment horizontal="center"/>
    </xf>
    <xf numFmtId="0" fontId="95" fillId="0" borderId="35" xfId="4" applyFont="1" applyBorder="1" applyAlignment="1" applyProtection="1">
      <alignment horizontal="center"/>
    </xf>
    <xf numFmtId="0" fontId="95" fillId="0" borderId="37" xfId="4" applyFont="1" applyBorder="1" applyAlignment="1" applyProtection="1">
      <alignment horizontal="center"/>
    </xf>
    <xf numFmtId="0" fontId="95" fillId="0" borderId="38" xfId="4" applyFont="1" applyBorder="1" applyAlignment="1" applyProtection="1">
      <alignment horizontal="center"/>
    </xf>
    <xf numFmtId="0" fontId="95" fillId="0" borderId="54" xfId="4" applyFont="1" applyBorder="1" applyAlignment="1" applyProtection="1"/>
    <xf numFmtId="0" fontId="95" fillId="8" borderId="53" xfId="4" quotePrefix="1" applyFont="1" applyFill="1" applyBorder="1" applyAlignment="1" applyProtection="1">
      <alignment horizontal="center"/>
    </xf>
    <xf numFmtId="169" fontId="95" fillId="0" borderId="31" xfId="4" applyNumberFormat="1" applyFont="1" applyBorder="1" applyAlignment="1" applyProtection="1">
      <alignment horizontal="center"/>
    </xf>
    <xf numFmtId="1" fontId="95" fillId="0" borderId="34" xfId="4" applyNumberFormat="1" applyFont="1" applyBorder="1" applyAlignment="1" applyProtection="1">
      <alignment horizontal="center"/>
    </xf>
    <xf numFmtId="0" fontId="95" fillId="0" borderId="31" xfId="4" applyFont="1" applyBorder="1" applyAlignment="1" applyProtection="1">
      <alignment horizontal="center"/>
    </xf>
    <xf numFmtId="0" fontId="95" fillId="0" borderId="34" xfId="4" applyFont="1" applyBorder="1" applyAlignment="1" applyProtection="1">
      <alignment horizontal="center"/>
    </xf>
    <xf numFmtId="0" fontId="95" fillId="0" borderId="36" xfId="4" applyFont="1" applyBorder="1" applyAlignment="1" applyProtection="1">
      <alignment horizontal="center"/>
    </xf>
    <xf numFmtId="0" fontId="95" fillId="12" borderId="55" xfId="4" applyFont="1" applyFill="1" applyBorder="1" applyAlignment="1" applyProtection="1">
      <alignment horizontal="center"/>
    </xf>
    <xf numFmtId="0" fontId="95" fillId="8" borderId="55" xfId="4" applyFont="1" applyFill="1" applyBorder="1" applyAlignment="1" applyProtection="1">
      <alignment horizontal="center"/>
    </xf>
    <xf numFmtId="0" fontId="95" fillId="13" borderId="55" xfId="4" applyFont="1" applyFill="1" applyBorder="1" applyAlignment="1" applyProtection="1">
      <alignment horizontal="center"/>
    </xf>
    <xf numFmtId="0" fontId="95" fillId="0" borderId="55" xfId="4" applyFont="1" applyBorder="1" applyAlignment="1" applyProtection="1">
      <alignment horizontal="center"/>
    </xf>
    <xf numFmtId="0" fontId="95" fillId="8" borderId="34" xfId="4" applyFont="1" applyFill="1" applyBorder="1" applyAlignment="1" applyProtection="1">
      <alignment horizontal="center"/>
    </xf>
    <xf numFmtId="3" fontId="94" fillId="0" borderId="11" xfId="4" applyNumberFormat="1" applyFont="1" applyBorder="1" applyAlignment="1" applyProtection="1">
      <alignment horizontal="left" vertical="center" wrapText="1"/>
      <protection locked="0"/>
    </xf>
    <xf numFmtId="0" fontId="96" fillId="0" borderId="0" xfId="4" applyFont="1" applyAlignment="1" applyProtection="1">
      <alignment textRotation="180" wrapText="1"/>
    </xf>
    <xf numFmtId="3" fontId="94" fillId="0" borderId="0" xfId="4" applyNumberFormat="1" applyFont="1" applyBorder="1" applyAlignment="1" applyProtection="1">
      <alignment horizontal="left" vertical="center" wrapText="1"/>
      <protection locked="0"/>
    </xf>
    <xf numFmtId="169" fontId="94" fillId="0" borderId="0" xfId="4" applyNumberFormat="1" applyFont="1" applyBorder="1" applyAlignment="1" applyProtection="1">
      <alignment horizontal="center"/>
      <protection locked="0"/>
    </xf>
    <xf numFmtId="1" fontId="94" fillId="0" borderId="0" xfId="4" applyNumberFormat="1" applyFont="1" applyBorder="1" applyAlignment="1" applyProtection="1">
      <alignment horizontal="center"/>
      <protection locked="0"/>
    </xf>
    <xf numFmtId="3" fontId="94" fillId="0" borderId="0" xfId="4" applyNumberFormat="1" applyFont="1" applyBorder="1" applyAlignment="1" applyProtection="1">
      <alignment horizontal="center"/>
      <protection locked="0"/>
    </xf>
    <xf numFmtId="169" fontId="94" fillId="0" borderId="0" xfId="4" applyNumberFormat="1" applyFont="1" applyBorder="1" applyProtection="1"/>
    <xf numFmtId="1" fontId="94" fillId="0" borderId="0" xfId="4" applyNumberFormat="1" applyFont="1" applyBorder="1" applyProtection="1"/>
    <xf numFmtId="0" fontId="89" fillId="12" borderId="0" xfId="4" applyFont="1" applyFill="1" applyProtection="1"/>
    <xf numFmtId="169" fontId="96" fillId="12" borderId="0" xfId="4" applyNumberFormat="1" applyFont="1" applyFill="1" applyProtection="1"/>
    <xf numFmtId="1" fontId="96" fillId="12" borderId="0" xfId="4" applyNumberFormat="1" applyFont="1" applyFill="1" applyProtection="1"/>
    <xf numFmtId="0" fontId="96" fillId="12" borderId="0" xfId="4" applyFont="1" applyFill="1" applyProtection="1"/>
    <xf numFmtId="169" fontId="96" fillId="0" borderId="0" xfId="4" applyNumberFormat="1" applyFont="1" applyFill="1" applyProtection="1"/>
    <xf numFmtId="1" fontId="96" fillId="0" borderId="0" xfId="4" applyNumberFormat="1" applyFont="1" applyFill="1" applyProtection="1"/>
    <xf numFmtId="169" fontId="96" fillId="0" borderId="0" xfId="4" applyNumberFormat="1" applyFont="1" applyProtection="1"/>
    <xf numFmtId="1" fontId="96" fillId="0" borderId="0" xfId="4" applyNumberFormat="1" applyFont="1" applyProtection="1"/>
    <xf numFmtId="0" fontId="89" fillId="0" borderId="15" xfId="4" applyFont="1" applyBorder="1" applyProtection="1"/>
    <xf numFmtId="169" fontId="96" fillId="0" borderId="15" xfId="4" applyNumberFormat="1" applyFont="1" applyBorder="1" applyProtection="1"/>
    <xf numFmtId="1" fontId="96" fillId="0" borderId="15" xfId="4" applyNumberFormat="1" applyFont="1" applyBorder="1" applyProtection="1"/>
    <xf numFmtId="0" fontId="96" fillId="0" borderId="15" xfId="4" applyFont="1" applyBorder="1" applyAlignment="1" applyProtection="1">
      <alignment horizontal="center"/>
    </xf>
    <xf numFmtId="0" fontId="134" fillId="0" borderId="0" xfId="4" applyFont="1" applyAlignment="1" applyProtection="1">
      <alignment horizontal="left" wrapText="1"/>
    </xf>
    <xf numFmtId="0" fontId="134" fillId="0" borderId="0" xfId="4" applyFont="1" applyAlignment="1" applyProtection="1"/>
    <xf numFmtId="0" fontId="134" fillId="0" borderId="0" xfId="4" applyFont="1" applyAlignment="1" applyProtection="1">
      <alignment wrapText="1"/>
    </xf>
    <xf numFmtId="0" fontId="94" fillId="0" borderId="0" xfId="4" applyFont="1" applyAlignment="1" applyProtection="1">
      <alignment horizontal="left" wrapText="1"/>
    </xf>
    <xf numFmtId="0" fontId="94" fillId="0" borderId="0" xfId="4" applyFont="1" applyAlignment="1" applyProtection="1">
      <alignment horizontal="left"/>
    </xf>
    <xf numFmtId="169" fontId="94" fillId="0" borderId="0" xfId="4" applyNumberFormat="1" applyFont="1" applyProtection="1"/>
    <xf numFmtId="1" fontId="94" fillId="0" borderId="0" xfId="4" applyNumberFormat="1" applyFont="1" applyProtection="1"/>
    <xf numFmtId="0" fontId="94" fillId="0" borderId="0" xfId="4" applyFont="1" applyAlignment="1" applyProtection="1">
      <alignment horizontal="center"/>
    </xf>
    <xf numFmtId="0" fontId="134" fillId="0" borderId="0" xfId="4" applyFont="1" applyAlignment="1" applyProtection="1">
      <alignment vertical="center"/>
    </xf>
    <xf numFmtId="0" fontId="135" fillId="0" borderId="0" xfId="4" applyFont="1" applyFill="1" applyProtection="1"/>
    <xf numFmtId="0" fontId="105" fillId="0" borderId="0" xfId="4" applyFont="1" applyAlignment="1" applyProtection="1">
      <alignment vertical="center"/>
    </xf>
    <xf numFmtId="49" fontId="105" fillId="0" borderId="0" xfId="4" applyNumberFormat="1" applyFont="1" applyBorder="1" applyAlignment="1" applyProtection="1">
      <alignment horizontal="center" vertical="top"/>
    </xf>
    <xf numFmtId="165" fontId="89" fillId="0" borderId="0" xfId="4" applyNumberFormat="1" applyFont="1" applyBorder="1" applyAlignment="1" applyProtection="1">
      <alignment horizontal="center" vertical="center"/>
    </xf>
    <xf numFmtId="166" fontId="105" fillId="0" borderId="0" xfId="4" applyNumberFormat="1" applyFont="1" applyBorder="1" applyAlignment="1" applyProtection="1">
      <alignment horizontal="center" vertical="top"/>
    </xf>
    <xf numFmtId="0" fontId="89" fillId="0" borderId="0" xfId="4" applyFont="1" applyAlignment="1" applyProtection="1">
      <alignment horizontal="center" vertical="center"/>
    </xf>
    <xf numFmtId="0" fontId="105" fillId="0" borderId="16" xfId="4" applyFont="1" applyBorder="1" applyProtection="1"/>
    <xf numFmtId="0" fontId="96" fillId="0" borderId="16" xfId="4" applyFont="1" applyBorder="1" applyProtection="1"/>
    <xf numFmtId="0" fontId="96" fillId="0" borderId="16" xfId="4" applyFont="1" applyBorder="1" applyAlignment="1" applyProtection="1">
      <alignment horizontal="center"/>
    </xf>
    <xf numFmtId="0" fontId="96" fillId="0" borderId="0" xfId="4" applyFont="1" applyFill="1" applyBorder="1" applyProtection="1"/>
    <xf numFmtId="0" fontId="105" fillId="0" borderId="0" xfId="4" applyFont="1" applyFill="1" applyBorder="1" applyAlignment="1" applyProtection="1">
      <alignment horizontal="centerContinuous"/>
    </xf>
    <xf numFmtId="0" fontId="96" fillId="0" borderId="0" xfId="4" applyFont="1" applyBorder="1" applyAlignment="1" applyProtection="1">
      <alignment horizontal="center"/>
    </xf>
    <xf numFmtId="0" fontId="95" fillId="0" borderId="0" xfId="4" applyFont="1" applyBorder="1" applyProtection="1"/>
    <xf numFmtId="178" fontId="105" fillId="0" borderId="28" xfId="4" applyNumberFormat="1" applyFont="1" applyBorder="1" applyAlignment="1" applyProtection="1">
      <alignment horizontal="left"/>
      <protection locked="0"/>
    </xf>
    <xf numFmtId="0" fontId="95" fillId="0" borderId="0" xfId="4" applyFont="1" applyProtection="1"/>
    <xf numFmtId="0" fontId="96" fillId="0" borderId="11" xfId="4" applyFont="1" applyBorder="1" applyAlignment="1" applyProtection="1">
      <alignment horizontal="center" vertical="center"/>
      <protection locked="0"/>
    </xf>
    <xf numFmtId="0" fontId="96" fillId="0" borderId="0" xfId="4" applyFont="1" applyBorder="1" applyAlignment="1" applyProtection="1">
      <alignment horizontal="left" indent="1"/>
    </xf>
    <xf numFmtId="0" fontId="95" fillId="0" borderId="0" xfId="4" applyFont="1" applyBorder="1" applyAlignment="1" applyProtection="1">
      <alignment horizontal="left" indent="1"/>
    </xf>
    <xf numFmtId="0" fontId="95" fillId="0" borderId="0" xfId="4" applyFont="1" applyBorder="1" applyAlignment="1" applyProtection="1">
      <alignment horizontal="left"/>
    </xf>
    <xf numFmtId="0" fontId="96" fillId="0" borderId="28" xfId="4" applyFont="1" applyBorder="1" applyProtection="1">
      <protection locked="0"/>
    </xf>
    <xf numFmtId="0" fontId="95" fillId="0" borderId="16" xfId="4" quotePrefix="1" applyFont="1" applyBorder="1" applyAlignment="1" applyProtection="1">
      <alignment horizontal="left"/>
    </xf>
    <xf numFmtId="0" fontId="90" fillId="0" borderId="16" xfId="4" applyFont="1" applyBorder="1" applyProtection="1"/>
    <xf numFmtId="0" fontId="90" fillId="0" borderId="16" xfId="4" applyFont="1" applyBorder="1" applyAlignment="1" applyProtection="1">
      <alignment horizontal="center"/>
    </xf>
    <xf numFmtId="0" fontId="90" fillId="0" borderId="0" xfId="4" applyFont="1" applyFill="1" applyBorder="1" applyProtection="1"/>
    <xf numFmtId="0" fontId="96" fillId="0" borderId="0" xfId="4" applyFont="1" applyFill="1" applyBorder="1" applyAlignment="1" applyProtection="1"/>
    <xf numFmtId="0" fontId="96" fillId="0" borderId="0" xfId="4" applyFont="1" applyAlignment="1" applyProtection="1">
      <alignment horizontal="left"/>
    </xf>
    <xf numFmtId="0" fontId="96" fillId="0" borderId="0" xfId="4" applyFont="1" applyAlignment="1" applyProtection="1"/>
    <xf numFmtId="8" fontId="96" fillId="0" borderId="0" xfId="4" applyNumberFormat="1" applyFont="1" applyAlignment="1" applyProtection="1">
      <alignment horizontal="left"/>
    </xf>
    <xf numFmtId="0" fontId="95" fillId="0" borderId="16" xfId="4" applyFont="1" applyBorder="1" applyProtection="1"/>
    <xf numFmtId="0" fontId="96" fillId="0" borderId="0" xfId="4" applyFont="1" applyBorder="1" applyAlignment="1" applyProtection="1">
      <alignment horizontal="left"/>
    </xf>
    <xf numFmtId="0" fontId="95" fillId="0" borderId="16" xfId="4" applyFont="1" applyBorder="1" applyAlignment="1" applyProtection="1">
      <alignment horizontal="left"/>
    </xf>
    <xf numFmtId="0" fontId="96" fillId="0" borderId="15" xfId="4" applyFont="1" applyFill="1" applyBorder="1" applyProtection="1"/>
    <xf numFmtId="0" fontId="96" fillId="0" borderId="15" xfId="4" applyFont="1" applyFill="1" applyBorder="1" applyAlignment="1" applyProtection="1">
      <alignment horizontal="center"/>
    </xf>
    <xf numFmtId="0" fontId="134" fillId="0" borderId="0" xfId="4" applyFont="1" applyBorder="1" applyProtection="1"/>
    <xf numFmtId="0" fontId="134" fillId="0" borderId="0" xfId="4" applyFont="1" applyProtection="1"/>
    <xf numFmtId="0" fontId="95" fillId="0" borderId="0" xfId="4" applyFont="1" applyAlignment="1" applyProtection="1">
      <alignment horizontal="center" vertical="top" textRotation="180"/>
    </xf>
    <xf numFmtId="0" fontId="95" fillId="0" borderId="0" xfId="4" applyFont="1" applyAlignment="1" applyProtection="1">
      <alignment horizontal="right" vertical="center" textRotation="180"/>
    </xf>
    <xf numFmtId="0" fontId="105" fillId="0" borderId="0" xfId="4" applyFont="1" applyAlignment="1" applyProtection="1">
      <alignment vertical="center" textRotation="180"/>
    </xf>
    <xf numFmtId="169" fontId="105" fillId="0" borderId="0" xfId="4" applyNumberFormat="1" applyFont="1" applyBorder="1" applyProtection="1"/>
    <xf numFmtId="169" fontId="96" fillId="0" borderId="16" xfId="4" applyNumberFormat="1" applyFont="1" applyBorder="1" applyProtection="1"/>
    <xf numFmtId="169" fontId="96" fillId="0" borderId="28" xfId="4" applyNumberFormat="1" applyFont="1" applyBorder="1" applyProtection="1"/>
    <xf numFmtId="0" fontId="96" fillId="0" borderId="28" xfId="4" applyFont="1" applyBorder="1" applyProtection="1"/>
    <xf numFmtId="0" fontId="96" fillId="0" borderId="28" xfId="4" applyFont="1" applyBorder="1" applyAlignment="1" applyProtection="1">
      <alignment horizontal="center"/>
    </xf>
    <xf numFmtId="169" fontId="96" fillId="0" borderId="0" xfId="4" applyNumberFormat="1" applyFont="1" applyBorder="1" applyProtection="1"/>
    <xf numFmtId="169" fontId="117" fillId="0" borderId="0" xfId="4" applyNumberFormat="1" applyFont="1" applyBorder="1" applyAlignment="1" applyProtection="1">
      <alignment horizontal="left"/>
    </xf>
    <xf numFmtId="0" fontId="110" fillId="0" borderId="0" xfId="4" applyFont="1" applyBorder="1" applyAlignment="1" applyProtection="1">
      <alignment horizontal="left"/>
    </xf>
    <xf numFmtId="0" fontId="96" fillId="0" borderId="0" xfId="4" applyFont="1" applyBorder="1" applyAlignment="1" applyProtection="1"/>
    <xf numFmtId="0" fontId="94" fillId="0" borderId="0" xfId="4" applyFont="1" applyBorder="1" applyAlignment="1" applyProtection="1">
      <alignment horizontal="centerContinuous"/>
    </xf>
    <xf numFmtId="0" fontId="96" fillId="0" borderId="0" xfId="4" applyFont="1" applyBorder="1" applyAlignment="1" applyProtection="1">
      <alignment horizontal="centerContinuous"/>
    </xf>
    <xf numFmtId="169" fontId="95" fillId="0" borderId="0" xfId="4" applyNumberFormat="1" applyFont="1" applyProtection="1"/>
    <xf numFmtId="169" fontId="94" fillId="0" borderId="0" xfId="4" applyNumberFormat="1" applyFont="1" applyAlignment="1" applyProtection="1">
      <alignment horizontal="left"/>
    </xf>
    <xf numFmtId="0" fontId="90" fillId="0" borderId="0" xfId="4" applyFont="1" applyAlignment="1" applyProtection="1">
      <alignment horizontal="left"/>
    </xf>
    <xf numFmtId="0" fontId="96" fillId="0" borderId="28" xfId="4" applyFont="1" applyBorder="1" applyAlignment="1" applyProtection="1">
      <alignment horizontal="center" vertical="center"/>
      <protection locked="0"/>
    </xf>
    <xf numFmtId="0" fontId="96" fillId="0" borderId="0" xfId="4" applyFont="1" applyBorder="1" applyAlignment="1" applyProtection="1">
      <alignment horizontal="center" vertical="center"/>
      <protection locked="0"/>
    </xf>
    <xf numFmtId="0" fontId="136" fillId="0" borderId="0" xfId="4" applyFont="1" applyBorder="1" applyAlignment="1" applyProtection="1">
      <alignment horizontal="left"/>
    </xf>
    <xf numFmtId="169" fontId="124" fillId="0" borderId="0" xfId="4" applyNumberFormat="1" applyFont="1" applyProtection="1"/>
    <xf numFmtId="0" fontId="93" fillId="0" borderId="0" xfId="4" applyFont="1" applyProtection="1"/>
    <xf numFmtId="169" fontId="94" fillId="0" borderId="56" xfId="4" applyNumberFormat="1" applyFont="1" applyBorder="1" applyAlignment="1" applyProtection="1">
      <alignment horizontal="center"/>
    </xf>
    <xf numFmtId="169" fontId="94" fillId="0" borderId="57" xfId="4" applyNumberFormat="1" applyFont="1" applyBorder="1" applyAlignment="1" applyProtection="1">
      <alignment horizontal="center"/>
      <protection locked="0"/>
    </xf>
    <xf numFmtId="169" fontId="137" fillId="0" borderId="0" xfId="4" applyNumberFormat="1" applyFont="1" applyProtection="1"/>
    <xf numFmtId="6" fontId="133" fillId="0" borderId="51" xfId="4" applyNumberFormat="1" applyFont="1" applyBorder="1" applyProtection="1"/>
    <xf numFmtId="6" fontId="133" fillId="0" borderId="0" xfId="4" applyNumberFormat="1" applyFont="1" applyBorder="1" applyProtection="1"/>
    <xf numFmtId="10" fontId="95" fillId="0" borderId="57" xfId="4" applyNumberFormat="1" applyFont="1" applyBorder="1" applyProtection="1"/>
    <xf numFmtId="6" fontId="94" fillId="0" borderId="0" xfId="4" applyNumberFormat="1" applyFont="1" applyProtection="1"/>
    <xf numFmtId="0" fontId="133" fillId="0" borderId="0" xfId="4" applyFont="1" applyProtection="1"/>
    <xf numFmtId="10" fontId="137" fillId="0" borderId="0" xfId="4" applyNumberFormat="1" applyFont="1" applyBorder="1" applyProtection="1"/>
    <xf numFmtId="2" fontId="106" fillId="0" borderId="15" xfId="4" applyNumberFormat="1" applyFont="1" applyBorder="1" applyProtection="1"/>
    <xf numFmtId="0" fontId="106" fillId="0" borderId="15" xfId="4" applyFont="1" applyBorder="1" applyAlignment="1" applyProtection="1">
      <alignment horizontal="center"/>
    </xf>
    <xf numFmtId="0" fontId="106" fillId="0" borderId="15" xfId="4" applyFont="1" applyBorder="1" applyProtection="1"/>
    <xf numFmtId="2" fontId="106" fillId="0" borderId="0" xfId="4" applyNumberFormat="1" applyFont="1" applyBorder="1" applyProtection="1"/>
    <xf numFmtId="0" fontId="106" fillId="0" borderId="0" xfId="4" applyFont="1" applyBorder="1" applyAlignment="1" applyProtection="1">
      <alignment horizontal="center"/>
    </xf>
    <xf numFmtId="0" fontId="106" fillId="0" borderId="0" xfId="4" applyFont="1" applyBorder="1" applyProtection="1"/>
    <xf numFmtId="0" fontId="94" fillId="0" borderId="0" xfId="4" applyFont="1" applyAlignment="1" applyProtection="1">
      <alignment horizontal="left" vertical="center"/>
    </xf>
    <xf numFmtId="169" fontId="134" fillId="0" borderId="0" xfId="4" applyNumberFormat="1" applyFont="1" applyBorder="1" applyAlignment="1" applyProtection="1">
      <alignment horizontal="left" vertical="center"/>
    </xf>
    <xf numFmtId="0" fontId="134" fillId="0" borderId="0" xfId="4" applyFont="1" applyBorder="1" applyAlignment="1" applyProtection="1">
      <alignment horizontal="left" vertical="center"/>
    </xf>
    <xf numFmtId="0" fontId="96" fillId="0" borderId="0" xfId="4" applyFont="1" applyAlignment="1" applyProtection="1">
      <alignment horizontal="left" vertical="center"/>
    </xf>
    <xf numFmtId="169" fontId="94" fillId="0" borderId="0" xfId="4" applyNumberFormat="1" applyFont="1" applyAlignment="1" applyProtection="1">
      <alignment horizontal="left" vertical="center"/>
    </xf>
    <xf numFmtId="169" fontId="134" fillId="0" borderId="0" xfId="4" applyNumberFormat="1" applyFont="1" applyAlignment="1" applyProtection="1">
      <alignment horizontal="left" vertical="center"/>
    </xf>
    <xf numFmtId="0" fontId="134" fillId="0" borderId="0" xfId="4" applyFont="1" applyAlignment="1" applyProtection="1">
      <alignment horizontal="left" vertical="center"/>
    </xf>
    <xf numFmtId="49" fontId="105" fillId="0" borderId="0" xfId="4" applyNumberFormat="1" applyFont="1" applyBorder="1" applyAlignment="1" applyProtection="1">
      <alignment horizontal="center" vertical="center"/>
    </xf>
    <xf numFmtId="166" fontId="105" fillId="0" borderId="0" xfId="4" applyNumberFormat="1" applyFont="1" applyBorder="1" applyAlignment="1" applyProtection="1">
      <alignment horizontal="center" vertical="center"/>
    </xf>
    <xf numFmtId="178" fontId="105" fillId="0" borderId="58" xfId="4" applyNumberFormat="1" applyFont="1" applyBorder="1" applyAlignment="1" applyProtection="1">
      <alignment horizontal="center"/>
      <protection locked="0"/>
    </xf>
    <xf numFmtId="0" fontId="96" fillId="0" borderId="11" xfId="4" applyFont="1" applyBorder="1" applyAlignment="1" applyProtection="1">
      <alignment horizontal="center"/>
      <protection locked="0"/>
    </xf>
    <xf numFmtId="0" fontId="94" fillId="0" borderId="0" xfId="4" applyFont="1" applyAlignment="1" applyProtection="1">
      <alignment horizontal="left" vertical="center" indent="1"/>
    </xf>
    <xf numFmtId="0" fontId="94" fillId="0" borderId="0" xfId="4" applyFont="1" applyAlignment="1" applyProtection="1">
      <alignment horizontal="left" indent="1"/>
    </xf>
    <xf numFmtId="0" fontId="94" fillId="0" borderId="0" xfId="4" applyFont="1" applyBorder="1" applyAlignment="1" applyProtection="1">
      <alignment horizontal="left"/>
    </xf>
    <xf numFmtId="0" fontId="96" fillId="0" borderId="58" xfId="4" applyFont="1" applyBorder="1" applyProtection="1">
      <protection locked="0"/>
    </xf>
    <xf numFmtId="0" fontId="105" fillId="0" borderId="28" xfId="4" applyFont="1" applyBorder="1" applyProtection="1"/>
    <xf numFmtId="0" fontId="95" fillId="0" borderId="0" xfId="4" applyFont="1" applyAlignment="1" applyProtection="1">
      <alignment horizontal="center"/>
    </xf>
    <xf numFmtId="0" fontId="105" fillId="0" borderId="0" xfId="4" applyFont="1" applyBorder="1" applyAlignment="1" applyProtection="1">
      <alignment horizontal="center"/>
    </xf>
    <xf numFmtId="0" fontId="95" fillId="0" borderId="0" xfId="4" quotePrefix="1" applyFont="1" applyBorder="1" applyAlignment="1" applyProtection="1">
      <alignment horizontal="left"/>
    </xf>
    <xf numFmtId="0" fontId="90" fillId="0" borderId="0" xfId="4" applyFont="1" applyBorder="1" applyAlignment="1" applyProtection="1">
      <alignment horizontal="center"/>
    </xf>
    <xf numFmtId="0" fontId="96" fillId="0" borderId="28" xfId="4" applyFont="1" applyBorder="1" applyAlignment="1" applyProtection="1">
      <alignment horizontal="left"/>
    </xf>
    <xf numFmtId="0" fontId="96" fillId="0" borderId="28" xfId="4" applyFont="1" applyBorder="1" applyAlignment="1" applyProtection="1"/>
    <xf numFmtId="170" fontId="96" fillId="0" borderId="28" xfId="4" applyNumberFormat="1" applyFont="1" applyBorder="1" applyAlignment="1" applyProtection="1">
      <alignment horizontal="centerContinuous"/>
    </xf>
    <xf numFmtId="0" fontId="103" fillId="0" borderId="59" xfId="4" applyFont="1" applyBorder="1" applyAlignment="1" applyProtection="1">
      <alignment horizontal="left"/>
    </xf>
    <xf numFmtId="0" fontId="96" fillId="0" borderId="59" xfId="4" applyFont="1" applyBorder="1" applyProtection="1"/>
    <xf numFmtId="0" fontId="96" fillId="0" borderId="59" xfId="4" applyFont="1" applyBorder="1" applyAlignment="1" applyProtection="1">
      <alignment horizontal="center"/>
    </xf>
    <xf numFmtId="49" fontId="89" fillId="0" borderId="0" xfId="4" applyNumberFormat="1" applyFont="1" applyBorder="1" applyAlignment="1" applyProtection="1">
      <alignment horizontal="center" vertical="center"/>
    </xf>
    <xf numFmtId="166" fontId="89" fillId="0" borderId="0" xfId="4" applyNumberFormat="1" applyFont="1" applyBorder="1" applyAlignment="1" applyProtection="1">
      <alignment horizontal="center" vertical="center"/>
    </xf>
    <xf numFmtId="49" fontId="89" fillId="0" borderId="0" xfId="4" applyNumberFormat="1" applyFont="1" applyAlignment="1" applyProtection="1">
      <alignment horizontal="center" vertical="center"/>
    </xf>
    <xf numFmtId="0" fontId="90" fillId="0" borderId="0" xfId="4" applyFont="1" applyBorder="1" applyAlignment="1" applyProtection="1">
      <alignment vertical="center"/>
    </xf>
    <xf numFmtId="0" fontId="124" fillId="0" borderId="0" xfId="4" applyFont="1" applyBorder="1" applyAlignment="1" applyProtection="1">
      <alignment horizontal="center"/>
    </xf>
    <xf numFmtId="179" fontId="96" fillId="0" borderId="0" xfId="4" applyNumberFormat="1" applyFont="1" applyBorder="1" applyProtection="1">
      <protection locked="0"/>
    </xf>
    <xf numFmtId="179" fontId="96" fillId="0" borderId="0" xfId="4" applyNumberFormat="1" applyFont="1" applyBorder="1" applyAlignment="1" applyProtection="1">
      <alignment horizontal="left"/>
      <protection locked="0"/>
    </xf>
    <xf numFmtId="179" fontId="95" fillId="0" borderId="0" xfId="4" applyNumberFormat="1" applyFont="1" applyProtection="1">
      <protection locked="0"/>
    </xf>
    <xf numFmtId="179" fontId="96" fillId="0" borderId="0" xfId="4" applyNumberFormat="1" applyFont="1" applyProtection="1">
      <protection locked="0"/>
    </xf>
    <xf numFmtId="179" fontId="96" fillId="0" borderId="0" xfId="4" applyNumberFormat="1" applyFont="1" applyAlignment="1" applyProtection="1">
      <alignment horizontal="left"/>
      <protection locked="0"/>
    </xf>
    <xf numFmtId="49" fontId="110" fillId="0" borderId="0" xfId="4" applyNumberFormat="1" applyFont="1" applyBorder="1" applyAlignment="1" applyProtection="1">
      <alignment horizontal="left"/>
      <protection locked="0"/>
    </xf>
    <xf numFmtId="49" fontId="96" fillId="0" borderId="0" xfId="4" applyNumberFormat="1" applyFont="1" applyProtection="1">
      <protection locked="0"/>
    </xf>
    <xf numFmtId="49" fontId="96" fillId="0" borderId="15" xfId="4" applyNumberFormat="1" applyFont="1" applyBorder="1" applyAlignment="1" applyProtection="1">
      <protection locked="0"/>
    </xf>
    <xf numFmtId="0" fontId="96" fillId="0" borderId="15" xfId="4" applyFont="1" applyBorder="1" applyProtection="1">
      <protection locked="0"/>
    </xf>
    <xf numFmtId="0" fontId="134" fillId="0" borderId="0" xfId="4" applyFont="1" applyAlignment="1" applyProtection="1">
      <alignment horizontal="left"/>
    </xf>
    <xf numFmtId="0" fontId="94" fillId="0" borderId="0" xfId="4" applyFont="1" applyAlignment="1" applyProtection="1">
      <alignment horizontal="left" vertical="center" indent="2"/>
    </xf>
    <xf numFmtId="49" fontId="138" fillId="0" borderId="0" xfId="0" applyNumberFormat="1" applyFont="1" applyBorder="1" applyAlignment="1">
      <alignment horizontal="left"/>
    </xf>
    <xf numFmtId="49" fontId="92" fillId="0" borderId="0" xfId="2" applyNumberFormat="1" applyFont="1" applyBorder="1" applyAlignment="1" applyProtection="1">
      <alignment horizontal="left" indent="4"/>
    </xf>
    <xf numFmtId="49" fontId="99" fillId="0" borderId="0" xfId="0" applyNumberFormat="1" applyFont="1" applyBorder="1" applyAlignment="1">
      <alignment horizontal="left" indent="1"/>
    </xf>
    <xf numFmtId="0" fontId="138" fillId="0" borderId="0" xfId="0" applyFont="1" applyBorder="1" applyProtection="1"/>
    <xf numFmtId="164" fontId="94" fillId="0" borderId="9" xfId="0" applyNumberFormat="1" applyFont="1" applyFill="1" applyBorder="1" applyAlignment="1" applyProtection="1">
      <alignment horizontal="left" vertical="center" wrapText="1" indent="1"/>
    </xf>
    <xf numFmtId="164" fontId="94" fillId="0" borderId="2" xfId="0" applyNumberFormat="1" applyFont="1" applyFill="1" applyBorder="1" applyAlignment="1" applyProtection="1">
      <alignment horizontal="left" vertical="center" wrapText="1" indent="1"/>
    </xf>
    <xf numFmtId="164" fontId="94" fillId="0" borderId="2" xfId="0" applyNumberFormat="1" applyFont="1" applyFill="1" applyBorder="1" applyAlignment="1" applyProtection="1">
      <alignment horizontal="left" vertical="center" indent="1"/>
    </xf>
    <xf numFmtId="0" fontId="94" fillId="0" borderId="0" xfId="0" applyFont="1" applyFill="1" applyAlignment="1" applyProtection="1">
      <alignment horizontal="left" vertical="center" indent="1"/>
    </xf>
    <xf numFmtId="164" fontId="94" fillId="0" borderId="0" xfId="0" applyNumberFormat="1" applyFont="1" applyFill="1" applyBorder="1" applyAlignment="1" applyProtection="1">
      <alignment horizontal="left" vertical="center" wrapText="1" indent="1"/>
    </xf>
    <xf numFmtId="0" fontId="94" fillId="0" borderId="0" xfId="0" applyFont="1" applyFill="1" applyBorder="1" applyAlignment="1" applyProtection="1">
      <alignment horizontal="left" vertical="center" indent="1"/>
    </xf>
    <xf numFmtId="0" fontId="94" fillId="0" borderId="14" xfId="0" applyFont="1" applyBorder="1" applyAlignment="1" applyProtection="1">
      <alignment horizontal="left" vertical="top" indent="1"/>
    </xf>
    <xf numFmtId="0" fontId="94" fillId="0" borderId="0" xfId="0" applyFont="1" applyFill="1" applyBorder="1" applyAlignment="1" applyProtection="1">
      <alignment horizontal="left" vertical="top" indent="1"/>
    </xf>
    <xf numFmtId="0" fontId="94" fillId="0" borderId="6" xfId="0" applyFont="1" applyBorder="1" applyAlignment="1" applyProtection="1">
      <alignment horizontal="left" vertical="center" indent="1"/>
    </xf>
    <xf numFmtId="0" fontId="94" fillId="0" borderId="45" xfId="0" applyFont="1" applyBorder="1" applyAlignment="1" applyProtection="1">
      <alignment horizontal="left" vertical="center" indent="1"/>
    </xf>
    <xf numFmtId="0" fontId="94" fillId="0" borderId="60" xfId="0" applyFont="1" applyBorder="1" applyAlignment="1" applyProtection="1">
      <alignment horizontal="left" vertical="center" indent="1"/>
    </xf>
    <xf numFmtId="0" fontId="94" fillId="0" borderId="14" xfId="0" applyFont="1" applyBorder="1" applyAlignment="1" applyProtection="1">
      <alignment horizontal="left" vertical="center" wrapText="1" indent="1"/>
    </xf>
    <xf numFmtId="0" fontId="94" fillId="0" borderId="143" xfId="0" applyFont="1" applyFill="1" applyBorder="1" applyAlignment="1" applyProtection="1">
      <alignment horizontal="left" vertical="center" indent="1"/>
    </xf>
    <xf numFmtId="0" fontId="94" fillId="0" borderId="132" xfId="0" applyFont="1" applyFill="1" applyBorder="1" applyAlignment="1" applyProtection="1">
      <alignment horizontal="left" vertical="center" indent="1"/>
    </xf>
    <xf numFmtId="3" fontId="94" fillId="0" borderId="2" xfId="0" applyNumberFormat="1" applyFont="1" applyBorder="1" applyAlignment="1">
      <alignment horizontal="left" vertical="center" wrapText="1" indent="1"/>
    </xf>
    <xf numFmtId="3" fontId="94" fillId="0" borderId="8" xfId="0" applyNumberFormat="1" applyFont="1" applyBorder="1" applyAlignment="1">
      <alignment horizontal="left" vertical="center" wrapText="1" indent="1"/>
    </xf>
    <xf numFmtId="3" fontId="94" fillId="0" borderId="8" xfId="0" applyNumberFormat="1" applyFont="1" applyBorder="1" applyAlignment="1">
      <alignment horizontal="left" vertical="center" indent="1"/>
    </xf>
    <xf numFmtId="3" fontId="95" fillId="6" borderId="61" xfId="0" applyNumberFormat="1" applyFont="1" applyFill="1" applyBorder="1" applyAlignment="1">
      <alignment horizontal="left" vertical="center" wrapText="1" indent="1"/>
    </xf>
    <xf numFmtId="3" fontId="94" fillId="0" borderId="2" xfId="0" applyNumberFormat="1" applyFont="1" applyBorder="1" applyAlignment="1">
      <alignment horizontal="left" vertical="top" wrapText="1" indent="1"/>
    </xf>
    <xf numFmtId="3" fontId="94" fillId="0" borderId="18" xfId="0" applyNumberFormat="1" applyFont="1" applyBorder="1" applyAlignment="1">
      <alignment horizontal="left" vertical="center" wrapText="1" indent="1"/>
    </xf>
    <xf numFmtId="3" fontId="94" fillId="0" borderId="9" xfId="0" applyNumberFormat="1" applyFont="1" applyFill="1" applyBorder="1" applyAlignment="1">
      <alignment horizontal="left" vertical="center" wrapText="1" indent="1"/>
    </xf>
    <xf numFmtId="3" fontId="94" fillId="0" borderId="27" xfId="0" applyNumberFormat="1" applyFont="1" applyFill="1" applyBorder="1" applyAlignment="1">
      <alignment horizontal="left" vertical="center" wrapText="1" indent="1"/>
    </xf>
    <xf numFmtId="3" fontId="94" fillId="0" borderId="18" xfId="0" applyNumberFormat="1" applyFont="1" applyFill="1" applyBorder="1" applyAlignment="1">
      <alignment horizontal="left" vertical="center" wrapText="1" indent="1"/>
    </xf>
    <xf numFmtId="3" fontId="94" fillId="0" borderId="2" xfId="0" applyNumberFormat="1" applyFont="1" applyFill="1" applyBorder="1" applyAlignment="1">
      <alignment horizontal="left" vertical="center" wrapText="1" indent="1"/>
    </xf>
    <xf numFmtId="3" fontId="95" fillId="0" borderId="20" xfId="0" applyNumberFormat="1" applyFont="1" applyFill="1" applyBorder="1" applyAlignment="1">
      <alignment horizontal="left" vertical="center" wrapText="1" indent="1"/>
    </xf>
    <xf numFmtId="3" fontId="95" fillId="5" borderId="26" xfId="0" applyNumberFormat="1" applyFont="1" applyFill="1" applyBorder="1" applyAlignment="1">
      <alignment horizontal="left" vertical="center" wrapText="1" indent="1"/>
    </xf>
    <xf numFmtId="3" fontId="94" fillId="0" borderId="2" xfId="0" applyNumberFormat="1" applyFont="1" applyBorder="1" applyAlignment="1">
      <alignment horizontal="left" vertical="center" indent="1"/>
    </xf>
    <xf numFmtId="3" fontId="94" fillId="0" borderId="23" xfId="0" applyNumberFormat="1" applyFont="1" applyBorder="1" applyAlignment="1">
      <alignment horizontal="left" vertical="center" wrapText="1" indent="1"/>
    </xf>
    <xf numFmtId="164" fontId="94" fillId="0" borderId="23" xfId="0" applyNumberFormat="1" applyFont="1" applyFill="1" applyBorder="1" applyAlignment="1">
      <alignment horizontal="left" vertical="center" wrapText="1" indent="1"/>
    </xf>
    <xf numFmtId="0" fontId="94" fillId="0" borderId="2" xfId="0" applyFont="1" applyFill="1" applyBorder="1" applyAlignment="1">
      <alignment horizontal="left" vertical="center" wrapText="1" indent="1"/>
    </xf>
    <xf numFmtId="0" fontId="94" fillId="0" borderId="8" xfId="0" applyFont="1" applyFill="1" applyBorder="1" applyAlignment="1">
      <alignment horizontal="left" vertical="center" wrapText="1" indent="1"/>
    </xf>
    <xf numFmtId="3" fontId="95" fillId="5" borderId="44" xfId="0" applyNumberFormat="1" applyFont="1" applyFill="1" applyBorder="1" applyAlignment="1">
      <alignment horizontal="left" vertical="center" wrapText="1" indent="1"/>
    </xf>
    <xf numFmtId="3" fontId="94" fillId="0" borderId="2" xfId="0" applyNumberFormat="1" applyFont="1" applyBorder="1" applyAlignment="1">
      <alignment horizontal="left" vertical="top" indent="1"/>
    </xf>
    <xf numFmtId="0" fontId="94" fillId="0" borderId="2" xfId="0" applyFont="1" applyFill="1" applyBorder="1" applyAlignment="1">
      <alignment horizontal="left" vertical="center" indent="1"/>
    </xf>
    <xf numFmtId="38" fontId="89" fillId="2" borderId="144" xfId="0" applyNumberFormat="1" applyFont="1" applyFill="1" applyBorder="1" applyAlignment="1">
      <alignment horizontal="center" vertical="center" wrapText="1"/>
    </xf>
    <xf numFmtId="38" fontId="89" fillId="2" borderId="144" xfId="0" applyNumberFormat="1" applyFont="1" applyFill="1" applyBorder="1" applyAlignment="1">
      <alignment horizontal="center" vertical="top" wrapText="1"/>
    </xf>
    <xf numFmtId="38" fontId="95" fillId="2" borderId="144" xfId="0" applyNumberFormat="1" applyFont="1" applyFill="1" applyBorder="1" applyAlignment="1">
      <alignment horizontal="center" vertical="center" wrapText="1"/>
    </xf>
    <xf numFmtId="0" fontId="89" fillId="0" borderId="2" xfId="16" applyFont="1" applyFill="1" applyBorder="1" applyAlignment="1">
      <alignment horizontal="center" vertical="center"/>
    </xf>
    <xf numFmtId="0" fontId="96" fillId="0" borderId="36" xfId="0" applyFont="1" applyBorder="1" applyAlignment="1">
      <alignment horizontal="left" wrapText="1"/>
    </xf>
    <xf numFmtId="0" fontId="122" fillId="0" borderId="0" xfId="0" applyFont="1" applyAlignment="1" applyProtection="1">
      <alignment horizontal="right"/>
    </xf>
    <xf numFmtId="0" fontId="122" fillId="0" borderId="0" xfId="0" applyFont="1" applyAlignment="1" applyProtection="1">
      <alignment horizontal="right" vertical="top"/>
    </xf>
    <xf numFmtId="3" fontId="90" fillId="14" borderId="145" xfId="0" applyNumberFormat="1" applyFont="1" applyFill="1" applyBorder="1" applyAlignment="1">
      <alignment horizontal="center"/>
    </xf>
    <xf numFmtId="3" fontId="90" fillId="14" borderId="145" xfId="0" applyNumberFormat="1" applyFont="1" applyFill="1" applyBorder="1" applyAlignment="1">
      <alignment horizontal="right"/>
    </xf>
    <xf numFmtId="3" fontId="90" fillId="14" borderId="146" xfId="0" applyNumberFormat="1" applyFont="1" applyFill="1" applyBorder="1" applyAlignment="1">
      <alignment horizontal="center"/>
    </xf>
    <xf numFmtId="3" fontId="105" fillId="14" borderId="9" xfId="0" applyNumberFormat="1" applyFont="1" applyFill="1" applyBorder="1" applyAlignment="1">
      <alignment horizontal="center" vertical="center" wrapText="1"/>
    </xf>
    <xf numFmtId="49" fontId="94" fillId="14" borderId="10" xfId="0" applyNumberFormat="1" applyFont="1" applyFill="1" applyBorder="1" applyAlignment="1">
      <alignment horizontal="center" vertical="center"/>
    </xf>
    <xf numFmtId="38" fontId="89" fillId="14" borderId="23" xfId="0" applyNumberFormat="1" applyFont="1" applyFill="1" applyBorder="1" applyAlignment="1" applyProtection="1">
      <alignment horizontal="right"/>
    </xf>
    <xf numFmtId="38" fontId="89" fillId="14" borderId="14" xfId="0" applyNumberFormat="1" applyFont="1" applyFill="1" applyBorder="1" applyAlignment="1" applyProtection="1">
      <alignment horizontal="right"/>
    </xf>
    <xf numFmtId="38" fontId="89" fillId="14" borderId="14" xfId="1" applyNumberFormat="1" applyFont="1" applyFill="1" applyBorder="1" applyAlignment="1" applyProtection="1">
      <alignment horizontal="right"/>
    </xf>
    <xf numFmtId="38" fontId="89" fillId="14" borderId="19" xfId="0" applyNumberFormat="1" applyFont="1" applyFill="1" applyBorder="1" applyAlignment="1" applyProtection="1">
      <alignment horizontal="right"/>
    </xf>
    <xf numFmtId="0" fontId="96" fillId="14" borderId="21" xfId="0" applyFont="1" applyFill="1" applyBorder="1" applyAlignment="1">
      <alignment horizontal="center" vertical="center"/>
    </xf>
    <xf numFmtId="3" fontId="89" fillId="14" borderId="23" xfId="0" applyNumberFormat="1" applyFont="1" applyFill="1" applyBorder="1" applyAlignment="1" applyProtection="1">
      <alignment horizontal="right" vertical="center"/>
    </xf>
    <xf numFmtId="3" fontId="89" fillId="14" borderId="14" xfId="0" applyNumberFormat="1" applyFont="1" applyFill="1" applyBorder="1" applyAlignment="1" applyProtection="1">
      <alignment horizontal="right" vertical="center"/>
    </xf>
    <xf numFmtId="3" fontId="89" fillId="14" borderId="19" xfId="0" applyNumberFormat="1" applyFont="1" applyFill="1" applyBorder="1" applyAlignment="1" applyProtection="1">
      <alignment horizontal="right" vertical="center"/>
    </xf>
    <xf numFmtId="0" fontId="95" fillId="10" borderId="19" xfId="0" applyFont="1" applyFill="1" applyBorder="1" applyAlignment="1" applyProtection="1">
      <alignment horizontal="left" vertical="center"/>
    </xf>
    <xf numFmtId="0" fontId="95" fillId="10" borderId="2" xfId="0" applyFont="1" applyFill="1" applyBorder="1" applyAlignment="1" applyProtection="1">
      <alignment horizontal="center" vertical="top"/>
    </xf>
    <xf numFmtId="0" fontId="95" fillId="10" borderId="2" xfId="0" applyFont="1" applyFill="1" applyBorder="1" applyAlignment="1" applyProtection="1">
      <alignment horizontal="center" vertical="center"/>
    </xf>
    <xf numFmtId="3" fontId="89" fillId="14" borderId="23" xfId="0" applyNumberFormat="1" applyFont="1" applyFill="1" applyBorder="1" applyAlignment="1" applyProtection="1">
      <alignment horizontal="center" vertical="center"/>
    </xf>
    <xf numFmtId="49" fontId="95" fillId="14" borderId="14" xfId="0" applyNumberFormat="1" applyFont="1" applyFill="1" applyBorder="1" applyAlignment="1" applyProtection="1">
      <alignment horizontal="center" vertical="center"/>
    </xf>
    <xf numFmtId="3" fontId="90" fillId="14" borderId="14" xfId="0" applyNumberFormat="1" applyFont="1" applyFill="1" applyBorder="1" applyAlignment="1" applyProtection="1">
      <alignment horizontal="center"/>
    </xf>
    <xf numFmtId="3" fontId="96" fillId="14" borderId="14" xfId="0" applyNumberFormat="1" applyFont="1" applyFill="1" applyBorder="1" applyAlignment="1" applyProtection="1">
      <alignment horizontal="center"/>
    </xf>
    <xf numFmtId="38" fontId="96" fillId="14" borderId="14" xfId="0" applyNumberFormat="1" applyFont="1" applyFill="1" applyBorder="1" applyAlignment="1" applyProtection="1">
      <alignment horizontal="center"/>
    </xf>
    <xf numFmtId="3" fontId="96" fillId="14" borderId="19" xfId="0" applyNumberFormat="1" applyFont="1" applyFill="1" applyBorder="1" applyAlignment="1" applyProtection="1">
      <alignment horizontal="center"/>
    </xf>
    <xf numFmtId="0" fontId="89" fillId="14" borderId="20" xfId="0" applyFont="1" applyFill="1" applyBorder="1" applyAlignment="1" applyProtection="1">
      <alignment horizontal="center" vertical="center" wrapText="1"/>
    </xf>
    <xf numFmtId="0" fontId="90" fillId="14" borderId="62" xfId="0" applyFont="1" applyFill="1" applyBorder="1" applyAlignment="1">
      <alignment horizontal="center" vertical="center" wrapText="1"/>
    </xf>
    <xf numFmtId="164" fontId="89" fillId="14" borderId="20" xfId="0" applyNumberFormat="1" applyFont="1" applyFill="1" applyBorder="1" applyAlignment="1" applyProtection="1">
      <alignment horizontal="center" vertical="center" wrapText="1"/>
    </xf>
    <xf numFmtId="0" fontId="96" fillId="14" borderId="21" xfId="0" applyFont="1" applyFill="1" applyBorder="1" applyAlignment="1">
      <alignment horizontal="center" vertical="center" wrapText="1"/>
    </xf>
    <xf numFmtId="164" fontId="89" fillId="14" borderId="20" xfId="0" applyNumberFormat="1" applyFont="1" applyFill="1" applyBorder="1" applyAlignment="1" applyProtection="1">
      <alignment horizontal="center" vertical="center"/>
    </xf>
    <xf numFmtId="3" fontId="95" fillId="10" borderId="6" xfId="0" applyNumberFormat="1" applyFont="1" applyFill="1" applyBorder="1" applyAlignment="1" applyProtection="1">
      <alignment horizontal="left" vertical="center"/>
    </xf>
    <xf numFmtId="0" fontId="95" fillId="10" borderId="2" xfId="0" applyFont="1" applyFill="1" applyBorder="1" applyAlignment="1">
      <alignment horizontal="center" vertical="center"/>
    </xf>
    <xf numFmtId="164" fontId="95" fillId="10" borderId="6" xfId="0" applyNumberFormat="1" applyFont="1" applyFill="1" applyBorder="1" applyAlignment="1" applyProtection="1">
      <alignment horizontal="left" vertical="center"/>
    </xf>
    <xf numFmtId="0" fontId="95" fillId="10" borderId="27" xfId="0" applyFont="1" applyFill="1" applyBorder="1" applyAlignment="1" applyProtection="1">
      <alignment horizontal="center" vertical="center"/>
    </xf>
    <xf numFmtId="0" fontId="95" fillId="10" borderId="18" xfId="0" applyFont="1" applyFill="1" applyBorder="1" applyAlignment="1" applyProtection="1">
      <alignment horizontal="center" vertical="center"/>
    </xf>
    <xf numFmtId="164" fontId="95" fillId="10" borderId="14" xfId="0" applyNumberFormat="1" applyFont="1" applyFill="1" applyBorder="1" applyAlignment="1" applyProtection="1">
      <alignment horizontal="left" vertical="center"/>
    </xf>
    <xf numFmtId="0" fontId="95" fillId="10" borderId="19" xfId="0" applyFont="1" applyFill="1" applyBorder="1" applyAlignment="1" applyProtection="1">
      <alignment horizontal="center" vertical="center"/>
    </xf>
    <xf numFmtId="0" fontId="95" fillId="10" borderId="21" xfId="0" applyFont="1" applyFill="1" applyBorder="1" applyAlignment="1" applyProtection="1">
      <alignment horizontal="center" vertical="center"/>
    </xf>
    <xf numFmtId="164" fontId="95" fillId="15" borderId="14" xfId="0" applyNumberFormat="1" applyFont="1" applyFill="1" applyBorder="1" applyAlignment="1" applyProtection="1">
      <alignment horizontal="left" vertical="center" indent="1"/>
    </xf>
    <xf numFmtId="0" fontId="94" fillId="15" borderId="19" xfId="0" applyFont="1" applyFill="1" applyBorder="1" applyAlignment="1" applyProtection="1">
      <alignment horizontal="center" vertical="center"/>
    </xf>
    <xf numFmtId="164" fontId="95" fillId="15" borderId="6" xfId="0" applyNumberFormat="1" applyFont="1" applyFill="1" applyBorder="1" applyAlignment="1" applyProtection="1">
      <alignment horizontal="left" vertical="center" indent="1"/>
    </xf>
    <xf numFmtId="1" fontId="94" fillId="15" borderId="10" xfId="0" applyNumberFormat="1" applyFont="1" applyFill="1" applyBorder="1" applyAlignment="1" applyProtection="1">
      <alignment horizontal="center" vertical="center"/>
    </xf>
    <xf numFmtId="1" fontId="94" fillId="15" borderId="18" xfId="0" applyNumberFormat="1" applyFont="1" applyFill="1" applyBorder="1" applyAlignment="1" applyProtection="1">
      <alignment horizontal="center" vertical="center"/>
    </xf>
    <xf numFmtId="0" fontId="95" fillId="15" borderId="14" xfId="0" applyFont="1" applyFill="1" applyBorder="1" applyAlignment="1">
      <alignment horizontal="left" vertical="center" indent="1"/>
    </xf>
    <xf numFmtId="0" fontId="94" fillId="15" borderId="19" xfId="0" applyFont="1" applyFill="1" applyBorder="1" applyAlignment="1">
      <alignment horizontal="left" vertical="center"/>
    </xf>
    <xf numFmtId="0" fontId="94" fillId="15" borderId="10" xfId="0" applyFont="1" applyFill="1" applyBorder="1" applyAlignment="1" applyProtection="1">
      <alignment horizontal="center" vertical="center"/>
    </xf>
    <xf numFmtId="3" fontId="95" fillId="10" borderId="9" xfId="0" applyNumberFormat="1" applyFont="1" applyFill="1" applyBorder="1" applyAlignment="1">
      <alignment horizontal="left" vertical="center" wrapText="1"/>
    </xf>
    <xf numFmtId="49" fontId="95" fillId="10" borderId="18" xfId="0" applyNumberFormat="1" applyFont="1" applyFill="1" applyBorder="1" applyAlignment="1">
      <alignment horizontal="center" vertical="center"/>
    </xf>
    <xf numFmtId="0" fontId="95" fillId="10" borderId="7" xfId="0" applyFont="1" applyFill="1" applyBorder="1" applyAlignment="1">
      <alignment horizontal="left" vertical="center" wrapText="1"/>
    </xf>
    <xf numFmtId="49" fontId="95" fillId="10" borderId="27" xfId="0" applyNumberFormat="1" applyFont="1" applyFill="1" applyBorder="1" applyAlignment="1">
      <alignment horizontal="center" vertical="center"/>
    </xf>
    <xf numFmtId="3" fontId="95" fillId="10" borderId="22" xfId="0" applyNumberFormat="1" applyFont="1" applyFill="1" applyBorder="1" applyAlignment="1">
      <alignment horizontal="left" vertical="center" wrapText="1"/>
    </xf>
    <xf numFmtId="49" fontId="95" fillId="10" borderId="22" xfId="0" applyNumberFormat="1" applyFont="1" applyFill="1" applyBorder="1" applyAlignment="1">
      <alignment horizontal="center" vertical="center"/>
    </xf>
    <xf numFmtId="164" fontId="95" fillId="10" borderId="9" xfId="0" applyNumberFormat="1" applyFont="1" applyFill="1" applyBorder="1" applyAlignment="1">
      <alignment horizontal="left" vertical="center" wrapText="1"/>
    </xf>
    <xf numFmtId="49" fontId="95" fillId="10" borderId="18" xfId="0" applyNumberFormat="1" applyFont="1" applyFill="1" applyBorder="1" applyAlignment="1">
      <alignment horizontal="center" vertical="center"/>
    </xf>
    <xf numFmtId="3" fontId="95" fillId="10" borderId="23" xfId="0" applyNumberFormat="1" applyFont="1" applyFill="1" applyBorder="1" applyAlignment="1">
      <alignment horizontal="left" vertical="center" wrapText="1"/>
    </xf>
    <xf numFmtId="49" fontId="95" fillId="10" borderId="2" xfId="0" applyNumberFormat="1" applyFont="1" applyFill="1" applyBorder="1" applyAlignment="1">
      <alignment horizontal="center" vertical="center"/>
    </xf>
    <xf numFmtId="164" fontId="95" fillId="10" borderId="7" xfId="0" applyNumberFormat="1" applyFont="1" applyFill="1" applyBorder="1" applyAlignment="1">
      <alignment horizontal="left" vertical="center" wrapText="1"/>
    </xf>
    <xf numFmtId="0" fontId="95" fillId="10" borderId="61" xfId="0" applyFont="1" applyFill="1" applyBorder="1" applyAlignment="1">
      <alignment horizontal="left" vertical="center" wrapText="1"/>
    </xf>
    <xf numFmtId="49" fontId="95" fillId="10" borderId="26" xfId="0" applyNumberFormat="1" applyFont="1" applyFill="1" applyBorder="1" applyAlignment="1">
      <alignment horizontal="center" vertical="center"/>
    </xf>
    <xf numFmtId="3" fontId="95" fillId="10" borderId="63" xfId="0" applyNumberFormat="1" applyFont="1" applyFill="1" applyBorder="1" applyAlignment="1">
      <alignment horizontal="left" vertical="center" wrapText="1"/>
    </xf>
    <xf numFmtId="0" fontId="95" fillId="10" borderId="23" xfId="0" applyFont="1" applyFill="1" applyBorder="1" applyAlignment="1">
      <alignment horizontal="left" vertical="center" wrapText="1"/>
    </xf>
    <xf numFmtId="49" fontId="95" fillId="10" borderId="19" xfId="0" applyNumberFormat="1" applyFont="1" applyFill="1" applyBorder="1" applyAlignment="1">
      <alignment horizontal="center" vertical="center"/>
    </xf>
    <xf numFmtId="0" fontId="95" fillId="10" borderId="63" xfId="0" applyFont="1" applyFill="1" applyBorder="1" applyAlignment="1">
      <alignment horizontal="left" vertical="center" wrapText="1"/>
    </xf>
    <xf numFmtId="164" fontId="95" fillId="10" borderId="23" xfId="0" applyNumberFormat="1" applyFont="1" applyFill="1" applyBorder="1" applyAlignment="1">
      <alignment horizontal="left" vertical="center" wrapText="1"/>
    </xf>
    <xf numFmtId="0" fontId="95" fillId="10" borderId="18" xfId="0" applyFont="1" applyFill="1" applyBorder="1" applyAlignment="1">
      <alignment horizontal="left" vertical="center" wrapText="1"/>
    </xf>
    <xf numFmtId="3" fontId="95" fillId="10" borderId="18" xfId="0" applyNumberFormat="1" applyFont="1" applyFill="1" applyBorder="1" applyAlignment="1">
      <alignment horizontal="left" vertical="center" wrapText="1"/>
    </xf>
    <xf numFmtId="0" fontId="95" fillId="10" borderId="36" xfId="0" applyFont="1" applyFill="1" applyBorder="1" applyAlignment="1" applyProtection="1">
      <alignment horizontal="left" vertical="center"/>
    </xf>
    <xf numFmtId="0" fontId="95" fillId="10" borderId="11" xfId="0" applyFont="1" applyFill="1" applyBorder="1" applyAlignment="1" applyProtection="1">
      <alignment horizontal="center" vertical="center"/>
    </xf>
    <xf numFmtId="0" fontId="95" fillId="10" borderId="32" xfId="0" applyFont="1" applyFill="1" applyBorder="1" applyAlignment="1" applyProtection="1">
      <alignment horizontal="left" vertical="center"/>
    </xf>
    <xf numFmtId="0" fontId="95" fillId="10" borderId="32" xfId="0" applyFont="1" applyFill="1" applyBorder="1" applyAlignment="1" applyProtection="1">
      <alignment horizontal="left" vertical="center" wrapText="1"/>
    </xf>
    <xf numFmtId="0" fontId="95" fillId="10" borderId="32" xfId="0" applyFont="1" applyFill="1" applyBorder="1" applyAlignment="1" applyProtection="1">
      <alignment horizontal="left" vertical="center" indent="1"/>
    </xf>
    <xf numFmtId="0" fontId="105" fillId="14" borderId="23" xfId="0" applyFont="1" applyFill="1" applyBorder="1" applyAlignment="1">
      <alignment horizontal="left" vertical="center"/>
    </xf>
    <xf numFmtId="0" fontId="105" fillId="14" borderId="14" xfId="0" applyFont="1" applyFill="1" applyBorder="1" applyAlignment="1">
      <alignment horizontal="left" vertical="center"/>
    </xf>
    <xf numFmtId="0" fontId="105" fillId="14" borderId="19" xfId="0" applyFont="1" applyFill="1" applyBorder="1" applyAlignment="1">
      <alignment horizontal="left" vertical="center"/>
    </xf>
    <xf numFmtId="0" fontId="89" fillId="15" borderId="8" xfId="0" applyFont="1" applyFill="1" applyBorder="1" applyAlignment="1" applyProtection="1">
      <alignment vertical="center"/>
    </xf>
    <xf numFmtId="0" fontId="95" fillId="0" borderId="147" xfId="0" applyFont="1" applyBorder="1" applyAlignment="1">
      <alignment horizontal="centerContinuous" vertical="center"/>
    </xf>
    <xf numFmtId="0" fontId="90" fillId="0" borderId="148" xfId="0" applyFont="1" applyBorder="1" applyAlignment="1">
      <alignment horizontal="centerContinuous" vertical="center"/>
    </xf>
    <xf numFmtId="0" fontId="96" fillId="0" borderId="148" xfId="0" applyFont="1" applyBorder="1" applyAlignment="1">
      <alignment horizontal="centerContinuous" vertical="center"/>
    </xf>
    <xf numFmtId="0" fontId="95" fillId="0" borderId="149" xfId="0" applyFont="1" applyBorder="1" applyAlignment="1">
      <alignment horizontal="center"/>
    </xf>
    <xf numFmtId="0" fontId="96" fillId="14" borderId="3" xfId="4" applyFont="1" applyFill="1" applyBorder="1" applyAlignment="1">
      <alignment horizontal="left" vertical="center"/>
    </xf>
    <xf numFmtId="0" fontId="96" fillId="14" borderId="4" xfId="4" applyFont="1" applyFill="1" applyBorder="1" applyAlignment="1">
      <alignment horizontal="left" vertical="center"/>
    </xf>
    <xf numFmtId="0" fontId="95" fillId="0" borderId="38" xfId="4" applyFont="1" applyFill="1" applyBorder="1" applyAlignment="1" applyProtection="1"/>
    <xf numFmtId="3" fontId="95" fillId="16" borderId="61" xfId="0" applyNumberFormat="1" applyFont="1" applyFill="1" applyBorder="1" applyAlignment="1">
      <alignment horizontal="left" vertical="center" wrapText="1" indent="1"/>
    </xf>
    <xf numFmtId="49" fontId="95" fillId="16" borderId="26" xfId="0" applyNumberFormat="1" applyFont="1" applyFill="1" applyBorder="1" applyAlignment="1">
      <alignment horizontal="center" vertical="center"/>
    </xf>
    <xf numFmtId="49" fontId="95" fillId="16" borderId="61" xfId="0" applyNumberFormat="1" applyFont="1" applyFill="1" applyBorder="1" applyAlignment="1">
      <alignment horizontal="center" vertical="center"/>
    </xf>
    <xf numFmtId="49" fontId="95" fillId="16" borderId="64" xfId="0" applyNumberFormat="1" applyFont="1" applyFill="1" applyBorder="1" applyAlignment="1">
      <alignment horizontal="center" vertical="center"/>
    </xf>
    <xf numFmtId="0" fontId="95" fillId="16" borderId="25" xfId="0" applyNumberFormat="1" applyFont="1" applyFill="1" applyBorder="1" applyAlignment="1">
      <alignment horizontal="center" vertical="center"/>
    </xf>
    <xf numFmtId="0" fontId="95" fillId="16" borderId="26" xfId="0" applyFont="1" applyFill="1" applyBorder="1" applyAlignment="1">
      <alignment horizontal="center" vertical="center"/>
    </xf>
    <xf numFmtId="3" fontId="95" fillId="16" borderId="26" xfId="0" applyNumberFormat="1" applyFont="1" applyFill="1" applyBorder="1" applyAlignment="1">
      <alignment horizontal="left" vertical="center" indent="1"/>
    </xf>
    <xf numFmtId="0" fontId="95" fillId="16" borderId="26" xfId="0" applyFont="1" applyFill="1" applyBorder="1" applyAlignment="1">
      <alignment horizontal="center" vertical="top"/>
    </xf>
    <xf numFmtId="0" fontId="96" fillId="16" borderId="64" xfId="0" applyFont="1" applyFill="1" applyBorder="1" applyAlignment="1">
      <alignment horizontal="left" vertical="center" indent="1"/>
    </xf>
    <xf numFmtId="3" fontId="95" fillId="16" borderId="44" xfId="0" applyNumberFormat="1" applyFont="1" applyFill="1" applyBorder="1" applyAlignment="1">
      <alignment horizontal="left" vertical="center" wrapText="1" indent="1"/>
    </xf>
    <xf numFmtId="49" fontId="95" fillId="16" borderId="25" xfId="0" applyNumberFormat="1" applyFont="1" applyFill="1" applyBorder="1" applyAlignment="1">
      <alignment horizontal="center" vertical="center"/>
    </xf>
    <xf numFmtId="3" fontId="95" fillId="16" borderId="44" xfId="0" applyNumberFormat="1" applyFont="1" applyFill="1" applyBorder="1" applyAlignment="1">
      <alignment horizontal="left" vertical="top" wrapText="1" indent="1"/>
    </xf>
    <xf numFmtId="49" fontId="94" fillId="16" borderId="65" xfId="0" applyNumberFormat="1" applyFont="1" applyFill="1" applyBorder="1" applyAlignment="1">
      <alignment horizontal="center" vertical="top"/>
    </xf>
    <xf numFmtId="3" fontId="95" fillId="16" borderId="26" xfId="0" applyNumberFormat="1" applyFont="1" applyFill="1" applyBorder="1" applyAlignment="1">
      <alignment horizontal="left" vertical="center" wrapText="1" indent="1"/>
    </xf>
    <xf numFmtId="3" fontId="95" fillId="16" borderId="61" xfId="0" applyNumberFormat="1" applyFont="1" applyFill="1" applyBorder="1" applyAlignment="1">
      <alignment horizontal="left" vertical="top" wrapText="1" indent="1"/>
    </xf>
    <xf numFmtId="0" fontId="94" fillId="16" borderId="64" xfId="0" applyFont="1" applyFill="1" applyBorder="1" applyAlignment="1">
      <alignment vertical="top"/>
    </xf>
    <xf numFmtId="3" fontId="95" fillId="16" borderId="61" xfId="0" applyNumberFormat="1" applyFont="1" applyFill="1" applyBorder="1" applyAlignment="1">
      <alignment horizontal="left" vertical="center" indent="1"/>
    </xf>
    <xf numFmtId="0" fontId="95" fillId="16" borderId="64" xfId="0" applyFont="1" applyFill="1" applyBorder="1" applyAlignment="1">
      <alignment horizontal="center" vertical="center"/>
    </xf>
    <xf numFmtId="0" fontId="95" fillId="16" borderId="26" xfId="0" applyFont="1" applyFill="1" applyBorder="1" applyAlignment="1">
      <alignment horizontal="center" vertical="center" wrapText="1"/>
    </xf>
    <xf numFmtId="49" fontId="95" fillId="16" borderId="26" xfId="0" applyNumberFormat="1" applyFont="1" applyFill="1" applyBorder="1" applyAlignment="1">
      <alignment horizontal="center" vertical="top" wrapText="1"/>
    </xf>
    <xf numFmtId="3" fontId="95" fillId="16" borderId="61" xfId="0" applyNumberFormat="1" applyFont="1" applyFill="1" applyBorder="1" applyAlignment="1">
      <alignment horizontal="left" vertical="top" indent="1"/>
    </xf>
    <xf numFmtId="0" fontId="95" fillId="16" borderId="61" xfId="0" applyFont="1" applyFill="1" applyBorder="1" applyAlignment="1">
      <alignment horizontal="left" vertical="center" wrapText="1" indent="1"/>
    </xf>
    <xf numFmtId="49" fontId="94" fillId="16" borderId="65" xfId="0" applyNumberFormat="1" applyFont="1" applyFill="1" applyBorder="1" applyAlignment="1">
      <alignment horizontal="center" vertical="center"/>
    </xf>
    <xf numFmtId="0" fontId="94" fillId="16" borderId="64" xfId="0" applyFont="1" applyFill="1" applyBorder="1" applyAlignment="1">
      <alignment horizontal="left" vertical="top" wrapText="1" indent="1"/>
    </xf>
    <xf numFmtId="0" fontId="95" fillId="16" borderId="66" xfId="0" applyFont="1" applyFill="1" applyBorder="1" applyAlignment="1" applyProtection="1">
      <alignment horizontal="left" vertical="center" wrapText="1" indent="1"/>
    </xf>
    <xf numFmtId="0" fontId="94" fillId="16" borderId="64" xfId="0" applyFont="1" applyFill="1" applyBorder="1" applyAlignment="1" applyProtection="1">
      <alignment horizontal="left" vertical="center"/>
    </xf>
    <xf numFmtId="0" fontId="95" fillId="16" borderId="66" xfId="0" applyFont="1" applyFill="1" applyBorder="1" applyAlignment="1" applyProtection="1">
      <alignment horizontal="left" vertical="center" indent="1"/>
    </xf>
    <xf numFmtId="0" fontId="94" fillId="16" borderId="64" xfId="0" applyFont="1" applyFill="1" applyBorder="1" applyAlignment="1" applyProtection="1">
      <alignment horizontal="center" vertical="center"/>
    </xf>
    <xf numFmtId="0" fontId="94" fillId="16" borderId="64" xfId="0" applyFont="1" applyFill="1" applyBorder="1" applyAlignment="1" applyProtection="1">
      <alignment horizontal="left" vertical="center" indent="2"/>
    </xf>
    <xf numFmtId="0" fontId="95" fillId="16" borderId="60" xfId="0" applyFont="1" applyFill="1" applyBorder="1" applyAlignment="1" applyProtection="1">
      <alignment horizontal="left" vertical="top" wrapText="1" indent="1"/>
    </xf>
    <xf numFmtId="49" fontId="95" fillId="16" borderId="22" xfId="0" applyNumberFormat="1" applyFont="1" applyFill="1" applyBorder="1" applyAlignment="1">
      <alignment horizontal="center" vertical="center"/>
    </xf>
    <xf numFmtId="49" fontId="95" fillId="16" borderId="66" xfId="0" applyNumberFormat="1" applyFont="1" applyFill="1" applyBorder="1" applyAlignment="1" applyProtection="1">
      <alignment horizontal="left" vertical="top" indent="1"/>
    </xf>
    <xf numFmtId="49" fontId="95" fillId="16" borderId="26" xfId="0" applyNumberFormat="1" applyFont="1" applyFill="1" applyBorder="1" applyAlignment="1">
      <alignment horizontal="center" vertical="top"/>
    </xf>
    <xf numFmtId="49" fontId="94" fillId="16" borderId="64" xfId="0" applyNumberFormat="1" applyFont="1" applyFill="1" applyBorder="1" applyAlignment="1" applyProtection="1">
      <alignment horizontal="center" vertical="center"/>
    </xf>
    <xf numFmtId="1" fontId="94" fillId="16" borderId="64" xfId="0" applyNumberFormat="1" applyFont="1" applyFill="1" applyBorder="1" applyAlignment="1" applyProtection="1">
      <alignment horizontal="center" vertical="center"/>
    </xf>
    <xf numFmtId="0" fontId="95" fillId="16" borderId="66" xfId="0" applyFont="1" applyFill="1" applyBorder="1" applyAlignment="1" applyProtection="1">
      <alignment horizontal="left" indent="1"/>
    </xf>
    <xf numFmtId="0" fontId="94" fillId="16" borderId="64" xfId="0" applyFont="1" applyFill="1" applyBorder="1" applyAlignment="1" applyProtection="1">
      <alignment horizontal="center"/>
    </xf>
    <xf numFmtId="0" fontId="95" fillId="16" borderId="61" xfId="0" applyFont="1" applyFill="1" applyBorder="1" applyAlignment="1" applyProtection="1">
      <alignment horizontal="left" vertical="center" indent="1"/>
    </xf>
    <xf numFmtId="0" fontId="94" fillId="16" borderId="26" xfId="0" applyFont="1" applyFill="1" applyBorder="1" applyAlignment="1" applyProtection="1">
      <alignment horizontal="center" vertical="center"/>
    </xf>
    <xf numFmtId="0" fontId="95" fillId="16" borderId="64" xfId="0" applyFont="1" applyFill="1" applyBorder="1" applyAlignment="1">
      <alignment vertical="center"/>
    </xf>
    <xf numFmtId="49" fontId="95" fillId="16" borderId="22" xfId="0" applyNumberFormat="1" applyFont="1" applyFill="1" applyBorder="1" applyAlignment="1" applyProtection="1">
      <alignment horizontal="left" vertical="center" wrapText="1" indent="1"/>
    </xf>
    <xf numFmtId="49" fontId="95" fillId="16" borderId="67" xfId="0" applyNumberFormat="1" applyFont="1" applyFill="1" applyBorder="1" applyAlignment="1">
      <alignment horizontal="center" vertical="center"/>
    </xf>
    <xf numFmtId="0" fontId="95" fillId="16" borderId="60" xfId="0" applyFont="1" applyFill="1" applyBorder="1" applyAlignment="1" applyProtection="1">
      <alignment horizontal="left" wrapText="1" indent="1"/>
    </xf>
    <xf numFmtId="0" fontId="94" fillId="16" borderId="67" xfId="0" applyFont="1" applyFill="1" applyBorder="1" applyAlignment="1" applyProtection="1">
      <alignment horizontal="left" indent="2"/>
    </xf>
    <xf numFmtId="176" fontId="96" fillId="16" borderId="2" xfId="0" applyNumberFormat="1" applyFont="1" applyFill="1" applyBorder="1" applyAlignment="1" applyProtection="1">
      <alignment vertical="center"/>
    </xf>
    <xf numFmtId="37" fontId="96" fillId="16" borderId="23" xfId="12" applyNumberFormat="1" applyFont="1" applyFill="1" applyBorder="1" applyAlignment="1" applyProtection="1">
      <alignment horizontal="right"/>
    </xf>
    <xf numFmtId="0" fontId="95" fillId="16" borderId="66" xfId="0" applyFont="1" applyFill="1" applyBorder="1" applyAlignment="1" applyProtection="1">
      <alignment horizontal="left" vertical="center" indent="2"/>
    </xf>
    <xf numFmtId="0" fontId="95" fillId="16" borderId="6" xfId="0" applyFont="1" applyFill="1" applyBorder="1" applyAlignment="1" applyProtection="1">
      <alignment horizontal="left" vertical="center" indent="2"/>
    </xf>
    <xf numFmtId="0" fontId="95" fillId="16" borderId="19" xfId="0" applyFont="1" applyFill="1" applyBorder="1" applyAlignment="1" applyProtection="1">
      <alignment horizontal="center" vertical="center"/>
    </xf>
    <xf numFmtId="0" fontId="95" fillId="16" borderId="64" xfId="0" applyFont="1" applyFill="1" applyBorder="1" applyAlignment="1" applyProtection="1">
      <alignment horizontal="center" vertical="center"/>
    </xf>
    <xf numFmtId="0" fontId="104" fillId="16" borderId="6" xfId="0" applyFont="1" applyFill="1" applyBorder="1" applyAlignment="1" applyProtection="1">
      <alignment horizontal="left" vertical="center" indent="1"/>
    </xf>
    <xf numFmtId="0" fontId="94" fillId="16" borderId="18" xfId="0" applyFont="1" applyFill="1" applyBorder="1" applyAlignment="1" applyProtection="1">
      <alignment horizontal="center"/>
    </xf>
    <xf numFmtId="0" fontId="95" fillId="16" borderId="26" xfId="0" applyFont="1" applyFill="1" applyBorder="1" applyAlignment="1">
      <alignment horizontal="left" vertical="center" wrapText="1" indent="1"/>
    </xf>
    <xf numFmtId="49" fontId="94" fillId="16" borderId="68" xfId="0" applyNumberFormat="1" applyFont="1" applyFill="1" applyBorder="1" applyAlignment="1" applyProtection="1">
      <alignment horizontal="center" vertical="center"/>
    </xf>
    <xf numFmtId="49" fontId="94" fillId="16" borderId="29" xfId="0" applyNumberFormat="1" applyFont="1" applyFill="1" applyBorder="1" applyAlignment="1" applyProtection="1">
      <alignment horizontal="center" vertical="center"/>
    </xf>
    <xf numFmtId="38" fontId="90" fillId="16" borderId="68" xfId="0" applyNumberFormat="1" applyFont="1" applyFill="1" applyBorder="1" applyAlignment="1" applyProtection="1">
      <alignment horizontal="right" vertical="center"/>
    </xf>
    <xf numFmtId="49" fontId="94" fillId="16" borderId="29" xfId="0" applyNumberFormat="1" applyFont="1" applyFill="1" applyBorder="1" applyAlignment="1" applyProtection="1">
      <alignment horizontal="left" vertical="center" indent="2"/>
    </xf>
    <xf numFmtId="0" fontId="96" fillId="16" borderId="29" xfId="0" applyFont="1" applyFill="1" applyBorder="1" applyAlignment="1">
      <alignment horizontal="left" indent="2"/>
    </xf>
    <xf numFmtId="0" fontId="95" fillId="16" borderId="69" xfId="0" applyFont="1" applyFill="1" applyBorder="1" applyAlignment="1" applyProtection="1">
      <alignment horizontal="left" vertical="center" indent="2"/>
    </xf>
    <xf numFmtId="0" fontId="95" fillId="16" borderId="68" xfId="0" applyFont="1" applyFill="1" applyBorder="1" applyAlignment="1" applyProtection="1">
      <alignment horizontal="center" vertical="center"/>
    </xf>
    <xf numFmtId="0" fontId="95" fillId="16" borderId="68" xfId="0" applyFont="1" applyFill="1" applyBorder="1" applyAlignment="1" applyProtection="1">
      <alignment horizontal="left" vertical="center" indent="1"/>
    </xf>
    <xf numFmtId="0" fontId="96" fillId="16" borderId="68" xfId="0" applyFont="1" applyFill="1" applyBorder="1" applyAlignment="1" applyProtection="1">
      <alignment vertical="center"/>
    </xf>
    <xf numFmtId="38" fontId="90" fillId="16" borderId="11" xfId="0" applyNumberFormat="1" applyFont="1" applyFill="1" applyBorder="1" applyAlignment="1" applyProtection="1">
      <alignment horizontal="right" vertical="center"/>
    </xf>
    <xf numFmtId="0" fontId="94" fillId="16" borderId="0" xfId="17" applyFont="1" applyFill="1" applyAlignment="1">
      <alignment vertical="center"/>
    </xf>
    <xf numFmtId="0" fontId="94" fillId="16" borderId="0" xfId="17" applyFont="1" applyFill="1" applyAlignment="1">
      <alignment horizontal="center" vertical="center"/>
    </xf>
    <xf numFmtId="0" fontId="94" fillId="16" borderId="0" xfId="17" applyFont="1" applyFill="1" applyAlignment="1">
      <alignment horizontal="right" vertical="center"/>
    </xf>
    <xf numFmtId="0" fontId="95" fillId="16" borderId="0" xfId="17" applyFont="1" applyFill="1" applyAlignment="1">
      <alignment horizontal="right" vertical="center" indent="3"/>
    </xf>
    <xf numFmtId="0" fontId="94" fillId="16" borderId="0" xfId="17" applyFont="1" applyFill="1" applyBorder="1" applyAlignment="1">
      <alignment horizontal="right" vertical="center"/>
    </xf>
    <xf numFmtId="0" fontId="94" fillId="16" borderId="0" xfId="17" applyFont="1" applyFill="1" applyAlignment="1">
      <alignment horizontal="left" vertical="center"/>
    </xf>
    <xf numFmtId="0" fontId="95" fillId="16" borderId="0" xfId="17" applyFont="1" applyFill="1" applyAlignment="1">
      <alignment horizontal="right" vertical="center"/>
    </xf>
    <xf numFmtId="0" fontId="94" fillId="16" borderId="0" xfId="17" quotePrefix="1" applyFont="1" applyFill="1" applyAlignment="1">
      <alignment horizontal="left" vertical="center"/>
    </xf>
    <xf numFmtId="0" fontId="94" fillId="16" borderId="0" xfId="18" quotePrefix="1" applyFont="1" applyFill="1" applyAlignment="1">
      <alignment horizontal="left" vertical="center"/>
    </xf>
    <xf numFmtId="0" fontId="95" fillId="16" borderId="0" xfId="17" quotePrefix="1" applyFont="1" applyFill="1" applyAlignment="1">
      <alignment horizontal="left" vertical="center"/>
    </xf>
    <xf numFmtId="0" fontId="94" fillId="16" borderId="0" xfId="18" applyFont="1" applyFill="1" applyAlignment="1">
      <alignment horizontal="left" vertical="center"/>
    </xf>
    <xf numFmtId="0" fontId="94" fillId="16" borderId="0" xfId="18" applyFont="1" applyFill="1" applyAlignment="1">
      <alignment horizontal="right" vertical="center"/>
    </xf>
    <xf numFmtId="0" fontId="95" fillId="16" borderId="0" xfId="18" applyFont="1" applyFill="1" applyAlignment="1">
      <alignment horizontal="right" vertical="center"/>
    </xf>
    <xf numFmtId="0" fontId="94" fillId="16" borderId="0" xfId="18" applyFont="1" applyFill="1" applyBorder="1" applyAlignment="1">
      <alignment horizontal="right" vertical="center"/>
    </xf>
    <xf numFmtId="0" fontId="94" fillId="16" borderId="0" xfId="18" applyFont="1" applyFill="1" applyAlignment="1">
      <alignment vertical="center"/>
    </xf>
    <xf numFmtId="0" fontId="94" fillId="16" borderId="0" xfId="0" applyFont="1" applyFill="1" applyBorder="1" applyAlignment="1">
      <alignment horizontal="right"/>
    </xf>
    <xf numFmtId="0" fontId="90" fillId="16" borderId="23" xfId="0" applyFont="1" applyFill="1" applyBorder="1" applyAlignment="1">
      <alignment horizontal="right"/>
    </xf>
    <xf numFmtId="0" fontId="95" fillId="15" borderId="7" xfId="0" applyFont="1" applyFill="1" applyBorder="1" applyAlignment="1">
      <alignment horizontal="left" vertical="center" wrapText="1"/>
    </xf>
    <xf numFmtId="49" fontId="95" fillId="15" borderId="24" xfId="0" applyNumberFormat="1" applyFont="1" applyFill="1" applyBorder="1" applyAlignment="1">
      <alignment horizontal="center" vertical="center"/>
    </xf>
    <xf numFmtId="0" fontId="95" fillId="0" borderId="23" xfId="0" applyFont="1" applyFill="1" applyBorder="1" applyAlignment="1">
      <alignment horizontal="left" vertical="center" wrapText="1"/>
    </xf>
    <xf numFmtId="49" fontId="95" fillId="0" borderId="2" xfId="0" applyNumberFormat="1" applyFont="1" applyFill="1" applyBorder="1" applyAlignment="1">
      <alignment horizontal="center" vertical="center"/>
    </xf>
    <xf numFmtId="0" fontId="95" fillId="16" borderId="23" xfId="0" applyFont="1" applyFill="1" applyBorder="1" applyAlignment="1">
      <alignment horizontal="left" vertical="center" wrapText="1"/>
    </xf>
    <xf numFmtId="49" fontId="95" fillId="16" borderId="2" xfId="0" applyNumberFormat="1" applyFont="1" applyFill="1" applyBorder="1" applyAlignment="1">
      <alignment horizontal="center" vertical="center"/>
    </xf>
    <xf numFmtId="3" fontId="94" fillId="0" borderId="23" xfId="0" applyNumberFormat="1" applyFont="1" applyFill="1" applyBorder="1" applyAlignment="1">
      <alignment horizontal="left" vertical="center" wrapText="1" indent="1"/>
    </xf>
    <xf numFmtId="0" fontId="95" fillId="0" borderId="20" xfId="0" applyFont="1" applyFill="1" applyBorder="1" applyAlignment="1">
      <alignment horizontal="left" vertical="center" wrapText="1" indent="1"/>
    </xf>
    <xf numFmtId="0" fontId="95" fillId="0" borderId="23" xfId="0" applyFont="1" applyFill="1" applyBorder="1" applyAlignment="1">
      <alignment horizontal="left" vertical="center" wrapText="1" indent="1"/>
    </xf>
    <xf numFmtId="3" fontId="94" fillId="0" borderId="8" xfId="0" applyNumberFormat="1" applyFont="1" applyBorder="1" applyAlignment="1">
      <alignment horizontal="left" vertical="top" wrapText="1" indent="1"/>
    </xf>
    <xf numFmtId="49" fontId="25" fillId="0" borderId="0" xfId="2" applyNumberFormat="1" applyBorder="1" applyAlignment="1" applyProtection="1">
      <alignment horizontal="center"/>
    </xf>
    <xf numFmtId="14" fontId="96" fillId="0" borderId="0" xfId="0" applyNumberFormat="1" applyFont="1" applyBorder="1" applyAlignment="1" applyProtection="1">
      <alignment vertical="center"/>
      <protection locked="0"/>
    </xf>
    <xf numFmtId="0" fontId="104" fillId="0" borderId="0" xfId="4" applyFont="1" applyBorder="1" applyAlignment="1" applyProtection="1">
      <alignment horizontal="center" vertical="top"/>
    </xf>
    <xf numFmtId="0" fontId="96" fillId="0" borderId="150" xfId="4" applyFont="1" applyBorder="1" applyProtection="1"/>
    <xf numFmtId="49" fontId="94" fillId="0" borderId="19" xfId="0" applyNumberFormat="1" applyFont="1" applyFill="1" applyBorder="1" applyAlignment="1" applyProtection="1">
      <alignment horizontal="center" vertical="center"/>
    </xf>
    <xf numFmtId="0" fontId="94" fillId="0" borderId="0" xfId="4" applyFont="1" applyBorder="1" applyAlignment="1" applyProtection="1">
      <alignment horizontal="left" vertical="top" wrapText="1"/>
    </xf>
    <xf numFmtId="0" fontId="89" fillId="0" borderId="0" xfId="4" applyFont="1" applyAlignment="1" applyProtection="1">
      <alignment horizontal="center"/>
    </xf>
    <xf numFmtId="0" fontId="139" fillId="0" borderId="0" xfId="7" applyFont="1"/>
    <xf numFmtId="0" fontId="140" fillId="14" borderId="0" xfId="7" applyFont="1" applyFill="1" applyAlignment="1">
      <alignment horizontal="centerContinuous" vertical="center"/>
    </xf>
    <xf numFmtId="0" fontId="139" fillId="14" borderId="0" xfId="7" applyFont="1" applyFill="1" applyAlignment="1">
      <alignment horizontal="centerContinuous"/>
    </xf>
    <xf numFmtId="0" fontId="118" fillId="0" borderId="151" xfId="7" applyFont="1" applyFill="1" applyBorder="1" applyAlignment="1">
      <alignment horizontal="center" vertical="top" wrapText="1"/>
    </xf>
    <xf numFmtId="0" fontId="118" fillId="0" borderId="0" xfId="7" applyFont="1" applyFill="1" applyBorder="1" applyAlignment="1">
      <alignment horizontal="center" vertical="top" wrapText="1"/>
    </xf>
    <xf numFmtId="0" fontId="84" fillId="0" borderId="0" xfId="7" applyFont="1" applyAlignment="1">
      <alignment wrapText="1"/>
    </xf>
    <xf numFmtId="0" fontId="141" fillId="0" borderId="70" xfId="7" applyFont="1" applyFill="1" applyBorder="1" applyAlignment="1" applyProtection="1">
      <alignment horizontal="center" vertical="center"/>
      <protection locked="0"/>
    </xf>
    <xf numFmtId="0" fontId="142" fillId="0" borderId="0" xfId="7" applyNumberFormat="1" applyFont="1"/>
    <xf numFmtId="0" fontId="143" fillId="0" borderId="152" xfId="7" applyFont="1" applyBorder="1" applyAlignment="1">
      <alignment horizontal="left" vertical="center" wrapText="1"/>
    </xf>
    <xf numFmtId="0" fontId="143" fillId="0" borderId="153" xfId="7" applyFont="1" applyBorder="1" applyAlignment="1">
      <alignment horizontal="left" vertical="center" wrapText="1"/>
    </xf>
    <xf numFmtId="49" fontId="144" fillId="0" borderId="154" xfId="7" applyNumberFormat="1" applyFont="1" applyBorder="1" applyAlignment="1" applyProtection="1">
      <alignment horizontal="center" vertical="center"/>
      <protection locked="0"/>
    </xf>
    <xf numFmtId="0" fontId="144" fillId="0" borderId="154" xfId="7" applyFont="1" applyFill="1" applyBorder="1" applyAlignment="1" applyProtection="1">
      <alignment horizontal="center" vertical="center" wrapText="1"/>
      <protection locked="0"/>
    </xf>
    <xf numFmtId="0" fontId="139" fillId="0" borderId="154" xfId="7" applyFont="1" applyFill="1" applyBorder="1"/>
    <xf numFmtId="0" fontId="145" fillId="0" borderId="147" xfId="7" applyFont="1" applyBorder="1" applyAlignment="1">
      <alignment horizontal="left" vertical="center" wrapText="1"/>
    </xf>
    <xf numFmtId="0" fontId="145" fillId="0" borderId="148" xfId="7" applyFont="1" applyBorder="1" applyAlignment="1">
      <alignment horizontal="left" vertical="center" wrapText="1"/>
    </xf>
    <xf numFmtId="49" fontId="145" fillId="10" borderId="154" xfId="7" applyNumberFormat="1" applyFont="1" applyFill="1" applyBorder="1" applyAlignment="1">
      <alignment horizontal="center" vertical="center"/>
    </xf>
    <xf numFmtId="0" fontId="143" fillId="0" borderId="152" xfId="7" applyFont="1" applyFill="1" applyBorder="1" applyAlignment="1">
      <alignment horizontal="left" vertical="center" wrapText="1"/>
    </xf>
    <xf numFmtId="0" fontId="143" fillId="0" borderId="146" xfId="7" applyFont="1" applyFill="1" applyBorder="1" applyAlignment="1">
      <alignment horizontal="left" vertical="center" wrapText="1"/>
    </xf>
    <xf numFmtId="49" fontId="146" fillId="0" borderId="149" xfId="7" applyNumberFormat="1" applyFont="1" applyBorder="1" applyAlignment="1" applyProtection="1">
      <alignment horizontal="center" vertical="center"/>
      <protection locked="0"/>
    </xf>
    <xf numFmtId="49" fontId="146" fillId="0" borderId="155" xfId="7" applyNumberFormat="1" applyFont="1" applyFill="1" applyBorder="1" applyAlignment="1" applyProtection="1">
      <alignment horizontal="center" vertical="center"/>
      <protection locked="0"/>
    </xf>
    <xf numFmtId="0" fontId="139" fillId="0" borderId="149" xfId="7" applyFont="1" applyBorder="1" applyProtection="1">
      <protection locked="0"/>
    </xf>
    <xf numFmtId="49" fontId="146" fillId="0" borderId="152" xfId="7" applyNumberFormat="1" applyFont="1" applyFill="1" applyBorder="1" applyAlignment="1" applyProtection="1">
      <alignment horizontal="center" vertical="center"/>
      <protection locked="0"/>
    </xf>
    <xf numFmtId="0" fontId="84" fillId="0" borderId="0" xfId="7" applyFont="1"/>
    <xf numFmtId="0" fontId="147" fillId="0" borderId="71" xfId="7" applyFont="1" applyBorder="1" applyAlignment="1">
      <alignment vertical="top"/>
    </xf>
    <xf numFmtId="0" fontId="147" fillId="0" borderId="72" xfId="7" applyFont="1" applyBorder="1" applyAlignment="1">
      <alignment vertical="top"/>
    </xf>
    <xf numFmtId="0" fontId="109" fillId="15" borderId="51" xfId="7" applyFont="1" applyFill="1" applyBorder="1" applyAlignment="1">
      <alignment vertical="top"/>
    </xf>
    <xf numFmtId="0" fontId="147" fillId="0" borderId="71" xfId="7" applyFont="1" applyBorder="1" applyAlignment="1">
      <alignment vertical="top" wrapText="1"/>
    </xf>
    <xf numFmtId="0" fontId="147" fillId="0" borderId="72"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5" fillId="0" borderId="0" xfId="7" applyFont="1"/>
    <xf numFmtId="0" fontId="105" fillId="17" borderId="32" xfId="0" applyFont="1" applyFill="1" applyBorder="1" applyAlignment="1" applyProtection="1">
      <alignment horizontal="left" vertical="center"/>
    </xf>
    <xf numFmtId="0" fontId="95" fillId="17" borderId="33" xfId="0" applyFont="1" applyFill="1" applyBorder="1" applyAlignment="1" applyProtection="1">
      <alignment horizontal="left" vertical="center"/>
    </xf>
    <xf numFmtId="0" fontId="94" fillId="17" borderId="29" xfId="0" applyFont="1" applyFill="1" applyBorder="1" applyAlignment="1" applyProtection="1">
      <alignment horizontal="left" vertical="center" indent="2"/>
    </xf>
    <xf numFmtId="0" fontId="105" fillId="17" borderId="2" xfId="0" applyFont="1" applyFill="1" applyBorder="1" applyAlignment="1">
      <alignment horizontal="center" vertical="center"/>
    </xf>
    <xf numFmtId="0" fontId="139" fillId="14" borderId="0" xfId="7" applyFont="1" applyFill="1" applyAlignment="1">
      <alignment horizontal="centerContinuous" vertical="center"/>
    </xf>
    <xf numFmtId="0" fontId="145" fillId="14" borderId="156" xfId="7" applyFont="1" applyFill="1" applyBorder="1" applyAlignment="1">
      <alignment horizontal="center" vertical="center" wrapText="1"/>
    </xf>
    <xf numFmtId="0" fontId="145" fillId="14" borderId="157" xfId="7" applyFont="1" applyFill="1" applyBorder="1" applyAlignment="1">
      <alignment horizontal="center" vertical="center" wrapText="1"/>
    </xf>
    <xf numFmtId="0" fontId="145" fillId="10" borderId="158" xfId="7" applyFont="1" applyFill="1" applyBorder="1" applyAlignment="1">
      <alignment horizontal="center" vertical="center" wrapText="1"/>
    </xf>
    <xf numFmtId="49" fontId="145" fillId="10" borderId="152" xfId="7" applyNumberFormat="1" applyFont="1" applyFill="1" applyBorder="1" applyAlignment="1">
      <alignment horizontal="center" vertical="center" wrapText="1"/>
    </xf>
    <xf numFmtId="0" fontId="109" fillId="10" borderId="159" xfId="7" applyFont="1" applyFill="1" applyBorder="1" applyAlignment="1">
      <alignment horizontal="center"/>
    </xf>
    <xf numFmtId="0" fontId="148" fillId="0" borderId="158" xfId="7" applyFont="1" applyFill="1" applyBorder="1" applyAlignment="1" applyProtection="1">
      <alignment horizontal="right"/>
    </xf>
    <xf numFmtId="0" fontId="90" fillId="17" borderId="73" xfId="0" applyFont="1" applyFill="1" applyBorder="1"/>
    <xf numFmtId="0" fontId="90" fillId="17" borderId="74" xfId="0" applyFont="1" applyFill="1" applyBorder="1" applyAlignment="1">
      <alignment horizontal="left" vertical="top"/>
    </xf>
    <xf numFmtId="0" fontId="90" fillId="17" borderId="74" xfId="0" applyFont="1" applyFill="1" applyBorder="1" applyAlignment="1">
      <alignment vertical="top" wrapText="1"/>
    </xf>
    <xf numFmtId="0" fontId="95" fillId="17" borderId="75" xfId="0" applyFont="1" applyFill="1" applyBorder="1" applyAlignment="1">
      <alignment vertical="top"/>
    </xf>
    <xf numFmtId="6" fontId="90" fillId="0" borderId="15" xfId="4" applyNumberFormat="1" applyFont="1" applyBorder="1" applyAlignment="1" applyProtection="1">
      <alignment horizontal="center"/>
      <protection locked="0"/>
    </xf>
    <xf numFmtId="0" fontId="96" fillId="0" borderId="0" xfId="4" applyFont="1" applyFill="1" applyBorder="1" applyAlignment="1" applyProtection="1">
      <alignment horizontal="center" vertical="center"/>
    </xf>
    <xf numFmtId="3" fontId="90" fillId="0" borderId="0" xfId="4" applyNumberFormat="1" applyFont="1" applyBorder="1" applyAlignment="1" applyProtection="1">
      <alignment horizontal="right" indent="1"/>
    </xf>
    <xf numFmtId="5" fontId="90" fillId="0" borderId="0" xfId="4" applyNumberFormat="1" applyFont="1" applyBorder="1" applyAlignment="1" applyProtection="1"/>
    <xf numFmtId="5" fontId="90" fillId="0" borderId="0" xfId="4" applyNumberFormat="1" applyFont="1" applyBorder="1" applyAlignment="1" applyProtection="1">
      <alignment horizontal="center"/>
    </xf>
    <xf numFmtId="0" fontId="95" fillId="0" borderId="0" xfId="18" quotePrefix="1" applyFont="1" applyAlignment="1">
      <alignment horizontal="left" vertical="top"/>
    </xf>
    <xf numFmtId="0" fontId="95" fillId="0" borderId="0" xfId="18" applyFont="1" applyAlignment="1">
      <alignment horizontal="left" vertical="top"/>
    </xf>
    <xf numFmtId="0" fontId="95" fillId="0" borderId="0" xfId="18" applyFont="1" applyAlignment="1">
      <alignment horizontal="center" vertical="top"/>
    </xf>
    <xf numFmtId="0" fontId="95" fillId="0" borderId="0" xfId="18" applyFont="1" applyAlignment="1">
      <alignment horizontal="left" vertical="top" wrapText="1"/>
    </xf>
    <xf numFmtId="0" fontId="95" fillId="0" borderId="0" xfId="17" applyFont="1" applyAlignment="1">
      <alignment vertical="center"/>
    </xf>
    <xf numFmtId="0" fontId="95" fillId="0" borderId="0" xfId="18" applyFont="1" applyAlignment="1">
      <alignment vertical="center"/>
    </xf>
    <xf numFmtId="0" fontId="117" fillId="0" borderId="0" xfId="2" applyFont="1" applyAlignment="1" applyProtection="1">
      <alignment horizontal="right" vertical="center"/>
    </xf>
    <xf numFmtId="0" fontId="25" fillId="0" borderId="0" xfId="2" applyAlignment="1" applyProtection="1">
      <alignment vertical="center"/>
    </xf>
    <xf numFmtId="0" fontId="95" fillId="10" borderId="14" xfId="0" applyFont="1" applyFill="1" applyBorder="1" applyAlignment="1" applyProtection="1">
      <alignment vertical="center"/>
    </xf>
    <xf numFmtId="0" fontId="95" fillId="10" borderId="2" xfId="0" applyFont="1" applyFill="1" applyBorder="1" applyAlignment="1" applyProtection="1">
      <alignment vertical="center"/>
    </xf>
    <xf numFmtId="0" fontId="94" fillId="0" borderId="14" xfId="0" applyFont="1" applyBorder="1" applyAlignment="1" applyProtection="1">
      <alignment horizontal="left" vertical="center" indent="1"/>
    </xf>
    <xf numFmtId="0" fontId="74" fillId="0" borderId="14" xfId="0" applyFont="1" applyBorder="1" applyAlignment="1" applyProtection="1">
      <alignment horizontal="left" vertical="center" indent="1"/>
    </xf>
    <xf numFmtId="0" fontId="96" fillId="0" borderId="57" xfId="4" applyNumberFormat="1" applyFont="1" applyBorder="1" applyAlignment="1" applyProtection="1">
      <alignment horizontal="center"/>
      <protection locked="0"/>
    </xf>
    <xf numFmtId="0" fontId="81" fillId="12" borderId="0" xfId="0" applyFont="1" applyFill="1" applyAlignment="1">
      <alignment horizontal="center"/>
    </xf>
    <xf numFmtId="0" fontId="82" fillId="0" borderId="0" xfId="0" applyFont="1" applyAlignment="1">
      <alignment horizontal="center"/>
    </xf>
    <xf numFmtId="41" fontId="109" fillId="18" borderId="137" xfId="0" applyNumberFormat="1" applyFont="1" applyFill="1" applyBorder="1" applyAlignment="1" applyProtection="1">
      <alignment horizontal="right" shrinkToFit="1"/>
      <protection locked="0"/>
    </xf>
    <xf numFmtId="41" fontId="109" fillId="11" borderId="139" xfId="0" applyNumberFormat="1" applyFont="1" applyFill="1" applyBorder="1" applyAlignment="1">
      <alignment horizontal="right" shrinkToFit="1"/>
    </xf>
    <xf numFmtId="38" fontId="96" fillId="16" borderId="2" xfId="0" applyNumberFormat="1" applyFont="1" applyFill="1" applyBorder="1" applyAlignment="1" applyProtection="1">
      <alignment horizontal="right" vertical="center" shrinkToFit="1"/>
    </xf>
    <xf numFmtId="0" fontId="90" fillId="0" borderId="0" xfId="0" applyFont="1" applyBorder="1" applyAlignment="1" applyProtection="1">
      <alignment horizontal="center" vertical="center" shrinkToFit="1"/>
    </xf>
    <xf numFmtId="0" fontId="90" fillId="0" borderId="0" xfId="0" applyFont="1" applyBorder="1" applyAlignment="1" applyProtection="1">
      <alignment vertical="center" shrinkToFit="1"/>
    </xf>
    <xf numFmtId="38" fontId="96" fillId="16" borderId="2" xfId="0" applyNumberFormat="1" applyFont="1" applyFill="1" applyBorder="1" applyAlignment="1" applyProtection="1">
      <alignment vertical="center" shrinkToFit="1"/>
    </xf>
    <xf numFmtId="40" fontId="94" fillId="0" borderId="0" xfId="0" applyNumberFormat="1" applyFont="1" applyBorder="1" applyAlignment="1" applyProtection="1">
      <alignment horizontal="right" shrinkToFit="1"/>
    </xf>
    <xf numFmtId="0" fontId="90" fillId="0" borderId="0" xfId="0" applyFont="1" applyBorder="1" applyAlignment="1" applyProtection="1">
      <alignment horizontal="right" shrinkToFit="1"/>
    </xf>
    <xf numFmtId="0" fontId="89" fillId="0" borderId="0" xfId="0" applyFont="1" applyBorder="1" applyAlignment="1" applyProtection="1">
      <alignment horizontal="center" shrinkToFit="1"/>
    </xf>
    <xf numFmtId="37" fontId="94" fillId="0" borderId="0" xfId="0" applyNumberFormat="1" applyFont="1" applyBorder="1" applyAlignment="1" applyProtection="1">
      <alignment horizontal="right" shrinkToFit="1"/>
    </xf>
    <xf numFmtId="40" fontId="94" fillId="0" borderId="0" xfId="0" applyNumberFormat="1" applyFont="1" applyFill="1" applyBorder="1" applyAlignment="1" applyProtection="1">
      <alignment horizontal="right" shrinkToFit="1"/>
    </xf>
    <xf numFmtId="40" fontId="94" fillId="0" borderId="0" xfId="0" applyNumberFormat="1" applyFont="1" applyBorder="1" applyAlignment="1" applyProtection="1">
      <alignment horizontal="right" vertical="center" shrinkToFit="1"/>
    </xf>
    <xf numFmtId="40" fontId="94" fillId="0" borderId="0" xfId="0" applyNumberFormat="1" applyFont="1" applyFill="1" applyBorder="1" applyAlignment="1" applyProtection="1">
      <alignment horizontal="right" vertical="center" shrinkToFit="1"/>
    </xf>
    <xf numFmtId="0" fontId="94" fillId="0" borderId="0" xfId="0" applyFont="1" applyBorder="1" applyAlignment="1" applyProtection="1">
      <alignment horizontal="right" shrinkToFit="1"/>
    </xf>
    <xf numFmtId="175" fontId="94" fillId="0" borderId="0" xfId="0" applyNumberFormat="1" applyFont="1" applyFill="1" applyBorder="1" applyAlignment="1" applyProtection="1">
      <alignment horizontal="right" shrinkToFit="1"/>
    </xf>
    <xf numFmtId="0" fontId="89" fillId="0" borderId="0" xfId="0" applyFont="1" applyBorder="1" applyAlignment="1" applyProtection="1">
      <alignment horizontal="right" shrinkToFit="1"/>
    </xf>
    <xf numFmtId="0" fontId="96" fillId="0" borderId="0" xfId="12" applyNumberFormat="1" applyFont="1" applyBorder="1" applyAlignment="1" applyProtection="1">
      <alignment horizontal="right" shrinkToFit="1"/>
    </xf>
    <xf numFmtId="0" fontId="94" fillId="0" borderId="0" xfId="12" applyNumberFormat="1" applyFont="1" applyBorder="1" applyAlignment="1" applyProtection="1">
      <alignment horizontal="right" shrinkToFit="1"/>
    </xf>
    <xf numFmtId="2" fontId="94" fillId="0" borderId="0" xfId="0" applyNumberFormat="1" applyFont="1" applyBorder="1" applyAlignment="1" applyProtection="1">
      <alignment horizontal="right" shrinkToFit="1"/>
    </xf>
    <xf numFmtId="0" fontId="90" fillId="0" borderId="0" xfId="0" applyFont="1" applyBorder="1" applyAlignment="1" applyProtection="1">
      <alignment shrinkToFit="1"/>
    </xf>
    <xf numFmtId="0" fontId="94" fillId="0" borderId="0" xfId="12" quotePrefix="1" applyNumberFormat="1" applyFont="1" applyBorder="1" applyAlignment="1" applyProtection="1">
      <alignment horizontal="right" shrinkToFit="1"/>
    </xf>
    <xf numFmtId="1" fontId="96" fillId="0" borderId="0" xfId="12" applyNumberFormat="1" applyFont="1" applyBorder="1" applyAlignment="1" applyProtection="1">
      <alignment horizontal="right" shrinkToFit="1"/>
    </xf>
    <xf numFmtId="2" fontId="94" fillId="0" borderId="0" xfId="0" applyNumberFormat="1" applyFont="1" applyBorder="1" applyAlignment="1" applyProtection="1">
      <alignment horizontal="right" vertical="center" shrinkToFit="1"/>
    </xf>
    <xf numFmtId="172" fontId="94" fillId="0" borderId="0" xfId="0" applyNumberFormat="1" applyFont="1" applyBorder="1" applyAlignment="1" applyProtection="1">
      <alignment horizontal="right" shrinkToFit="1"/>
    </xf>
    <xf numFmtId="2" fontId="105" fillId="0" borderId="0" xfId="0" applyNumberFormat="1" applyFont="1" applyFill="1" applyBorder="1" applyAlignment="1" applyProtection="1">
      <alignment horizontal="right" shrinkToFit="1"/>
    </xf>
    <xf numFmtId="0" fontId="90" fillId="0" borderId="0" xfId="0" applyFont="1" applyFill="1" applyBorder="1" applyAlignment="1" applyProtection="1">
      <alignment shrinkToFit="1"/>
    </xf>
    <xf numFmtId="0" fontId="102" fillId="0" borderId="0" xfId="12" applyNumberFormat="1" applyFont="1" applyFill="1" applyBorder="1" applyAlignment="1" applyProtection="1">
      <alignment horizontal="right" shrinkToFit="1"/>
    </xf>
    <xf numFmtId="38" fontId="90" fillId="0" borderId="19" xfId="0" applyNumberFormat="1" applyFont="1" applyBorder="1" applyAlignment="1" applyProtection="1">
      <alignment horizontal="right" shrinkToFit="1"/>
      <protection locked="0"/>
    </xf>
    <xf numFmtId="38" fontId="90" fillId="0" borderId="2" xfId="0" applyNumberFormat="1" applyFont="1" applyBorder="1" applyAlignment="1" applyProtection="1">
      <alignment horizontal="right" shrinkToFit="1"/>
      <protection locked="0"/>
    </xf>
    <xf numFmtId="38" fontId="90" fillId="0" borderId="2" xfId="0" applyNumberFormat="1" applyFont="1" applyFill="1" applyBorder="1" applyAlignment="1" applyProtection="1">
      <alignment horizontal="right" shrinkToFit="1"/>
      <protection locked="0"/>
    </xf>
    <xf numFmtId="38" fontId="90" fillId="3" borderId="24" xfId="0" applyNumberFormat="1" applyFont="1" applyFill="1" applyBorder="1" applyAlignment="1" applyProtection="1">
      <alignment horizontal="right" shrinkToFit="1"/>
    </xf>
    <xf numFmtId="38" fontId="90" fillId="3" borderId="5" xfId="0" applyNumberFormat="1" applyFont="1" applyFill="1" applyBorder="1" applyAlignment="1" applyProtection="1">
      <alignment horizontal="right" shrinkToFit="1"/>
    </xf>
    <xf numFmtId="38" fontId="90" fillId="0" borderId="17" xfId="0" applyNumberFormat="1" applyFont="1" applyBorder="1" applyAlignment="1" applyProtection="1">
      <alignment horizontal="right" shrinkToFit="1"/>
      <protection locked="0"/>
    </xf>
    <xf numFmtId="38" fontId="90" fillId="0" borderId="0" xfId="0" applyNumberFormat="1" applyFont="1" applyBorder="1" applyAlignment="1" applyProtection="1">
      <alignment horizontal="right" shrinkToFit="1"/>
      <protection locked="0"/>
    </xf>
    <xf numFmtId="38" fontId="90" fillId="0" borderId="17" xfId="0" applyNumberFormat="1" applyFont="1" applyFill="1" applyBorder="1" applyAlignment="1" applyProtection="1">
      <alignment horizontal="right" shrinkToFit="1"/>
      <protection locked="0"/>
    </xf>
    <xf numFmtId="38" fontId="90" fillId="2" borderId="17" xfId="0" applyNumberFormat="1" applyFont="1" applyFill="1" applyBorder="1" applyAlignment="1" applyProtection="1">
      <alignment horizontal="right" shrinkToFit="1"/>
    </xf>
    <xf numFmtId="38" fontId="90" fillId="0" borderId="19" xfId="0" applyNumberFormat="1" applyFont="1" applyFill="1" applyBorder="1" applyAlignment="1" applyProtection="1">
      <alignment horizontal="right" shrinkToFit="1"/>
      <protection locked="0"/>
    </xf>
    <xf numFmtId="38" fontId="90" fillId="2" borderId="24" xfId="0" applyNumberFormat="1" applyFont="1" applyFill="1" applyBorder="1" applyAlignment="1" applyProtection="1">
      <alignment horizontal="right" shrinkToFit="1"/>
    </xf>
    <xf numFmtId="38" fontId="90" fillId="0" borderId="18" xfId="0" applyNumberFormat="1" applyFont="1" applyFill="1" applyBorder="1" applyAlignment="1" applyProtection="1">
      <alignment horizontal="right" shrinkToFit="1"/>
      <protection locked="0"/>
    </xf>
    <xf numFmtId="38" fontId="90" fillId="0" borderId="24" xfId="0" applyNumberFormat="1" applyFont="1" applyFill="1" applyBorder="1" applyAlignment="1" applyProtection="1">
      <alignment horizontal="right" shrinkToFit="1"/>
      <protection locked="0"/>
    </xf>
    <xf numFmtId="38" fontId="90" fillId="2" borderId="18" xfId="0" applyNumberFormat="1" applyFont="1" applyFill="1" applyBorder="1" applyAlignment="1" applyProtection="1">
      <alignment horizontal="right" shrinkToFit="1"/>
    </xf>
    <xf numFmtId="38" fontId="90" fillId="0" borderId="18" xfId="0" applyNumberFormat="1" applyFont="1" applyBorder="1" applyAlignment="1" applyProtection="1">
      <alignment horizontal="right" shrinkToFit="1"/>
      <protection locked="0"/>
    </xf>
    <xf numFmtId="38" fontId="90" fillId="16" borderId="64" xfId="0" applyNumberFormat="1" applyFont="1" applyFill="1" applyBorder="1" applyAlignment="1" applyProtection="1">
      <alignment horizontal="right" shrinkToFit="1"/>
    </xf>
    <xf numFmtId="38" fontId="90" fillId="14" borderId="9" xfId="0" applyNumberFormat="1" applyFont="1" applyFill="1" applyBorder="1" applyAlignment="1" applyProtection="1">
      <alignment horizontal="right" shrinkToFit="1"/>
    </xf>
    <xf numFmtId="38" fontId="90" fillId="14" borderId="6" xfId="0" applyNumberFormat="1" applyFont="1" applyFill="1" applyBorder="1" applyAlignment="1" applyProtection="1">
      <alignment horizontal="right" shrinkToFit="1"/>
    </xf>
    <xf numFmtId="38" fontId="90" fillId="14" borderId="14" xfId="0" applyNumberFormat="1" applyFont="1" applyFill="1" applyBorder="1" applyAlignment="1" applyProtection="1">
      <alignment horizontal="right" shrinkToFit="1"/>
    </xf>
    <xf numFmtId="38" fontId="90" fillId="14" borderId="19" xfId="0" applyNumberFormat="1" applyFont="1" applyFill="1" applyBorder="1" applyAlignment="1" applyProtection="1">
      <alignment horizontal="right" shrinkToFit="1"/>
    </xf>
    <xf numFmtId="38" fontId="90" fillId="2" borderId="5" xfId="0" applyNumberFormat="1" applyFont="1" applyFill="1" applyBorder="1" applyAlignment="1" applyProtection="1">
      <alignment horizontal="right" shrinkToFit="1"/>
    </xf>
    <xf numFmtId="38" fontId="90" fillId="2" borderId="0" xfId="0" applyNumberFormat="1" applyFont="1" applyFill="1" applyBorder="1" applyAlignment="1" applyProtection="1">
      <alignment horizontal="right" shrinkToFit="1"/>
    </xf>
    <xf numFmtId="38" fontId="90" fillId="16" borderId="26" xfId="0" applyNumberFormat="1" applyFont="1" applyFill="1" applyBorder="1" applyAlignment="1" applyProtection="1">
      <alignment horizontal="right" shrinkToFit="1"/>
    </xf>
    <xf numFmtId="38" fontId="90" fillId="14" borderId="23" xfId="0" applyNumberFormat="1" applyFont="1" applyFill="1" applyBorder="1" applyAlignment="1" applyProtection="1">
      <alignment horizontal="right" shrinkToFit="1"/>
    </xf>
    <xf numFmtId="38" fontId="90" fillId="14" borderId="10" xfId="0" applyNumberFormat="1" applyFont="1" applyFill="1" applyBorder="1" applyAlignment="1" applyProtection="1">
      <alignment horizontal="right" shrinkToFit="1"/>
    </xf>
    <xf numFmtId="38" fontId="90" fillId="0" borderId="8" xfId="0" applyNumberFormat="1" applyFont="1" applyFill="1" applyBorder="1" applyAlignment="1" applyProtection="1">
      <alignment horizontal="right" shrinkToFit="1"/>
      <protection locked="0"/>
    </xf>
    <xf numFmtId="38" fontId="90" fillId="0" borderId="23" xfId="0" applyNumberFormat="1" applyFont="1" applyFill="1" applyBorder="1" applyAlignment="1" applyProtection="1">
      <alignment horizontal="right" shrinkToFit="1"/>
      <protection locked="0"/>
    </xf>
    <xf numFmtId="38" fontId="90" fillId="0" borderId="24" xfId="0" applyNumberFormat="1" applyFont="1" applyBorder="1" applyAlignment="1" applyProtection="1">
      <alignment horizontal="right" shrinkToFit="1"/>
      <protection locked="0"/>
    </xf>
    <xf numFmtId="38" fontId="90" fillId="16" borderId="24" xfId="0" applyNumberFormat="1" applyFont="1" applyFill="1" applyBorder="1" applyAlignment="1" applyProtection="1">
      <alignment horizontal="right" shrinkToFit="1"/>
    </xf>
    <xf numFmtId="38" fontId="90" fillId="16" borderId="17" xfId="0" applyNumberFormat="1" applyFont="1" applyFill="1" applyBorder="1" applyAlignment="1" applyProtection="1">
      <alignment horizontal="right" shrinkToFit="1"/>
    </xf>
    <xf numFmtId="38" fontId="90" fillId="14" borderId="20" xfId="0" applyNumberFormat="1" applyFont="1" applyFill="1" applyBorder="1" applyAlignment="1" applyProtection="1">
      <alignment horizontal="right" shrinkToFit="1"/>
    </xf>
    <xf numFmtId="38" fontId="90" fillId="14" borderId="62" xfId="0" applyNumberFormat="1" applyFont="1" applyFill="1" applyBorder="1" applyAlignment="1" applyProtection="1">
      <alignment horizontal="right" shrinkToFit="1"/>
    </xf>
    <xf numFmtId="38" fontId="96" fillId="2" borderId="24" xfId="0" applyNumberFormat="1" applyFont="1" applyFill="1" applyBorder="1" applyAlignment="1">
      <alignment horizontal="right" shrinkToFit="1"/>
    </xf>
    <xf numFmtId="38" fontId="90" fillId="2" borderId="17" xfId="0" applyNumberFormat="1" applyFont="1" applyFill="1" applyBorder="1" applyAlignment="1">
      <alignment horizontal="right" shrinkToFit="1"/>
    </xf>
    <xf numFmtId="38" fontId="90" fillId="16" borderId="18" xfId="0" applyNumberFormat="1" applyFont="1" applyFill="1" applyBorder="1" applyAlignment="1" applyProtection="1">
      <alignment horizontal="right" shrinkToFit="1"/>
    </xf>
    <xf numFmtId="38" fontId="90" fillId="16" borderId="2" xfId="0" applyNumberFormat="1" applyFont="1" applyFill="1" applyBorder="1" applyAlignment="1" applyProtection="1">
      <alignment horizontal="right" shrinkToFit="1"/>
    </xf>
    <xf numFmtId="38" fontId="90" fillId="3" borderId="14" xfId="0" applyNumberFormat="1" applyFont="1" applyFill="1" applyBorder="1" applyAlignment="1" applyProtection="1">
      <alignment horizontal="right" shrinkToFit="1"/>
    </xf>
    <xf numFmtId="38" fontId="90" fillId="3" borderId="0" xfId="0" applyNumberFormat="1" applyFont="1" applyFill="1" applyBorder="1" applyAlignment="1" applyProtection="1">
      <alignment horizontal="right" shrinkToFit="1"/>
    </xf>
    <xf numFmtId="38" fontId="90" fillId="3" borderId="17" xfId="0" applyNumberFormat="1" applyFont="1" applyFill="1" applyBorder="1" applyAlignment="1" applyProtection="1">
      <alignment horizontal="right" shrinkToFit="1"/>
    </xf>
    <xf numFmtId="38" fontId="90" fillId="3" borderId="23" xfId="0" applyNumberFormat="1" applyFont="1" applyFill="1" applyBorder="1" applyAlignment="1" applyProtection="1">
      <alignment horizontal="right" shrinkToFit="1"/>
    </xf>
    <xf numFmtId="38" fontId="90" fillId="3" borderId="2" xfId="0" applyNumberFormat="1" applyFont="1" applyFill="1" applyBorder="1" applyAlignment="1" applyProtection="1">
      <alignment horizontal="right" shrinkToFit="1"/>
    </xf>
    <xf numFmtId="38" fontId="90" fillId="0" borderId="9" xfId="0" applyNumberFormat="1" applyFont="1" applyBorder="1" applyAlignment="1" applyProtection="1">
      <alignment horizontal="right" shrinkToFit="1"/>
      <protection locked="0"/>
    </xf>
    <xf numFmtId="38" fontId="90" fillId="0" borderId="10" xfId="0" applyNumberFormat="1" applyFont="1" applyBorder="1" applyAlignment="1" applyProtection="1">
      <alignment horizontal="right" shrinkToFit="1"/>
      <protection locked="0"/>
    </xf>
    <xf numFmtId="38" fontId="90" fillId="14" borderId="21" xfId="0" applyNumberFormat="1" applyFont="1" applyFill="1" applyBorder="1" applyAlignment="1" applyProtection="1">
      <alignment horizontal="right" shrinkToFit="1"/>
    </xf>
    <xf numFmtId="38" fontId="90" fillId="3" borderId="10" xfId="0" applyNumberFormat="1" applyFont="1" applyFill="1" applyBorder="1" applyAlignment="1" applyProtection="1">
      <alignment horizontal="right" shrinkToFit="1"/>
    </xf>
    <xf numFmtId="38" fontId="90" fillId="3" borderId="18" xfId="0" applyNumberFormat="1" applyFont="1" applyFill="1" applyBorder="1" applyAlignment="1" applyProtection="1">
      <alignment horizontal="right" shrinkToFit="1"/>
    </xf>
    <xf numFmtId="38" fontId="90" fillId="16" borderId="5" xfId="0" applyNumberFormat="1" applyFont="1" applyFill="1" applyBorder="1" applyAlignment="1" applyProtection="1">
      <alignment horizontal="right" shrinkToFit="1"/>
    </xf>
    <xf numFmtId="38" fontId="90" fillId="16" borderId="9" xfId="0" applyNumberFormat="1" applyFont="1" applyFill="1" applyBorder="1" applyAlignment="1" applyProtection="1">
      <alignment horizontal="right" shrinkToFit="1"/>
    </xf>
    <xf numFmtId="38" fontId="90" fillId="3" borderId="19" xfId="0" applyNumberFormat="1" applyFont="1" applyFill="1" applyBorder="1" applyAlignment="1" applyProtection="1">
      <alignment horizontal="right" shrinkToFit="1"/>
    </xf>
    <xf numFmtId="38" fontId="90" fillId="16" borderId="0" xfId="0" applyNumberFormat="1" applyFont="1" applyFill="1" applyAlignment="1" applyProtection="1">
      <alignment horizontal="right" shrinkToFit="1"/>
    </xf>
    <xf numFmtId="38" fontId="90" fillId="16" borderId="76" xfId="0" applyNumberFormat="1" applyFont="1" applyFill="1" applyBorder="1" applyAlignment="1" applyProtection="1">
      <alignment horizontal="right" shrinkToFit="1"/>
    </xf>
    <xf numFmtId="38" fontId="90" fillId="2" borderId="2" xfId="0" applyNumberFormat="1" applyFont="1" applyFill="1" applyBorder="1" applyAlignment="1" applyProtection="1">
      <alignment horizontal="right" shrinkToFit="1"/>
    </xf>
    <xf numFmtId="38" fontId="90" fillId="16" borderId="25" xfId="0" applyNumberFormat="1" applyFont="1" applyFill="1" applyBorder="1" applyAlignment="1" applyProtection="1">
      <alignment horizontal="right" shrinkToFit="1"/>
    </xf>
    <xf numFmtId="38" fontId="90" fillId="2" borderId="76" xfId="0" applyNumberFormat="1" applyFont="1" applyFill="1" applyBorder="1" applyAlignment="1" applyProtection="1">
      <alignment horizontal="right" shrinkToFit="1"/>
    </xf>
    <xf numFmtId="38" fontId="90" fillId="0" borderId="26" xfId="0" applyNumberFormat="1" applyFont="1" applyFill="1" applyBorder="1" applyAlignment="1" applyProtection="1">
      <alignment horizontal="right" shrinkToFit="1"/>
      <protection locked="0"/>
    </xf>
    <xf numFmtId="38" fontId="90" fillId="0" borderId="22" xfId="0" applyNumberFormat="1" applyFont="1" applyFill="1" applyBorder="1" applyAlignment="1" applyProtection="1">
      <alignment horizontal="right" shrinkToFit="1"/>
      <protection locked="0"/>
    </xf>
    <xf numFmtId="38" fontId="90" fillId="0" borderId="25" xfId="0" applyNumberFormat="1" applyFont="1" applyFill="1" applyBorder="1" applyAlignment="1" applyProtection="1">
      <alignment horizontal="right" shrinkToFit="1"/>
      <protection locked="0"/>
    </xf>
    <xf numFmtId="38" fontId="90" fillId="16" borderId="22" xfId="0" applyNumberFormat="1" applyFont="1" applyFill="1" applyBorder="1" applyAlignment="1" applyProtection="1">
      <alignment horizontal="right" shrinkToFit="1"/>
    </xf>
    <xf numFmtId="38" fontId="90" fillId="0" borderId="27" xfId="0" applyNumberFormat="1" applyFont="1" applyFill="1" applyBorder="1" applyAlignment="1" applyProtection="1">
      <alignment horizontal="right" shrinkToFit="1"/>
      <protection locked="0"/>
    </xf>
    <xf numFmtId="38" fontId="90" fillId="0" borderId="0" xfId="0" applyNumberFormat="1" applyFont="1" applyAlignment="1" applyProtection="1">
      <alignment horizontal="right" shrinkToFit="1"/>
      <protection locked="0"/>
    </xf>
    <xf numFmtId="38" fontId="90" fillId="0" borderId="23" xfId="0" applyNumberFormat="1" applyFont="1" applyBorder="1" applyAlignment="1" applyProtection="1">
      <alignment horizontal="right" shrinkToFit="1"/>
      <protection locked="0"/>
    </xf>
    <xf numFmtId="38" fontId="90" fillId="16" borderId="61" xfId="0" applyNumberFormat="1" applyFont="1" applyFill="1" applyBorder="1" applyAlignment="1" applyProtection="1">
      <alignment horizontal="right" shrinkToFit="1"/>
    </xf>
    <xf numFmtId="38" fontId="90" fillId="3" borderId="7" xfId="0" applyNumberFormat="1" applyFont="1" applyFill="1" applyBorder="1" applyAlignment="1" applyProtection="1">
      <alignment horizontal="right" shrinkToFit="1"/>
    </xf>
    <xf numFmtId="37" fontId="90" fillId="16" borderId="61" xfId="0" applyNumberFormat="1" applyFont="1" applyFill="1" applyBorder="1" applyAlignment="1" applyProtection="1">
      <alignment horizontal="right" shrinkToFit="1"/>
    </xf>
    <xf numFmtId="37" fontId="90" fillId="16" borderId="26" xfId="0" applyNumberFormat="1" applyFont="1" applyFill="1" applyBorder="1" applyAlignment="1" applyProtection="1">
      <alignment horizontal="right" shrinkToFit="1"/>
    </xf>
    <xf numFmtId="37" fontId="90" fillId="3" borderId="7" xfId="0" applyNumberFormat="1" applyFont="1" applyFill="1" applyBorder="1" applyAlignment="1" applyProtection="1">
      <alignment horizontal="right" shrinkToFit="1"/>
    </xf>
    <xf numFmtId="37" fontId="90" fillId="3" borderId="24" xfId="0" applyNumberFormat="1" applyFont="1" applyFill="1" applyBorder="1" applyAlignment="1" applyProtection="1">
      <alignment horizontal="right" shrinkToFit="1"/>
    </xf>
    <xf numFmtId="38" fontId="90" fillId="0" borderId="9" xfId="0" applyNumberFormat="1" applyFont="1" applyFill="1" applyBorder="1" applyAlignment="1" applyProtection="1">
      <alignment horizontal="right" shrinkToFit="1"/>
      <protection locked="0"/>
    </xf>
    <xf numFmtId="38" fontId="90" fillId="3" borderId="0" xfId="0" applyNumberFormat="1" applyFont="1" applyFill="1" applyAlignment="1" applyProtection="1">
      <alignment horizontal="right" shrinkToFit="1"/>
    </xf>
    <xf numFmtId="38" fontId="90" fillId="16" borderId="63" xfId="0" applyNumberFormat="1" applyFont="1" applyFill="1" applyBorder="1" applyAlignment="1" applyProtection="1">
      <alignment horizontal="right" shrinkToFit="1"/>
    </xf>
    <xf numFmtId="38" fontId="90" fillId="16" borderId="8" xfId="0" applyNumberFormat="1" applyFont="1" applyFill="1" applyBorder="1" applyAlignment="1" applyProtection="1">
      <alignment horizontal="right" shrinkToFit="1"/>
    </xf>
    <xf numFmtId="38" fontId="90" fillId="3" borderId="9" xfId="0" applyNumberFormat="1" applyFont="1" applyFill="1" applyBorder="1" applyAlignment="1" applyProtection="1">
      <alignment horizontal="right" shrinkToFit="1"/>
    </xf>
    <xf numFmtId="38" fontId="90" fillId="3" borderId="77" xfId="0" applyNumberFormat="1" applyFont="1" applyFill="1" applyBorder="1" applyAlignment="1" applyProtection="1">
      <alignment horizontal="right" shrinkToFit="1"/>
    </xf>
    <xf numFmtId="38" fontId="90" fillId="3" borderId="76" xfId="0" applyNumberFormat="1" applyFont="1" applyFill="1" applyBorder="1" applyAlignment="1" applyProtection="1">
      <alignment horizontal="right" shrinkToFit="1"/>
    </xf>
    <xf numFmtId="38" fontId="90" fillId="0" borderId="18" xfId="0" applyNumberFormat="1" applyFont="1" applyBorder="1" applyAlignment="1" applyProtection="1">
      <alignment horizontal="right" shrinkToFit="1"/>
      <protection locked="0"/>
    </xf>
    <xf numFmtId="38" fontId="90" fillId="3" borderId="18" xfId="0" applyNumberFormat="1" applyFont="1" applyFill="1" applyBorder="1" applyAlignment="1" applyProtection="1">
      <alignment horizontal="right" shrinkToFit="1"/>
    </xf>
    <xf numFmtId="38" fontId="90" fillId="3" borderId="27" xfId="0" applyNumberFormat="1" applyFont="1" applyFill="1" applyBorder="1" applyAlignment="1" applyProtection="1">
      <alignment horizontal="right" shrinkToFit="1"/>
    </xf>
    <xf numFmtId="38" fontId="90" fillId="0" borderId="25" xfId="0" applyNumberFormat="1" applyFont="1" applyBorder="1" applyAlignment="1" applyProtection="1">
      <alignment horizontal="right" shrinkToFit="1"/>
      <protection locked="0"/>
    </xf>
    <xf numFmtId="38" fontId="90" fillId="0" borderId="63" xfId="0" applyNumberFormat="1" applyFont="1" applyBorder="1" applyAlignment="1" applyProtection="1">
      <alignment horizontal="right" shrinkToFit="1"/>
      <protection locked="0"/>
    </xf>
    <xf numFmtId="38" fontId="90" fillId="0" borderId="22" xfId="0" applyNumberFormat="1" applyFont="1" applyBorder="1" applyAlignment="1" applyProtection="1">
      <alignment horizontal="right" shrinkToFit="1"/>
      <protection locked="0"/>
    </xf>
    <xf numFmtId="38" fontId="90" fillId="0" borderId="61" xfId="0" applyNumberFormat="1" applyFont="1" applyFill="1" applyBorder="1" applyAlignment="1" applyProtection="1">
      <alignment horizontal="right" shrinkToFit="1"/>
      <protection locked="0"/>
    </xf>
    <xf numFmtId="38" fontId="90" fillId="0" borderId="26" xfId="0" applyNumberFormat="1" applyFont="1" applyBorder="1" applyAlignment="1" applyProtection="1">
      <alignment horizontal="right" shrinkToFit="1"/>
      <protection locked="0"/>
    </xf>
    <xf numFmtId="38" fontId="90" fillId="0" borderId="44" xfId="0" applyNumberFormat="1" applyFont="1" applyBorder="1" applyAlignment="1" applyProtection="1">
      <alignment horizontal="right" vertical="center" shrinkToFit="1"/>
      <protection locked="0"/>
    </xf>
    <xf numFmtId="38" fontId="90" fillId="0" borderId="25" xfId="0" applyNumberFormat="1" applyFont="1" applyBorder="1" applyAlignment="1" applyProtection="1">
      <alignment horizontal="right" vertical="center" shrinkToFit="1"/>
      <protection locked="0"/>
    </xf>
    <xf numFmtId="38" fontId="90" fillId="0" borderId="26" xfId="0" applyNumberFormat="1" applyFont="1" applyFill="1" applyBorder="1" applyAlignment="1" applyProtection="1">
      <alignment horizontal="right" vertical="center" shrinkToFit="1"/>
      <protection locked="0"/>
    </xf>
    <xf numFmtId="38" fontId="90" fillId="0" borderId="25" xfId="0" applyNumberFormat="1" applyFont="1" applyFill="1" applyBorder="1" applyAlignment="1" applyProtection="1">
      <alignment horizontal="right" vertical="center" shrinkToFit="1"/>
      <protection locked="0"/>
    </xf>
    <xf numFmtId="38" fontId="90" fillId="16" borderId="44" xfId="0" applyNumberFormat="1" applyFont="1" applyFill="1" applyBorder="1" applyAlignment="1" applyProtection="1">
      <alignment horizontal="right" shrinkToFit="1"/>
    </xf>
    <xf numFmtId="38" fontId="90" fillId="3" borderId="21" xfId="0" applyNumberFormat="1" applyFont="1" applyFill="1" applyBorder="1" applyAlignment="1" applyProtection="1">
      <alignment horizontal="right" vertical="center" shrinkToFit="1"/>
    </xf>
    <xf numFmtId="38" fontId="90" fillId="3" borderId="76" xfId="0" applyNumberFormat="1" applyFont="1" applyFill="1" applyBorder="1" applyAlignment="1" applyProtection="1">
      <alignment horizontal="right" vertical="center" shrinkToFit="1"/>
    </xf>
    <xf numFmtId="38" fontId="90" fillId="3" borderId="0" xfId="0" applyNumberFormat="1" applyFont="1" applyFill="1" applyAlignment="1" applyProtection="1">
      <alignment horizontal="right" vertical="center" shrinkToFit="1"/>
    </xf>
    <xf numFmtId="38" fontId="90" fillId="3" borderId="24" xfId="0" applyNumberFormat="1" applyFont="1" applyFill="1" applyBorder="1" applyAlignment="1" applyProtection="1">
      <alignment horizontal="right" vertical="center" shrinkToFit="1"/>
    </xf>
    <xf numFmtId="38" fontId="90" fillId="3" borderId="73" xfId="0" applyNumberFormat="1" applyFont="1" applyFill="1" applyBorder="1" applyAlignment="1" applyProtection="1">
      <alignment horizontal="right" shrinkToFit="1"/>
    </xf>
    <xf numFmtId="38" fontId="90" fillId="0" borderId="2" xfId="0" applyNumberFormat="1" applyFont="1" applyFill="1" applyBorder="1" applyAlignment="1" applyProtection="1">
      <alignment horizontal="right" vertical="center" shrinkToFit="1"/>
      <protection locked="0"/>
    </xf>
    <xf numFmtId="38" fontId="90" fillId="2" borderId="2" xfId="0" applyNumberFormat="1" applyFont="1" applyFill="1" applyBorder="1" applyAlignment="1" applyProtection="1">
      <alignment horizontal="right" vertical="center" shrinkToFit="1"/>
    </xf>
    <xf numFmtId="38" fontId="90" fillId="0" borderId="160" xfId="0" applyNumberFormat="1" applyFont="1" applyFill="1" applyBorder="1" applyAlignment="1" applyProtection="1">
      <alignment horizontal="right" shrinkToFit="1"/>
      <protection locked="0"/>
    </xf>
    <xf numFmtId="38" fontId="90" fillId="0" borderId="161" xfId="0" applyNumberFormat="1" applyFont="1" applyFill="1" applyBorder="1" applyAlignment="1" applyProtection="1">
      <alignment horizontal="right" shrinkToFit="1"/>
      <protection locked="0"/>
    </xf>
    <xf numFmtId="38" fontId="90" fillId="0" borderId="162" xfId="0" applyNumberFormat="1" applyFont="1" applyFill="1" applyBorder="1" applyAlignment="1" applyProtection="1">
      <alignment horizontal="right" shrinkToFit="1"/>
      <protection locked="0"/>
    </xf>
    <xf numFmtId="3" fontId="90" fillId="3" borderId="18" xfId="0" applyNumberFormat="1" applyFont="1" applyFill="1" applyBorder="1" applyAlignment="1">
      <alignment horizontal="center" shrinkToFit="1"/>
    </xf>
    <xf numFmtId="3" fontId="90" fillId="3" borderId="24" xfId="0" applyNumberFormat="1" applyFont="1" applyFill="1" applyBorder="1" applyAlignment="1">
      <alignment horizontal="center" shrinkToFit="1"/>
    </xf>
    <xf numFmtId="3" fontId="90" fillId="3" borderId="18" xfId="0" applyNumberFormat="1" applyFont="1" applyFill="1" applyBorder="1" applyAlignment="1">
      <alignment horizontal="right" shrinkToFit="1"/>
    </xf>
    <xf numFmtId="38" fontId="90" fillId="16" borderId="2" xfId="0" applyNumberFormat="1" applyFont="1" applyFill="1" applyBorder="1" applyAlignment="1">
      <alignment horizontal="right" shrinkToFit="1"/>
    </xf>
    <xf numFmtId="38" fontId="90" fillId="3" borderId="24" xfId="0" applyNumberFormat="1" applyFont="1" applyFill="1" applyBorder="1" applyAlignment="1">
      <alignment horizontal="right" shrinkToFit="1"/>
    </xf>
    <xf numFmtId="38" fontId="90" fillId="16" borderId="26" xfId="0" applyNumberFormat="1" applyFont="1" applyFill="1" applyBorder="1" applyAlignment="1">
      <alignment horizontal="right" shrinkToFit="1"/>
    </xf>
    <xf numFmtId="38" fontId="90" fillId="3" borderId="76" xfId="0" applyNumberFormat="1" applyFont="1" applyFill="1" applyBorder="1" applyAlignment="1">
      <alignment horizontal="right" shrinkToFit="1"/>
    </xf>
    <xf numFmtId="38" fontId="90" fillId="3" borderId="18" xfId="0" applyNumberFormat="1" applyFont="1" applyFill="1" applyBorder="1" applyAlignment="1">
      <alignment horizontal="right" shrinkToFit="1"/>
    </xf>
    <xf numFmtId="38" fontId="90" fillId="3" borderId="27" xfId="0" applyNumberFormat="1" applyFont="1" applyFill="1" applyBorder="1" applyAlignment="1">
      <alignment horizontal="right" shrinkToFit="1"/>
    </xf>
    <xf numFmtId="38" fontId="90" fillId="16" borderId="18" xfId="0" applyNumberFormat="1" applyFont="1" applyFill="1" applyBorder="1" applyAlignment="1">
      <alignment horizontal="right" shrinkToFit="1"/>
    </xf>
    <xf numFmtId="38" fontId="90" fillId="16" borderId="64" xfId="0" applyNumberFormat="1" applyFont="1" applyFill="1" applyBorder="1" applyAlignment="1">
      <alignment horizontal="right" shrinkToFit="1"/>
    </xf>
    <xf numFmtId="38" fontId="90" fillId="3" borderId="21" xfId="0" applyNumberFormat="1" applyFont="1" applyFill="1" applyBorder="1" applyAlignment="1">
      <alignment horizontal="right" shrinkToFit="1"/>
    </xf>
    <xf numFmtId="38" fontId="90" fillId="16" borderId="25" xfId="0" applyNumberFormat="1" applyFont="1" applyFill="1" applyBorder="1" applyAlignment="1">
      <alignment horizontal="right" shrinkToFit="1"/>
    </xf>
    <xf numFmtId="38" fontId="90" fillId="8" borderId="18" xfId="0" applyNumberFormat="1" applyFont="1" applyFill="1" applyBorder="1" applyAlignment="1" applyProtection="1">
      <alignment horizontal="right" shrinkToFit="1"/>
      <protection locked="0"/>
    </xf>
    <xf numFmtId="38" fontId="90" fillId="2" borderId="76" xfId="0" applyNumberFormat="1" applyFont="1" applyFill="1" applyBorder="1" applyAlignment="1">
      <alignment horizontal="right" shrinkToFit="1"/>
    </xf>
    <xf numFmtId="38" fontId="90" fillId="2" borderId="24" xfId="0" applyNumberFormat="1" applyFont="1" applyFill="1" applyBorder="1" applyAlignment="1">
      <alignment horizontal="right" shrinkToFit="1"/>
    </xf>
    <xf numFmtId="38" fontId="90" fillId="0" borderId="18" xfId="0" applyNumberFormat="1" applyFont="1" applyFill="1" applyBorder="1" applyAlignment="1" applyProtection="1">
      <alignment horizontal="right" shrinkToFit="1"/>
      <protection locked="0"/>
    </xf>
    <xf numFmtId="38" fontId="90" fillId="2" borderId="18" xfId="0" applyNumberFormat="1" applyFont="1" applyFill="1" applyBorder="1" applyAlignment="1">
      <alignment horizontal="right" shrinkToFit="1"/>
    </xf>
    <xf numFmtId="38" fontId="90" fillId="16" borderId="22" xfId="0" applyNumberFormat="1" applyFont="1" applyFill="1" applyBorder="1" applyAlignment="1">
      <alignment horizontal="right" shrinkToFit="1"/>
    </xf>
    <xf numFmtId="38" fontId="90" fillId="16" borderId="24" xfId="0" applyNumberFormat="1" applyFont="1" applyFill="1" applyBorder="1" applyAlignment="1">
      <alignment horizontal="right" shrinkToFit="1"/>
    </xf>
    <xf numFmtId="38" fontId="90" fillId="16" borderId="76" xfId="0" applyNumberFormat="1" applyFont="1" applyFill="1" applyBorder="1" applyAlignment="1">
      <alignment horizontal="right" shrinkToFit="1"/>
    </xf>
    <xf numFmtId="38" fontId="90" fillId="0" borderId="14" xfId="0" applyNumberFormat="1" applyFont="1" applyFill="1" applyBorder="1" applyAlignment="1">
      <alignment horizontal="right" shrinkToFit="1"/>
    </xf>
    <xf numFmtId="38" fontId="90" fillId="19" borderId="9" xfId="0" applyNumberFormat="1" applyFont="1" applyFill="1" applyBorder="1" applyAlignment="1">
      <alignment horizontal="right" shrinkToFit="1"/>
    </xf>
    <xf numFmtId="38" fontId="90" fillId="19" borderId="6" xfId="0" applyNumberFormat="1" applyFont="1" applyFill="1" applyBorder="1" applyAlignment="1">
      <alignment horizontal="right" shrinkToFit="1"/>
    </xf>
    <xf numFmtId="38" fontId="90" fillId="19" borderId="10" xfId="0" applyNumberFormat="1" applyFont="1" applyFill="1" applyBorder="1" applyAlignment="1">
      <alignment horizontal="right" shrinkToFit="1"/>
    </xf>
    <xf numFmtId="38" fontId="90" fillId="3" borderId="2" xfId="0" applyNumberFormat="1" applyFont="1" applyFill="1" applyBorder="1" applyAlignment="1">
      <alignment horizontal="right" shrinkToFit="1"/>
    </xf>
    <xf numFmtId="38" fontId="90" fillId="0" borderId="27" xfId="0" applyNumberFormat="1" applyFont="1" applyBorder="1" applyAlignment="1" applyProtection="1">
      <alignment horizontal="right" shrinkToFit="1"/>
      <protection locked="0"/>
    </xf>
    <xf numFmtId="38" fontId="90" fillId="16" borderId="27" xfId="0" applyNumberFormat="1" applyFont="1" applyFill="1" applyBorder="1" applyAlignment="1">
      <alignment horizontal="right" shrinkToFit="1"/>
    </xf>
    <xf numFmtId="38" fontId="90" fillId="16" borderId="18" xfId="0" applyNumberFormat="1" applyFont="1" applyFill="1" applyBorder="1" applyAlignment="1" applyProtection="1">
      <alignment horizontal="right" shrinkToFit="1"/>
    </xf>
    <xf numFmtId="38" fontId="90" fillId="2" borderId="27" xfId="0" applyNumberFormat="1" applyFont="1" applyFill="1" applyBorder="1" applyAlignment="1">
      <alignment horizontal="right" shrinkToFit="1"/>
    </xf>
    <xf numFmtId="38" fontId="90" fillId="15" borderId="17" xfId="0" applyNumberFormat="1" applyFont="1" applyFill="1" applyBorder="1" applyAlignment="1" applyProtection="1">
      <alignment horizontal="right" shrinkToFit="1"/>
    </xf>
    <xf numFmtId="38" fontId="90" fillId="15" borderId="17" xfId="0" applyNumberFormat="1" applyFont="1" applyFill="1" applyBorder="1" applyAlignment="1">
      <alignment horizontal="right" shrinkToFit="1"/>
    </xf>
    <xf numFmtId="38" fontId="90" fillId="15" borderId="24" xfId="0" applyNumberFormat="1" applyFont="1" applyFill="1" applyBorder="1" applyAlignment="1" applyProtection="1">
      <alignment horizontal="right" shrinkToFit="1"/>
    </xf>
    <xf numFmtId="38" fontId="90" fillId="15" borderId="24" xfId="0" applyNumberFormat="1" applyFont="1" applyFill="1" applyBorder="1" applyAlignment="1">
      <alignment horizontal="right" shrinkToFit="1"/>
    </xf>
    <xf numFmtId="38" fontId="90" fillId="14" borderId="9" xfId="0" applyNumberFormat="1" applyFont="1" applyFill="1" applyBorder="1" applyAlignment="1">
      <alignment horizontal="right" shrinkToFit="1"/>
    </xf>
    <xf numFmtId="38" fontId="90" fillId="14" borderId="6" xfId="0" applyNumberFormat="1" applyFont="1" applyFill="1" applyBorder="1" applyAlignment="1">
      <alignment horizontal="right" shrinkToFit="1"/>
    </xf>
    <xf numFmtId="38" fontId="90" fillId="14" borderId="10" xfId="0" applyNumberFormat="1" applyFont="1" applyFill="1" applyBorder="1" applyAlignment="1">
      <alignment horizontal="right" shrinkToFit="1"/>
    </xf>
    <xf numFmtId="38" fontId="90" fillId="3" borderId="18" xfId="0" applyNumberFormat="1" applyFont="1" applyFill="1" applyBorder="1" applyAlignment="1">
      <alignment horizontal="right" shrinkToFit="1"/>
    </xf>
    <xf numFmtId="38" fontId="90" fillId="3" borderId="17" xfId="0" applyNumberFormat="1" applyFont="1" applyFill="1" applyBorder="1" applyAlignment="1">
      <alignment horizontal="right" shrinkToFit="1"/>
    </xf>
    <xf numFmtId="38" fontId="90" fillId="0" borderId="6" xfId="0" applyNumberFormat="1" applyFont="1" applyFill="1" applyBorder="1" applyAlignment="1">
      <alignment horizontal="right" shrinkToFit="1"/>
    </xf>
    <xf numFmtId="38" fontId="90" fillId="14" borderId="23" xfId="0" applyNumberFormat="1" applyFont="1" applyFill="1" applyBorder="1" applyAlignment="1">
      <alignment horizontal="right" shrinkToFit="1"/>
    </xf>
    <xf numFmtId="38" fontId="90" fillId="14" borderId="14" xfId="0" applyNumberFormat="1" applyFont="1" applyFill="1" applyBorder="1" applyAlignment="1">
      <alignment horizontal="right" shrinkToFit="1"/>
    </xf>
    <xf numFmtId="38" fontId="90" fillId="14" borderId="19" xfId="0" applyNumberFormat="1" applyFont="1" applyFill="1" applyBorder="1" applyAlignment="1">
      <alignment horizontal="right" shrinkToFit="1"/>
    </xf>
    <xf numFmtId="38" fontId="90" fillId="0" borderId="0" xfId="0" applyNumberFormat="1" applyFont="1" applyFill="1" applyBorder="1" applyAlignment="1">
      <alignment horizontal="right" shrinkToFit="1"/>
    </xf>
    <xf numFmtId="38" fontId="90" fillId="16" borderId="17" xfId="0" applyNumberFormat="1" applyFont="1" applyFill="1" applyBorder="1" applyAlignment="1">
      <alignment horizontal="right" shrinkToFit="1"/>
    </xf>
    <xf numFmtId="38" fontId="90" fillId="20" borderId="24" xfId="0" applyNumberFormat="1" applyFont="1" applyFill="1" applyBorder="1" applyAlignment="1">
      <alignment horizontal="right" shrinkToFit="1"/>
    </xf>
    <xf numFmtId="38" fontId="90" fillId="6" borderId="2" xfId="0" applyNumberFormat="1" applyFont="1" applyFill="1" applyBorder="1" applyAlignment="1">
      <alignment horizontal="right" shrinkToFit="1"/>
    </xf>
    <xf numFmtId="0" fontId="96" fillId="2" borderId="0" xfId="0" applyFont="1" applyFill="1" applyAlignment="1">
      <alignment vertical="center" shrinkToFit="1"/>
    </xf>
    <xf numFmtId="38" fontId="90" fillId="2" borderId="0" xfId="15" applyNumberFormat="1" applyFont="1" applyFill="1" applyBorder="1" applyAlignment="1" applyProtection="1">
      <alignment horizontal="right" shrinkToFit="1"/>
    </xf>
    <xf numFmtId="38" fontId="90" fillId="2" borderId="24" xfId="15" applyNumberFormat="1" applyFont="1" applyFill="1" applyBorder="1" applyAlignment="1" applyProtection="1">
      <alignment horizontal="right" shrinkToFit="1"/>
    </xf>
    <xf numFmtId="38" fontId="90" fillId="0" borderId="2" xfId="15" applyNumberFormat="1" applyFont="1" applyFill="1" applyBorder="1" applyAlignment="1" applyProtection="1">
      <alignment horizontal="right" shrinkToFit="1"/>
      <protection locked="0"/>
    </xf>
    <xf numFmtId="38" fontId="90" fillId="0" borderId="2" xfId="13" applyNumberFormat="1" applyFont="1" applyBorder="1" applyAlignment="1" applyProtection="1">
      <alignment shrinkToFit="1"/>
      <protection locked="0"/>
    </xf>
    <xf numFmtId="38" fontId="90" fillId="16" borderId="18" xfId="0" applyNumberFormat="1" applyFont="1" applyFill="1" applyBorder="1" applyAlignment="1" applyProtection="1">
      <alignment horizontal="right" vertical="center" shrinkToFit="1"/>
      <protection locked="0"/>
    </xf>
    <xf numFmtId="38" fontId="90" fillId="0" borderId="18" xfId="0" applyNumberFormat="1" applyFont="1" applyFill="1" applyBorder="1" applyAlignment="1" applyProtection="1">
      <alignment horizontal="right" vertical="center" shrinkToFit="1"/>
      <protection locked="0"/>
    </xf>
    <xf numFmtId="38" fontId="90" fillId="16" borderId="18" xfId="0" applyNumberFormat="1" applyFont="1" applyFill="1" applyBorder="1" applyAlignment="1" applyProtection="1">
      <alignment horizontal="right" vertical="center" shrinkToFit="1"/>
    </xf>
    <xf numFmtId="38" fontId="90" fillId="16" borderId="2" xfId="0" applyNumberFormat="1" applyFont="1" applyFill="1" applyBorder="1" applyAlignment="1" applyProtection="1">
      <alignment horizontal="right" vertical="center" shrinkToFit="1"/>
      <protection locked="0"/>
    </xf>
    <xf numFmtId="38" fontId="90" fillId="16" borderId="2" xfId="0" applyNumberFormat="1" applyFont="1" applyFill="1" applyBorder="1" applyAlignment="1" applyProtection="1">
      <alignment horizontal="right" vertical="center" shrinkToFit="1"/>
    </xf>
    <xf numFmtId="38" fontId="90" fillId="16" borderId="26" xfId="0" applyNumberFormat="1" applyFont="1" applyFill="1" applyBorder="1" applyAlignment="1" applyProtection="1">
      <alignment horizontal="right" vertical="center" shrinkToFit="1"/>
      <protection locked="0"/>
    </xf>
    <xf numFmtId="42" fontId="109" fillId="18" borderId="138" xfId="0" applyNumberFormat="1" applyFont="1" applyFill="1" applyBorder="1" applyAlignment="1" applyProtection="1">
      <alignment horizontal="right" shrinkToFit="1"/>
      <protection locked="0"/>
    </xf>
    <xf numFmtId="42" fontId="109" fillId="11" borderId="138" xfId="0" applyNumberFormat="1" applyFont="1" applyFill="1" applyBorder="1" applyAlignment="1">
      <alignment horizontal="right"/>
    </xf>
    <xf numFmtId="42" fontId="109" fillId="11" borderId="0" xfId="0" applyNumberFormat="1" applyFont="1" applyFill="1" applyBorder="1" applyAlignment="1" applyProtection="1">
      <alignment horizontal="right" shrinkToFit="1"/>
      <protection locked="0"/>
    </xf>
    <xf numFmtId="38" fontId="95" fillId="2" borderId="4" xfId="0" applyNumberFormat="1" applyFont="1" applyFill="1" applyBorder="1" applyAlignment="1" applyProtection="1">
      <alignment horizontal="center" vertical="center" wrapText="1"/>
      <protection hidden="1"/>
    </xf>
    <xf numFmtId="38" fontId="95" fillId="2" borderId="17" xfId="0" applyNumberFormat="1" applyFont="1" applyFill="1" applyBorder="1" applyAlignment="1" applyProtection="1">
      <alignment horizontal="center" vertical="center" wrapText="1"/>
      <protection hidden="1"/>
    </xf>
    <xf numFmtId="38" fontId="90" fillId="16" borderId="26" xfId="0" applyNumberFormat="1" applyFont="1" applyFill="1" applyBorder="1" applyAlignment="1" applyProtection="1">
      <alignment horizontal="right" vertical="center" shrinkToFit="1"/>
    </xf>
    <xf numFmtId="38" fontId="90" fillId="0" borderId="2" xfId="0" applyNumberFormat="1" applyFont="1" applyBorder="1" applyAlignment="1" applyProtection="1">
      <alignment horizontal="right" vertical="center" shrinkToFit="1"/>
      <protection locked="0"/>
    </xf>
    <xf numFmtId="38" fontId="90" fillId="0" borderId="2" xfId="16" applyNumberFormat="1" applyFont="1" applyFill="1" applyBorder="1" applyAlignment="1" applyProtection="1">
      <alignment horizontal="right" shrinkToFit="1"/>
      <protection locked="0"/>
    </xf>
    <xf numFmtId="3" fontId="90" fillId="0" borderId="2" xfId="16" applyNumberFormat="1" applyFont="1" applyFill="1" applyBorder="1" applyAlignment="1" applyProtection="1">
      <alignment horizontal="right" vertical="center" shrinkToFit="1"/>
      <protection locked="0"/>
    </xf>
    <xf numFmtId="38" fontId="90" fillId="16" borderId="2" xfId="16" applyNumberFormat="1" applyFont="1" applyFill="1" applyBorder="1" applyAlignment="1" applyProtection="1">
      <alignment horizontal="right" shrinkToFit="1"/>
    </xf>
    <xf numFmtId="38" fontId="90" fillId="0" borderId="2" xfId="16" applyNumberFormat="1" applyFont="1" applyFill="1" applyBorder="1" applyAlignment="1" applyProtection="1">
      <alignment horizontal="right" vertical="center" shrinkToFit="1"/>
      <protection locked="0"/>
    </xf>
    <xf numFmtId="0" fontId="90" fillId="0" borderId="2" xfId="0" applyFont="1" applyFill="1" applyBorder="1" applyAlignment="1" applyProtection="1">
      <alignment horizontal="right" shrinkToFit="1"/>
      <protection locked="0"/>
    </xf>
    <xf numFmtId="0" fontId="90" fillId="0" borderId="2" xfId="16" applyFont="1" applyFill="1" applyBorder="1" applyAlignment="1" applyProtection="1">
      <alignment horizontal="right" vertical="top" shrinkToFit="1"/>
      <protection locked="0"/>
    </xf>
    <xf numFmtId="38" fontId="90" fillId="0" borderId="2" xfId="16" applyNumberFormat="1" applyFont="1" applyFill="1" applyBorder="1" applyAlignment="1" applyProtection="1">
      <alignment horizontal="right" vertical="top" shrinkToFit="1"/>
      <protection locked="0"/>
    </xf>
    <xf numFmtId="38" fontId="90" fillId="0" borderId="2" xfId="16" quotePrefix="1" applyNumberFormat="1" applyFont="1" applyFill="1" applyBorder="1" applyAlignment="1" applyProtection="1">
      <alignment horizontal="right" shrinkToFit="1"/>
      <protection locked="0"/>
    </xf>
    <xf numFmtId="38" fontId="90" fillId="2" borderId="2" xfId="16" applyNumberFormat="1" applyFont="1" applyFill="1" applyBorder="1" applyAlignment="1" applyProtection="1">
      <alignment horizontal="right" shrinkToFit="1"/>
    </xf>
    <xf numFmtId="49" fontId="95" fillId="8" borderId="2" xfId="16" applyNumberFormat="1" applyFont="1" applyFill="1" applyBorder="1" applyAlignment="1" applyProtection="1">
      <alignment horizontal="center" vertical="center" wrapText="1"/>
    </xf>
    <xf numFmtId="38" fontId="90" fillId="0" borderId="11" xfId="0" applyNumberFormat="1" applyFont="1" applyBorder="1" applyAlignment="1" applyProtection="1">
      <alignment vertical="center" shrinkToFit="1"/>
      <protection locked="0"/>
    </xf>
    <xf numFmtId="38" fontId="90" fillId="0" borderId="11" xfId="0" applyNumberFormat="1" applyFont="1" applyFill="1" applyBorder="1" applyAlignment="1" applyProtection="1">
      <alignment horizontal="right" vertical="center" shrinkToFit="1"/>
      <protection locked="0"/>
    </xf>
    <xf numFmtId="38" fontId="90" fillId="2" borderId="30" xfId="0" applyNumberFormat="1" applyFont="1" applyFill="1" applyBorder="1" applyAlignment="1" applyProtection="1">
      <alignment vertical="center" shrinkToFit="1"/>
    </xf>
    <xf numFmtId="38" fontId="90" fillId="2" borderId="11" xfId="0" applyNumberFormat="1" applyFont="1" applyFill="1" applyBorder="1" applyAlignment="1" applyProtection="1">
      <alignment vertical="center" shrinkToFit="1"/>
    </xf>
    <xf numFmtId="38" fontId="90" fillId="2" borderId="30" xfId="0" applyNumberFormat="1" applyFont="1" applyFill="1" applyBorder="1" applyAlignment="1" applyProtection="1">
      <alignment horizontal="right" vertical="center" shrinkToFit="1"/>
    </xf>
    <xf numFmtId="38" fontId="90" fillId="2" borderId="31" xfId="0" applyNumberFormat="1" applyFont="1" applyFill="1" applyBorder="1" applyAlignment="1" applyProtection="1">
      <alignment vertical="center" shrinkToFit="1"/>
    </xf>
    <xf numFmtId="38" fontId="90" fillId="0" borderId="11" xfId="0" applyNumberFormat="1" applyFont="1" applyFill="1" applyBorder="1" applyAlignment="1" applyProtection="1">
      <alignment vertical="center" shrinkToFit="1"/>
      <protection locked="0"/>
    </xf>
    <xf numFmtId="38" fontId="90" fillId="2" borderId="31" xfId="0" applyNumberFormat="1" applyFont="1" applyFill="1" applyBorder="1" applyAlignment="1" applyProtection="1">
      <alignment horizontal="right" vertical="center" shrinkToFit="1"/>
    </xf>
    <xf numFmtId="38" fontId="90" fillId="2" borderId="11" xfId="0" applyNumberFormat="1" applyFont="1" applyFill="1" applyBorder="1" applyAlignment="1" applyProtection="1">
      <alignment horizontal="right" vertical="center" shrinkToFit="1"/>
    </xf>
    <xf numFmtId="38" fontId="90" fillId="2" borderId="35" xfId="0" applyNumberFormat="1" applyFont="1" applyFill="1" applyBorder="1" applyAlignment="1" applyProtection="1">
      <alignment vertical="center" shrinkToFit="1"/>
    </xf>
    <xf numFmtId="38" fontId="90" fillId="0" borderId="29" xfId="0" applyNumberFormat="1" applyFont="1" applyBorder="1" applyAlignment="1" applyProtection="1">
      <alignment vertical="center" shrinkToFit="1"/>
      <protection locked="0"/>
    </xf>
    <xf numFmtId="38" fontId="90" fillId="16" borderId="68" xfId="0" applyNumberFormat="1" applyFont="1" applyFill="1" applyBorder="1" applyAlignment="1" applyProtection="1">
      <alignment vertical="center" shrinkToFit="1"/>
    </xf>
    <xf numFmtId="0" fontId="90" fillId="2" borderId="78" xfId="0" applyFont="1" applyFill="1" applyBorder="1" applyAlignment="1" applyProtection="1">
      <alignment horizontal="right" vertical="center" shrinkToFit="1"/>
    </xf>
    <xf numFmtId="0" fontId="90" fillId="2" borderId="39" xfId="0" applyFont="1" applyFill="1" applyBorder="1" applyAlignment="1" applyProtection="1">
      <alignment horizontal="right" vertical="center" shrinkToFit="1"/>
    </xf>
    <xf numFmtId="0" fontId="90" fillId="2" borderId="37" xfId="0" applyFont="1" applyFill="1" applyBorder="1" applyAlignment="1" applyProtection="1">
      <alignment horizontal="right" vertical="center" shrinkToFit="1"/>
    </xf>
    <xf numFmtId="38" fontId="90" fillId="3" borderId="30" xfId="0" applyNumberFormat="1" applyFont="1" applyFill="1" applyBorder="1" applyAlignment="1" applyProtection="1">
      <alignment vertical="center" shrinkToFit="1"/>
    </xf>
    <xf numFmtId="38" fontId="90" fillId="3" borderId="35" xfId="0" applyNumberFormat="1" applyFont="1" applyFill="1" applyBorder="1" applyAlignment="1" applyProtection="1">
      <alignment vertical="center" shrinkToFit="1"/>
    </xf>
    <xf numFmtId="38" fontId="90" fillId="3" borderId="31" xfId="0" applyNumberFormat="1" applyFont="1" applyFill="1" applyBorder="1" applyAlignment="1" applyProtection="1">
      <alignment horizontal="right" vertical="center" shrinkToFit="1"/>
    </xf>
    <xf numFmtId="38" fontId="90" fillId="3" borderId="35" xfId="0" applyNumberFormat="1" applyFont="1" applyFill="1" applyBorder="1" applyAlignment="1" applyProtection="1">
      <alignment horizontal="right" vertical="center" shrinkToFit="1"/>
    </xf>
    <xf numFmtId="38" fontId="90" fillId="2" borderId="35" xfId="0" applyNumberFormat="1" applyFont="1" applyFill="1" applyBorder="1" applyAlignment="1" applyProtection="1">
      <alignment horizontal="right" vertical="center" shrinkToFit="1"/>
    </xf>
    <xf numFmtId="38" fontId="90" fillId="3" borderId="31" xfId="0" applyNumberFormat="1" applyFont="1" applyFill="1" applyBorder="1" applyAlignment="1" applyProtection="1">
      <alignment vertical="center" shrinkToFit="1"/>
    </xf>
    <xf numFmtId="38" fontId="90" fillId="16" borderId="68" xfId="0" applyNumberFormat="1" applyFont="1" applyFill="1" applyBorder="1" applyAlignment="1" applyProtection="1">
      <alignment horizontal="right" vertical="center" shrinkToFit="1"/>
    </xf>
    <xf numFmtId="38" fontId="90" fillId="0" borderId="31" xfId="0" applyNumberFormat="1" applyFont="1" applyFill="1" applyBorder="1" applyAlignment="1" applyProtection="1">
      <alignment horizontal="right" vertical="center" shrinkToFit="1"/>
      <protection locked="0"/>
    </xf>
    <xf numFmtId="38" fontId="90" fillId="16" borderId="79" xfId="0" applyNumberFormat="1" applyFont="1" applyFill="1" applyBorder="1" applyAlignment="1" applyProtection="1">
      <alignment shrinkToFit="1"/>
    </xf>
    <xf numFmtId="38" fontId="90" fillId="0" borderId="31" xfId="0" applyNumberFormat="1" applyFont="1" applyFill="1" applyBorder="1" applyAlignment="1" applyProtection="1">
      <alignment vertical="center" shrinkToFit="1"/>
      <protection locked="0"/>
    </xf>
    <xf numFmtId="38" fontId="90" fillId="0" borderId="35" xfId="0" applyNumberFormat="1" applyFont="1" applyFill="1" applyBorder="1" applyAlignment="1" applyProtection="1">
      <alignment horizontal="right" vertical="center" shrinkToFit="1"/>
      <protection locked="0"/>
    </xf>
    <xf numFmtId="38" fontId="90" fillId="0" borderId="31" xfId="0" applyNumberFormat="1" applyFont="1" applyBorder="1" applyAlignment="1" applyProtection="1">
      <alignment horizontal="right" vertical="center" shrinkToFit="1"/>
      <protection locked="0"/>
    </xf>
    <xf numFmtId="38" fontId="90" fillId="0" borderId="11" xfId="0" applyNumberFormat="1" applyFont="1" applyBorder="1" applyAlignment="1" applyProtection="1">
      <alignment horizontal="right" vertical="center" shrinkToFit="1"/>
      <protection locked="0"/>
    </xf>
    <xf numFmtId="38" fontId="90" fillId="0" borderId="11" xfId="0" applyNumberFormat="1" applyFont="1" applyBorder="1" applyAlignment="1" applyProtection="1">
      <alignment horizontal="right" shrinkToFit="1"/>
      <protection locked="0"/>
    </xf>
    <xf numFmtId="38" fontId="90" fillId="16" borderId="68" xfId="0" applyNumberFormat="1" applyFont="1" applyFill="1" applyBorder="1" applyAlignment="1" applyProtection="1">
      <alignment horizontal="right" shrinkToFit="1"/>
    </xf>
    <xf numFmtId="3" fontId="94" fillId="16" borderId="28" xfId="17" applyNumberFormat="1" applyFont="1" applyFill="1" applyBorder="1" applyAlignment="1" applyProtection="1">
      <alignment vertical="center" shrinkToFit="1"/>
    </xf>
    <xf numFmtId="3" fontId="94" fillId="16" borderId="33" xfId="17" applyNumberFormat="1" applyFont="1" applyFill="1" applyBorder="1" applyAlignment="1" applyProtection="1">
      <alignment vertical="center" shrinkToFit="1"/>
    </xf>
    <xf numFmtId="3" fontId="95" fillId="16" borderId="80" xfId="17" applyNumberFormat="1" applyFont="1" applyFill="1" applyBorder="1" applyAlignment="1" applyProtection="1">
      <alignment vertical="center" shrinkToFit="1"/>
    </xf>
    <xf numFmtId="0" fontId="94" fillId="0" borderId="0" xfId="17" applyFont="1" applyFill="1" applyAlignment="1">
      <alignment vertical="center" shrinkToFit="1"/>
    </xf>
    <xf numFmtId="0" fontId="94" fillId="0" borderId="0" xfId="17" applyFont="1" applyFill="1" applyBorder="1" applyAlignment="1">
      <alignment vertical="center" shrinkToFit="1"/>
    </xf>
    <xf numFmtId="38" fontId="94" fillId="16" borderId="28" xfId="17" applyNumberFormat="1" applyFont="1" applyFill="1" applyBorder="1" applyAlignment="1" applyProtection="1">
      <alignment horizontal="right" vertical="center" shrinkToFit="1"/>
    </xf>
    <xf numFmtId="38" fontId="94" fillId="16" borderId="0" xfId="17" applyNumberFormat="1" applyFont="1" applyFill="1" applyAlignment="1">
      <alignment vertical="top" shrinkToFit="1"/>
    </xf>
    <xf numFmtId="38" fontId="94" fillId="16" borderId="33" xfId="17" applyNumberFormat="1" applyFont="1" applyFill="1" applyBorder="1" applyAlignment="1" applyProtection="1">
      <alignment horizontal="right" vertical="center" shrinkToFit="1"/>
    </xf>
    <xf numFmtId="38" fontId="94" fillId="16" borderId="33" xfId="17" applyNumberFormat="1" applyFont="1" applyFill="1" applyBorder="1" applyAlignment="1" applyProtection="1">
      <alignment horizontal="right" shrinkToFit="1"/>
    </xf>
    <xf numFmtId="38" fontId="94" fillId="16" borderId="0" xfId="17" applyNumberFormat="1" applyFont="1" applyFill="1" applyAlignment="1">
      <alignment horizontal="right" shrinkToFit="1"/>
    </xf>
    <xf numFmtId="38" fontId="94" fillId="16" borderId="28" xfId="17" applyNumberFormat="1" applyFont="1" applyFill="1" applyBorder="1" applyAlignment="1" applyProtection="1">
      <alignment horizontal="right" shrinkToFit="1"/>
    </xf>
    <xf numFmtId="38" fontId="94" fillId="16" borderId="33" xfId="17" applyNumberFormat="1" applyFont="1" applyFill="1" applyBorder="1" applyAlignment="1">
      <alignment horizontal="right" shrinkToFit="1"/>
    </xf>
    <xf numFmtId="38" fontId="94" fillId="16" borderId="33" xfId="17" applyNumberFormat="1" applyFont="1" applyFill="1" applyBorder="1" applyAlignment="1" applyProtection="1">
      <alignment horizontal="right" shrinkToFit="1"/>
    </xf>
    <xf numFmtId="38" fontId="95" fillId="16" borderId="12" xfId="17" applyNumberFormat="1" applyFont="1" applyFill="1" applyBorder="1" applyAlignment="1">
      <alignment horizontal="right" shrinkToFit="1"/>
    </xf>
    <xf numFmtId="38" fontId="94" fillId="16" borderId="81" xfId="17" applyNumberFormat="1" applyFont="1" applyFill="1" applyBorder="1" applyAlignment="1" applyProtection="1">
      <alignment horizontal="right" shrinkToFit="1"/>
    </xf>
    <xf numFmtId="40" fontId="94" fillId="0" borderId="28" xfId="17" applyNumberFormat="1" applyFont="1" applyFill="1" applyBorder="1" applyAlignment="1" applyProtection="1">
      <alignment horizontal="right" shrinkToFit="1"/>
      <protection locked="0"/>
    </xf>
    <xf numFmtId="40" fontId="95" fillId="16" borderId="12" xfId="17" applyNumberFormat="1" applyFont="1" applyFill="1" applyBorder="1" applyAlignment="1" applyProtection="1">
      <alignment horizontal="right" shrinkToFit="1"/>
    </xf>
    <xf numFmtId="4" fontId="95" fillId="0" borderId="0" xfId="17" applyNumberFormat="1" applyFont="1" applyFill="1" applyBorder="1" applyAlignment="1" applyProtection="1">
      <alignment vertical="center" shrinkToFit="1"/>
    </xf>
    <xf numFmtId="38" fontId="94" fillId="16" borderId="28" xfId="18" applyNumberFormat="1" applyFont="1" applyFill="1" applyBorder="1" applyAlignment="1" applyProtection="1">
      <alignment horizontal="right" shrinkToFit="1"/>
    </xf>
    <xf numFmtId="38" fontId="94" fillId="16" borderId="33" xfId="18" applyNumberFormat="1" applyFont="1" applyFill="1" applyBorder="1" applyAlignment="1" applyProtection="1">
      <alignment horizontal="right" shrinkToFit="1"/>
    </xf>
    <xf numFmtId="38" fontId="94" fillId="0" borderId="33" xfId="18" applyNumberFormat="1" applyFont="1" applyFill="1" applyBorder="1" applyAlignment="1" applyProtection="1">
      <alignment horizontal="right" shrinkToFit="1"/>
      <protection locked="0"/>
    </xf>
    <xf numFmtId="38" fontId="94" fillId="0" borderId="0" xfId="18" applyNumberFormat="1" applyFont="1" applyFill="1" applyAlignment="1">
      <alignment horizontal="right" shrinkToFit="1"/>
    </xf>
    <xf numFmtId="38" fontId="95" fillId="16" borderId="28" xfId="18" applyNumberFormat="1" applyFont="1" applyFill="1" applyBorder="1" applyAlignment="1" applyProtection="1">
      <alignment horizontal="right" shrinkToFit="1"/>
    </xf>
    <xf numFmtId="40" fontId="94" fillId="16" borderId="28" xfId="18" applyNumberFormat="1" applyFont="1" applyFill="1" applyBorder="1" applyAlignment="1" applyProtection="1">
      <alignment horizontal="right" shrinkToFit="1"/>
    </xf>
    <xf numFmtId="40" fontId="95" fillId="16" borderId="80" xfId="18" applyNumberFormat="1" applyFont="1" applyFill="1" applyBorder="1" applyAlignment="1" applyProtection="1">
      <alignment horizontal="right" shrinkToFit="1"/>
    </xf>
    <xf numFmtId="0" fontId="95" fillId="16" borderId="0" xfId="17" applyFont="1" applyFill="1" applyAlignment="1" applyProtection="1">
      <alignment horizontal="right" vertical="center"/>
      <protection hidden="1"/>
    </xf>
    <xf numFmtId="38" fontId="90" fillId="0" borderId="23" xfId="0" applyNumberFormat="1" applyFont="1" applyBorder="1" applyAlignment="1" applyProtection="1">
      <alignment vertical="center" shrinkToFit="1"/>
      <protection locked="0"/>
    </xf>
    <xf numFmtId="38" fontId="90" fillId="21" borderId="23" xfId="0" applyNumberFormat="1" applyFont="1" applyFill="1" applyBorder="1" applyAlignment="1" applyProtection="1">
      <alignment shrinkToFit="1"/>
      <protection locked="0"/>
    </xf>
    <xf numFmtId="0" fontId="90" fillId="16" borderId="10" xfId="0" applyFont="1" applyFill="1" applyBorder="1" applyAlignment="1">
      <alignment shrinkToFit="1"/>
    </xf>
    <xf numFmtId="37" fontId="90" fillId="16" borderId="10" xfId="0" applyNumberFormat="1" applyFont="1" applyFill="1" applyBorder="1" applyAlignment="1">
      <alignment shrinkToFit="1"/>
    </xf>
    <xf numFmtId="37" fontId="90" fillId="16" borderId="6" xfId="0" applyNumberFormat="1" applyFont="1" applyFill="1" applyBorder="1" applyAlignment="1">
      <alignment shrinkToFit="1"/>
    </xf>
    <xf numFmtId="0" fontId="90" fillId="16" borderId="19" xfId="0" applyFont="1" applyFill="1" applyBorder="1" applyAlignment="1">
      <alignment shrinkToFit="1"/>
    </xf>
    <xf numFmtId="0" fontId="90" fillId="16" borderId="14" xfId="0" applyFont="1" applyFill="1" applyBorder="1" applyAlignment="1">
      <alignment shrinkToFit="1"/>
    </xf>
    <xf numFmtId="37" fontId="90" fillId="16" borderId="19" xfId="0" applyNumberFormat="1" applyFont="1" applyFill="1" applyBorder="1" applyAlignment="1">
      <alignment shrinkToFit="1"/>
    </xf>
    <xf numFmtId="37" fontId="90" fillId="16" borderId="14" xfId="0" applyNumberFormat="1" applyFont="1" applyFill="1" applyBorder="1" applyAlignment="1">
      <alignment shrinkToFit="1"/>
    </xf>
    <xf numFmtId="38" fontId="90" fillId="16" borderId="19" xfId="0" applyNumberFormat="1" applyFont="1" applyFill="1" applyBorder="1" applyAlignment="1">
      <alignment shrinkToFit="1"/>
    </xf>
    <xf numFmtId="38" fontId="90" fillId="16" borderId="5" xfId="0" applyNumberFormat="1" applyFont="1" applyFill="1" applyBorder="1" applyAlignment="1">
      <alignment shrinkToFit="1"/>
    </xf>
    <xf numFmtId="10" fontId="89" fillId="16" borderId="19" xfId="0" applyNumberFormat="1" applyFont="1" applyFill="1" applyBorder="1" applyAlignment="1">
      <alignment horizontal="left" shrinkToFit="1"/>
    </xf>
    <xf numFmtId="0" fontId="139" fillId="14" borderId="0" xfId="7" applyFont="1" applyFill="1" applyAlignment="1" applyProtection="1">
      <alignment horizontal="centerContinuous" vertical="center"/>
      <protection hidden="1"/>
    </xf>
    <xf numFmtId="38" fontId="90" fillId="16" borderId="11" xfId="4" applyNumberFormat="1" applyFont="1" applyFill="1" applyBorder="1" applyAlignment="1">
      <alignment horizontal="right" vertical="center" shrinkToFit="1"/>
    </xf>
    <xf numFmtId="38" fontId="90" fillId="16" borderId="68" xfId="4" applyNumberFormat="1" applyFont="1" applyFill="1" applyBorder="1" applyAlignment="1">
      <alignment horizontal="right" vertical="center" shrinkToFit="1"/>
    </xf>
    <xf numFmtId="38" fontId="90" fillId="16" borderId="82" xfId="4" applyNumberFormat="1" applyFont="1" applyFill="1" applyBorder="1" applyAlignment="1">
      <alignment horizontal="right" vertical="center" shrinkToFit="1"/>
    </xf>
    <xf numFmtId="38" fontId="89" fillId="16" borderId="82" xfId="4" applyNumberFormat="1" applyFont="1" applyFill="1" applyBorder="1" applyAlignment="1">
      <alignment horizontal="right" vertical="center" shrinkToFit="1"/>
    </xf>
    <xf numFmtId="38" fontId="90" fillId="16" borderId="79" xfId="4" applyNumberFormat="1" applyFont="1" applyFill="1" applyBorder="1" applyAlignment="1">
      <alignment horizontal="right" vertical="center" shrinkToFit="1"/>
    </xf>
    <xf numFmtId="38" fontId="89" fillId="16" borderId="79" xfId="4" applyNumberFormat="1" applyFont="1" applyFill="1" applyBorder="1" applyAlignment="1">
      <alignment horizontal="right" vertical="center" shrinkToFit="1"/>
    </xf>
    <xf numFmtId="0" fontId="95" fillId="12" borderId="35" xfId="4" applyFont="1" applyFill="1" applyBorder="1" applyAlignment="1" applyProtection="1">
      <alignment horizontal="center"/>
      <protection hidden="1"/>
    </xf>
    <xf numFmtId="0" fontId="95" fillId="13" borderId="35" xfId="4" applyFont="1" applyFill="1" applyBorder="1" applyAlignment="1" applyProtection="1">
      <alignment horizontal="center"/>
      <protection hidden="1"/>
    </xf>
    <xf numFmtId="169" fontId="94" fillId="0" borderId="31" xfId="4" applyNumberFormat="1" applyFont="1" applyBorder="1" applyAlignment="1" applyProtection="1">
      <alignment horizontal="center" shrinkToFit="1"/>
      <protection locked="0"/>
    </xf>
    <xf numFmtId="1" fontId="94" fillId="0" borderId="31" xfId="4" applyNumberFormat="1" applyFont="1" applyBorder="1" applyAlignment="1" applyProtection="1">
      <alignment horizontal="center" shrinkToFit="1"/>
      <protection locked="0"/>
    </xf>
    <xf numFmtId="3" fontId="94" fillId="0" borderId="31" xfId="4" applyNumberFormat="1" applyFont="1" applyBorder="1" applyAlignment="1" applyProtection="1">
      <alignment horizontal="center" shrinkToFit="1"/>
      <protection locked="0"/>
    </xf>
    <xf numFmtId="169" fontId="94" fillId="0" borderId="11" xfId="4" applyNumberFormat="1" applyFont="1" applyBorder="1" applyAlignment="1" applyProtection="1">
      <alignment horizontal="center" shrinkToFit="1"/>
      <protection locked="0"/>
    </xf>
    <xf numFmtId="1" fontId="94" fillId="0" borderId="11" xfId="4" applyNumberFormat="1" applyFont="1" applyBorder="1" applyAlignment="1" applyProtection="1">
      <alignment horizontal="center" shrinkToFit="1"/>
      <protection locked="0"/>
    </xf>
    <xf numFmtId="3" fontId="94" fillId="0" borderId="11" xfId="4" applyNumberFormat="1" applyFont="1" applyBorder="1" applyAlignment="1" applyProtection="1">
      <alignment horizontal="center" shrinkToFit="1"/>
      <protection locked="0"/>
    </xf>
    <xf numFmtId="181" fontId="6" fillId="0" borderId="0" xfId="19" applyNumberFormat="1" applyFont="1" applyBorder="1" applyAlignment="1" applyProtection="1">
      <alignment vertical="center"/>
    </xf>
    <xf numFmtId="181" fontId="7" fillId="12" borderId="0" xfId="0" applyNumberFormat="1" applyFont="1" applyFill="1" applyAlignment="1">
      <alignment shrinkToFit="1"/>
    </xf>
    <xf numFmtId="181" fontId="0" fillId="12" borderId="0" xfId="0" applyNumberFormat="1" applyFill="1" applyAlignment="1">
      <alignment shrinkToFit="1"/>
    </xf>
    <xf numFmtId="0" fontId="26" fillId="0" borderId="0" xfId="0" applyFont="1" applyFill="1"/>
    <xf numFmtId="0" fontId="3" fillId="0" borderId="7" xfId="19" applyFont="1" applyBorder="1" applyAlignment="1" applyProtection="1">
      <alignment horizontal="left" vertical="center"/>
    </xf>
    <xf numFmtId="41" fontId="2" fillId="0" borderId="0" xfId="0" applyNumberFormat="1" applyFont="1" applyAlignment="1">
      <alignment horizontal="right"/>
    </xf>
    <xf numFmtId="41" fontId="2" fillId="0" borderId="0" xfId="0" applyNumberFormat="1" applyFont="1" applyFill="1" applyAlignment="1">
      <alignment horizontal="right"/>
    </xf>
    <xf numFmtId="0" fontId="3" fillId="0" borderId="9" xfId="19" applyFont="1" applyFill="1" applyBorder="1" applyAlignment="1" applyProtection="1">
      <alignment vertical="center"/>
      <protection hidden="1"/>
    </xf>
    <xf numFmtId="0" fontId="4" fillId="0" borderId="0" xfId="19" applyFont="1" applyFill="1" applyBorder="1" applyAlignment="1" applyProtection="1">
      <alignment horizontal="left" vertical="center"/>
      <protection hidden="1"/>
    </xf>
    <xf numFmtId="0" fontId="3" fillId="0" borderId="0" xfId="19" applyFont="1" applyFill="1" applyBorder="1" applyAlignment="1" applyProtection="1">
      <alignment vertical="center"/>
    </xf>
    <xf numFmtId="0" fontId="94" fillId="0" borderId="0" xfId="0" applyFont="1" applyFill="1" applyAlignment="1" applyProtection="1">
      <alignment horizontal="left" vertical="center"/>
      <protection hidden="1"/>
    </xf>
    <xf numFmtId="0" fontId="96" fillId="0" borderId="0" xfId="0" applyFont="1" applyFill="1" applyBorder="1" applyAlignment="1" applyProtection="1">
      <alignment vertical="center"/>
    </xf>
    <xf numFmtId="0" fontId="90" fillId="0" borderId="0" xfId="0" applyFont="1" applyFill="1" applyBorder="1" applyAlignment="1" applyProtection="1">
      <alignment horizontal="left" vertical="top"/>
    </xf>
    <xf numFmtId="0" fontId="96" fillId="0" borderId="0" xfId="0" applyFont="1" applyFill="1" applyBorder="1" applyAlignment="1">
      <alignment horizontal="left" vertical="top"/>
    </xf>
    <xf numFmtId="0" fontId="100" fillId="0" borderId="0" xfId="0" applyFont="1" applyFill="1" applyBorder="1" applyAlignment="1" applyProtection="1">
      <alignment vertical="center"/>
    </xf>
    <xf numFmtId="0" fontId="105" fillId="0" borderId="0" xfId="0" applyFont="1" applyFill="1" applyBorder="1" applyAlignment="1" applyProtection="1">
      <alignment horizontal="right"/>
      <protection hidden="1"/>
    </xf>
    <xf numFmtId="0" fontId="94" fillId="0" borderId="0" xfId="0" applyFont="1" applyFill="1" applyAlignment="1" applyProtection="1">
      <alignment vertical="center"/>
    </xf>
    <xf numFmtId="0" fontId="95" fillId="0" borderId="6" xfId="0" applyFont="1" applyFill="1" applyBorder="1" applyAlignment="1" applyProtection="1">
      <alignment horizontal="left" vertical="center" indent="2"/>
    </xf>
    <xf numFmtId="0" fontId="95" fillId="0" borderId="2" xfId="0" applyNumberFormat="1" applyFont="1" applyFill="1" applyBorder="1" applyAlignment="1" applyProtection="1">
      <alignment horizontal="center" vertical="center" wrapText="1"/>
      <protection hidden="1"/>
    </xf>
    <xf numFmtId="0" fontId="96" fillId="0" borderId="0" xfId="0" applyFont="1" applyFill="1" applyProtection="1"/>
    <xf numFmtId="0" fontId="89" fillId="0" borderId="31" xfId="0" applyFont="1" applyFill="1" applyBorder="1" applyAlignment="1" applyProtection="1">
      <alignment horizontal="center" vertical="center" wrapText="1"/>
      <protection hidden="1"/>
    </xf>
    <xf numFmtId="0" fontId="95" fillId="0" borderId="0" xfId="17" applyFont="1" applyFill="1" applyAlignment="1" applyProtection="1">
      <alignment vertical="center"/>
      <protection hidden="1"/>
    </xf>
    <xf numFmtId="0" fontId="95" fillId="0" borderId="0" xfId="18" applyFont="1" applyFill="1" applyAlignment="1">
      <alignment vertical="center"/>
    </xf>
    <xf numFmtId="0" fontId="95" fillId="0" borderId="0" xfId="18" applyFont="1" applyFill="1" applyAlignment="1">
      <alignment horizontal="right" vertical="center"/>
    </xf>
    <xf numFmtId="0" fontId="95" fillId="0" borderId="0" xfId="0" applyFont="1" applyFill="1" applyBorder="1" applyAlignment="1" applyProtection="1">
      <alignment horizontal="left" vertical="center"/>
      <protection hidden="1"/>
    </xf>
    <xf numFmtId="0" fontId="95" fillId="0" borderId="0" xfId="17" applyFont="1" applyFill="1" applyAlignment="1">
      <alignment vertical="center"/>
    </xf>
    <xf numFmtId="0" fontId="90" fillId="0" borderId="0" xfId="0" applyFont="1" applyFill="1"/>
    <xf numFmtId="0" fontId="142" fillId="0" borderId="0" xfId="7" applyFont="1" applyFill="1"/>
    <xf numFmtId="0" fontId="149" fillId="0" borderId="0" xfId="7" applyFont="1"/>
    <xf numFmtId="0" fontId="142" fillId="0" borderId="0" xfId="7" applyFont="1" applyProtection="1"/>
    <xf numFmtId="0" fontId="96" fillId="0" borderId="3" xfId="4" applyNumberFormat="1" applyFont="1" applyFill="1" applyBorder="1" applyAlignment="1" applyProtection="1">
      <alignment horizontal="centerContinuous" vertical="center"/>
      <protection hidden="1"/>
    </xf>
    <xf numFmtId="0" fontId="96" fillId="0" borderId="4" xfId="4" applyNumberFormat="1" applyFont="1" applyFill="1" applyBorder="1" applyAlignment="1" applyProtection="1">
      <alignment horizontal="centerContinuous" vertical="center"/>
      <protection hidden="1"/>
    </xf>
    <xf numFmtId="0" fontId="84" fillId="0" borderId="0" xfId="10" applyFont="1" applyAlignment="1">
      <alignment vertical="center"/>
    </xf>
    <xf numFmtId="182" fontId="84" fillId="0" borderId="0" xfId="10" applyNumberFormat="1" applyAlignment="1">
      <alignment vertical="center"/>
    </xf>
    <xf numFmtId="0" fontId="84" fillId="0" borderId="0" xfId="10" applyAlignment="1">
      <alignment vertical="center"/>
    </xf>
    <xf numFmtId="0" fontId="84" fillId="0" borderId="0" xfId="10"/>
    <xf numFmtId="0" fontId="84" fillId="0" borderId="0" xfId="10" applyAlignment="1">
      <alignment horizontal="center" vertical="center" wrapText="1"/>
    </xf>
    <xf numFmtId="182" fontId="84" fillId="0" borderId="0" xfId="10" applyNumberFormat="1" applyAlignment="1">
      <alignment horizontal="center" vertical="center" wrapText="1"/>
    </xf>
    <xf numFmtId="0" fontId="84" fillId="0" borderId="0" xfId="10" applyAlignment="1">
      <alignment horizontal="center" vertical="top" wrapText="1"/>
    </xf>
    <xf numFmtId="182" fontId="84" fillId="0" borderId="0" xfId="10" applyNumberFormat="1" applyAlignment="1">
      <alignment horizontal="center" vertical="top" wrapText="1"/>
    </xf>
    <xf numFmtId="0" fontId="150" fillId="0" borderId="71" xfId="10" applyFont="1" applyBorder="1" applyAlignment="1">
      <alignment horizontal="left" vertical="top"/>
    </xf>
    <xf numFmtId="182" fontId="144" fillId="0" borderId="72" xfId="10" applyNumberFormat="1" applyFont="1" applyBorder="1" applyAlignment="1">
      <alignment horizontal="center" vertical="top"/>
    </xf>
    <xf numFmtId="0" fontId="144" fillId="0" borderId="72" xfId="10" applyFont="1" applyBorder="1" applyAlignment="1">
      <alignment horizontal="center" vertical="top"/>
    </xf>
    <xf numFmtId="0" fontId="144" fillId="0" borderId="83" xfId="10" applyFont="1" applyBorder="1" applyAlignment="1">
      <alignment horizontal="center" vertical="top"/>
    </xf>
    <xf numFmtId="0" fontId="151" fillId="0" borderId="0" xfId="10" applyFont="1" applyBorder="1" applyAlignment="1">
      <alignment vertical="top" wrapText="1"/>
    </xf>
    <xf numFmtId="0" fontId="151" fillId="0" borderId="84" xfId="10" applyFont="1" applyBorder="1" applyAlignment="1">
      <alignment vertical="top" wrapText="1"/>
    </xf>
    <xf numFmtId="0" fontId="151" fillId="0" borderId="85" xfId="10" applyFont="1" applyBorder="1" applyAlignment="1">
      <alignment vertical="top"/>
    </xf>
    <xf numFmtId="182" fontId="151" fillId="0" borderId="0" xfId="10" applyNumberFormat="1" applyFont="1" applyBorder="1" applyAlignment="1">
      <alignment vertical="top"/>
    </xf>
    <xf numFmtId="0" fontId="151" fillId="0" borderId="0" xfId="10" applyFont="1" applyBorder="1" applyAlignment="1">
      <alignment vertical="top"/>
    </xf>
    <xf numFmtId="0" fontId="151" fillId="0" borderId="84" xfId="10" applyFont="1" applyBorder="1" applyAlignment="1">
      <alignment vertical="top"/>
    </xf>
    <xf numFmtId="0" fontId="87" fillId="14" borderId="86" xfId="10" applyFont="1" applyFill="1" applyBorder="1" applyAlignment="1">
      <alignment horizontal="center" vertical="center" wrapText="1"/>
    </xf>
    <xf numFmtId="182" fontId="87" fillId="14" borderId="86" xfId="10" applyNumberFormat="1" applyFont="1" applyFill="1" applyBorder="1" applyAlignment="1">
      <alignment horizontal="center" vertical="center" wrapText="1"/>
    </xf>
    <xf numFmtId="38" fontId="87" fillId="14" borderId="86" xfId="10" applyNumberFormat="1" applyFont="1" applyFill="1" applyBorder="1" applyAlignment="1">
      <alignment horizontal="center" vertical="center" wrapText="1"/>
    </xf>
    <xf numFmtId="0" fontId="151" fillId="12" borderId="163" xfId="10" applyFont="1" applyFill="1" applyBorder="1" applyAlignment="1" applyProtection="1">
      <alignment horizontal="left" vertical="top" wrapText="1"/>
    </xf>
    <xf numFmtId="0" fontId="151" fillId="12" borderId="163" xfId="10" applyFont="1" applyFill="1" applyBorder="1" applyAlignment="1" applyProtection="1">
      <alignment vertical="top"/>
    </xf>
    <xf numFmtId="38" fontId="151" fillId="12" borderId="163" xfId="10" applyNumberFormat="1" applyFont="1" applyFill="1" applyBorder="1" applyAlignment="1" applyProtection="1">
      <alignment horizontal="right" vertical="top"/>
    </xf>
    <xf numFmtId="38" fontId="151" fillId="12" borderId="163" xfId="10" applyNumberFormat="1" applyFont="1" applyFill="1" applyBorder="1" applyAlignment="1" applyProtection="1">
      <alignment vertical="top"/>
    </xf>
    <xf numFmtId="0" fontId="84" fillId="0" borderId="163" xfId="10" applyFont="1" applyBorder="1" applyAlignment="1" applyProtection="1">
      <alignment vertical="top"/>
      <protection locked="0"/>
    </xf>
    <xf numFmtId="38" fontId="84" fillId="0" borderId="163" xfId="10" applyNumberFormat="1" applyBorder="1" applyAlignment="1" applyProtection="1">
      <alignment horizontal="right" vertical="top"/>
      <protection locked="0"/>
    </xf>
    <xf numFmtId="0" fontId="84" fillId="0" borderId="0" xfId="10" quotePrefix="1" applyNumberFormat="1" applyFont="1"/>
    <xf numFmtId="0" fontId="84" fillId="0" borderId="163" xfId="10" applyBorder="1" applyAlignment="1" applyProtection="1">
      <alignment horizontal="left" vertical="top" wrapText="1"/>
      <protection locked="0"/>
    </xf>
    <xf numFmtId="0" fontId="84" fillId="0" borderId="163" xfId="10" applyBorder="1" applyAlignment="1" applyProtection="1">
      <alignment vertical="top"/>
      <protection locked="0"/>
    </xf>
    <xf numFmtId="0" fontId="84" fillId="16" borderId="87" xfId="10" applyFill="1" applyBorder="1" applyAlignment="1" applyProtection="1">
      <alignment horizontal="left" vertical="top" wrapText="1"/>
    </xf>
    <xf numFmtId="0" fontId="84" fillId="16" borderId="87" xfId="10" applyFill="1" applyBorder="1" applyAlignment="1" applyProtection="1">
      <alignment vertical="top"/>
    </xf>
    <xf numFmtId="38" fontId="84" fillId="16" borderId="87" xfId="10" applyNumberFormat="1" applyFill="1" applyBorder="1" applyAlignment="1" applyProtection="1">
      <alignment horizontal="right" vertical="top"/>
    </xf>
    <xf numFmtId="38" fontId="84" fillId="16" borderId="87" xfId="10" applyNumberFormat="1" applyFont="1" applyFill="1" applyBorder="1" applyAlignment="1" applyProtection="1">
      <alignment horizontal="right" vertical="top"/>
    </xf>
    <xf numFmtId="38" fontId="84" fillId="16" borderId="87" xfId="10" applyNumberFormat="1" applyFill="1" applyBorder="1" applyAlignment="1" applyProtection="1">
      <alignment vertical="top"/>
    </xf>
    <xf numFmtId="0" fontId="84" fillId="0" borderId="0" xfId="10" applyAlignment="1">
      <alignment horizontal="left" vertical="top" wrapText="1"/>
    </xf>
    <xf numFmtId="182" fontId="84" fillId="0" borderId="0" xfId="10" applyNumberFormat="1" applyAlignment="1">
      <alignment vertical="top"/>
    </xf>
    <xf numFmtId="0" fontId="84" fillId="0" borderId="0" xfId="10" applyAlignment="1">
      <alignment vertical="top"/>
    </xf>
    <xf numFmtId="38" fontId="84" fillId="0" borderId="0" xfId="10" applyNumberFormat="1" applyAlignment="1">
      <alignment horizontal="right" vertical="top"/>
    </xf>
    <xf numFmtId="183" fontId="84" fillId="0" borderId="0" xfId="10" applyNumberFormat="1"/>
    <xf numFmtId="0" fontId="82" fillId="0" borderId="0" xfId="0" applyFont="1"/>
    <xf numFmtId="0" fontId="114" fillId="0" borderId="2" xfId="0" applyFont="1" applyBorder="1" applyAlignment="1">
      <alignment horizontal="left" wrapText="1"/>
    </xf>
    <xf numFmtId="0" fontId="152" fillId="0" borderId="85" xfId="10" applyFont="1" applyBorder="1" applyAlignment="1">
      <alignment vertical="top"/>
    </xf>
    <xf numFmtId="0" fontId="152" fillId="0" borderId="0" xfId="10" applyFont="1" applyBorder="1" applyAlignment="1">
      <alignment vertical="top"/>
    </xf>
    <xf numFmtId="41" fontId="109" fillId="18" borderId="138" xfId="0" applyNumberFormat="1" applyFont="1" applyFill="1" applyBorder="1" applyAlignment="1" applyProtection="1">
      <alignment horizontal="right" shrinkToFit="1"/>
      <protection locked="0"/>
    </xf>
    <xf numFmtId="41" fontId="109" fillId="11" borderId="0" xfId="0" applyNumberFormat="1" applyFont="1" applyFill="1" applyBorder="1" applyAlignment="1">
      <alignment horizontal="right" shrinkToFit="1"/>
    </xf>
    <xf numFmtId="38" fontId="84" fillId="16" borderId="163" xfId="10" applyNumberFormat="1" applyFill="1" applyBorder="1" applyAlignment="1" applyProtection="1">
      <alignment horizontal="right" vertical="top"/>
    </xf>
    <xf numFmtId="184" fontId="151" fillId="12" borderId="163" xfId="10" applyNumberFormat="1" applyFont="1" applyFill="1" applyBorder="1" applyAlignment="1" applyProtection="1">
      <alignment horizontal="center" vertical="top"/>
    </xf>
    <xf numFmtId="184" fontId="84" fillId="0" borderId="163" xfId="10" applyNumberFormat="1" applyFont="1" applyBorder="1" applyAlignment="1" applyProtection="1">
      <alignment horizontal="center" vertical="top"/>
      <protection locked="0"/>
    </xf>
    <xf numFmtId="184" fontId="84" fillId="0" borderId="163" xfId="10" applyNumberFormat="1" applyFont="1" applyBorder="1" applyAlignment="1" applyProtection="1">
      <alignment horizontal="center" vertical="center"/>
      <protection locked="0"/>
    </xf>
    <xf numFmtId="184" fontId="84" fillId="0" borderId="163" xfId="10" applyNumberFormat="1" applyBorder="1" applyAlignment="1" applyProtection="1">
      <alignment horizontal="center" vertical="center"/>
      <protection locked="0"/>
    </xf>
    <xf numFmtId="184" fontId="84" fillId="16" borderId="87" xfId="10" applyNumberFormat="1" applyFill="1" applyBorder="1" applyAlignment="1" applyProtection="1">
      <alignment vertical="top"/>
    </xf>
    <xf numFmtId="0" fontId="96" fillId="0" borderId="6" xfId="4" applyNumberFormat="1" applyFont="1" applyBorder="1" applyAlignment="1">
      <alignment vertical="center"/>
    </xf>
    <xf numFmtId="0" fontId="84" fillId="0" borderId="0" xfId="10" applyFont="1" applyAlignment="1">
      <alignment horizontal="left" vertical="center"/>
    </xf>
    <xf numFmtId="0" fontId="95" fillId="0" borderId="35" xfId="4" applyFont="1" applyFill="1" applyBorder="1" applyAlignment="1" applyProtection="1">
      <alignment horizontal="center"/>
      <protection hidden="1"/>
    </xf>
    <xf numFmtId="0" fontId="96" fillId="0" borderId="0" xfId="4" applyFont="1" applyFill="1" applyAlignment="1" applyProtection="1">
      <alignment horizontal="center"/>
    </xf>
    <xf numFmtId="0" fontId="95" fillId="0" borderId="16" xfId="4" applyFont="1" applyFill="1" applyBorder="1" applyAlignment="1" applyProtection="1">
      <alignment horizontal="centerContinuous"/>
    </xf>
    <xf numFmtId="169" fontId="95" fillId="0" borderId="0" xfId="4" applyNumberFormat="1" applyFont="1" applyFill="1" applyProtection="1">
      <protection hidden="1"/>
    </xf>
    <xf numFmtId="0" fontId="96" fillId="0" borderId="0" xfId="4" applyFont="1" applyFill="1" applyProtection="1">
      <protection hidden="1"/>
    </xf>
    <xf numFmtId="0" fontId="105" fillId="0" borderId="0" xfId="4" applyFont="1" applyFill="1" applyBorder="1" applyAlignment="1" applyProtection="1">
      <alignment horizontal="right"/>
      <protection hidden="1"/>
    </xf>
    <xf numFmtId="164" fontId="3" fillId="0" borderId="2" xfId="16" applyNumberFormat="1" applyFont="1" applyFill="1" applyBorder="1" applyAlignment="1" applyProtection="1">
      <alignment horizontal="left" vertical="center"/>
      <protection locked="0"/>
    </xf>
    <xf numFmtId="177" fontId="3" fillId="0" borderId="2" xfId="16" applyNumberFormat="1" applyFont="1" applyFill="1" applyBorder="1" applyAlignment="1" applyProtection="1">
      <alignment horizontal="right"/>
      <protection locked="0"/>
    </xf>
    <xf numFmtId="38" fontId="8" fillId="0" borderId="2" xfId="16" applyNumberFormat="1" applyFont="1" applyFill="1" applyBorder="1" applyAlignment="1" applyProtection="1">
      <alignment horizontal="right"/>
      <protection locked="0"/>
    </xf>
    <xf numFmtId="3" fontId="90" fillId="0" borderId="2" xfId="16" applyNumberFormat="1" applyFont="1" applyFill="1" applyBorder="1" applyAlignment="1" applyProtection="1">
      <alignment horizontal="right" vertical="center"/>
      <protection locked="0"/>
    </xf>
    <xf numFmtId="42" fontId="0" fillId="0" borderId="88" xfId="0" applyNumberFormat="1" applyBorder="1" applyProtection="1">
      <protection locked="0"/>
    </xf>
    <xf numFmtId="0" fontId="84" fillId="0" borderId="163" xfId="10" applyFont="1" applyBorder="1" applyAlignment="1" applyProtection="1">
      <alignment horizontal="left" vertical="top" wrapText="1"/>
      <protection locked="0"/>
    </xf>
    <xf numFmtId="14" fontId="96" fillId="0" borderId="0" xfId="4" applyNumberFormat="1" applyFont="1" applyBorder="1" applyProtection="1">
      <protection locked="0"/>
    </xf>
    <xf numFmtId="0" fontId="96" fillId="0" borderId="89" xfId="4" applyNumberFormat="1" applyFont="1" applyBorder="1" applyAlignment="1">
      <alignment vertical="center"/>
    </xf>
    <xf numFmtId="0" fontId="96" fillId="0" borderId="90" xfId="4" applyNumberFormat="1" applyFont="1" applyBorder="1" applyAlignment="1">
      <alignment vertical="center"/>
    </xf>
    <xf numFmtId="0" fontId="105" fillId="0" borderId="90" xfId="4" applyNumberFormat="1" applyFont="1" applyBorder="1" applyAlignment="1">
      <alignment horizontal="center" vertical="center"/>
    </xf>
    <xf numFmtId="0" fontId="105" fillId="0" borderId="90" xfId="4" applyNumberFormat="1" applyFont="1" applyBorder="1" applyAlignment="1">
      <alignment horizontal="left" vertical="center"/>
    </xf>
    <xf numFmtId="0" fontId="96" fillId="0" borderId="91" xfId="4" applyNumberFormat="1" applyFont="1" applyBorder="1" applyAlignment="1">
      <alignment vertical="center"/>
    </xf>
    <xf numFmtId="0" fontId="96" fillId="0" borderId="92" xfId="4" applyNumberFormat="1" applyFont="1" applyBorder="1" applyAlignment="1">
      <alignment vertical="center"/>
    </xf>
    <xf numFmtId="0" fontId="96" fillId="0" borderId="0" xfId="4" applyNumberFormat="1" applyFont="1" applyBorder="1" applyAlignment="1">
      <alignment horizontal="center" vertical="center"/>
    </xf>
    <xf numFmtId="0" fontId="105" fillId="0" borderId="0" xfId="4" applyNumberFormat="1" applyFont="1" applyBorder="1" applyAlignment="1">
      <alignment horizontal="left" vertical="center"/>
    </xf>
    <xf numFmtId="0" fontId="96" fillId="0" borderId="93" xfId="4" applyNumberFormat="1" applyFont="1" applyBorder="1" applyAlignment="1">
      <alignment vertical="center"/>
    </xf>
    <xf numFmtId="0" fontId="105" fillId="14" borderId="94" xfId="4" applyNumberFormat="1" applyFont="1" applyFill="1" applyBorder="1" applyAlignment="1">
      <alignment horizontal="left"/>
    </xf>
    <xf numFmtId="0" fontId="96" fillId="0" borderId="7" xfId="4" applyNumberFormat="1" applyFont="1" applyBorder="1" applyAlignment="1">
      <alignment horizontal="center" vertical="center"/>
    </xf>
    <xf numFmtId="0" fontId="96" fillId="0" borderId="0" xfId="4" applyNumberFormat="1" applyFont="1" applyBorder="1" applyAlignment="1">
      <alignment horizontal="right" vertical="center" indent="1"/>
    </xf>
    <xf numFmtId="0" fontId="96" fillId="14" borderId="95" xfId="4" applyNumberFormat="1" applyFont="1" applyFill="1" applyBorder="1" applyAlignment="1">
      <alignment vertical="center"/>
    </xf>
    <xf numFmtId="0" fontId="96" fillId="14" borderId="6" xfId="4" applyNumberFormat="1" applyFont="1" applyFill="1" applyBorder="1" applyAlignment="1">
      <alignment vertical="center"/>
    </xf>
    <xf numFmtId="0" fontId="96" fillId="14" borderId="10" xfId="4" applyNumberFormat="1" applyFont="1" applyFill="1" applyBorder="1" applyAlignment="1">
      <alignment vertical="center"/>
    </xf>
    <xf numFmtId="0" fontId="96" fillId="0" borderId="9" xfId="4" applyNumberFormat="1" applyFont="1" applyBorder="1" applyAlignment="1">
      <alignment vertical="center"/>
    </xf>
    <xf numFmtId="0" fontId="96" fillId="0" borderId="94" xfId="4" applyNumberFormat="1" applyFont="1" applyBorder="1" applyAlignment="1">
      <alignment vertical="center"/>
    </xf>
    <xf numFmtId="0" fontId="105" fillId="0" borderId="8" xfId="4" applyNumberFormat="1" applyFont="1" applyFill="1" applyBorder="1" applyAlignment="1" applyProtection="1">
      <alignment horizontal="centerContinuous" vertical="center"/>
      <protection hidden="1"/>
    </xf>
    <xf numFmtId="0" fontId="105" fillId="0" borderId="17" xfId="4" applyNumberFormat="1" applyFont="1" applyFill="1" applyBorder="1" applyAlignment="1" applyProtection="1">
      <alignment horizontal="centerContinuous" vertical="center"/>
      <protection hidden="1"/>
    </xf>
    <xf numFmtId="0" fontId="96" fillId="0" borderId="92" xfId="4" applyNumberFormat="1" applyFont="1" applyFill="1" applyBorder="1" applyAlignment="1">
      <alignment vertical="center"/>
    </xf>
    <xf numFmtId="0" fontId="96" fillId="0" borderId="0" xfId="4" applyNumberFormat="1" applyFont="1" applyFill="1" applyBorder="1" applyAlignment="1">
      <alignment vertical="center"/>
    </xf>
    <xf numFmtId="0" fontId="96" fillId="0" borderId="0" xfId="4" applyNumberFormat="1" applyFont="1" applyFill="1" applyBorder="1" applyAlignment="1">
      <alignment horizontal="center" vertical="center"/>
    </xf>
    <xf numFmtId="0" fontId="96" fillId="0" borderId="24" xfId="4" applyNumberFormat="1" applyFont="1" applyFill="1" applyBorder="1" applyAlignment="1">
      <alignment vertical="center"/>
    </xf>
    <xf numFmtId="0" fontId="105" fillId="0" borderId="4" xfId="4" applyNumberFormat="1" applyFont="1" applyBorder="1" applyAlignment="1">
      <alignment horizontal="center" vertical="center"/>
    </xf>
    <xf numFmtId="0" fontId="105" fillId="0" borderId="17" xfId="4" applyNumberFormat="1" applyFont="1" applyBorder="1" applyAlignment="1">
      <alignment horizontal="center" vertical="center"/>
    </xf>
    <xf numFmtId="0" fontId="105" fillId="0" borderId="17" xfId="11" quotePrefix="1" applyNumberFormat="1" applyFont="1" applyBorder="1" applyAlignment="1">
      <alignment horizontal="center" vertical="center"/>
    </xf>
    <xf numFmtId="0" fontId="96" fillId="0" borderId="17" xfId="4" applyNumberFormat="1" applyFont="1" applyBorder="1" applyAlignment="1">
      <alignment horizontal="center" vertical="center"/>
    </xf>
    <xf numFmtId="0" fontId="105" fillId="0" borderId="18" xfId="4" applyNumberFormat="1" applyFont="1" applyBorder="1" applyAlignment="1">
      <alignment horizontal="center" vertical="center" wrapText="1"/>
    </xf>
    <xf numFmtId="0" fontId="105" fillId="0" borderId="18" xfId="11" applyNumberFormat="1" applyFont="1" applyBorder="1" applyAlignment="1">
      <alignment horizontal="center" vertical="center" wrapText="1"/>
    </xf>
    <xf numFmtId="0" fontId="105" fillId="0" borderId="18" xfId="4" applyNumberFormat="1" applyFont="1" applyBorder="1" applyAlignment="1">
      <alignment horizontal="center" vertical="center"/>
    </xf>
    <xf numFmtId="164" fontId="105" fillId="0" borderId="96" xfId="4" applyNumberFormat="1" applyFont="1" applyBorder="1" applyAlignment="1">
      <alignment horizontal="right" vertical="center"/>
    </xf>
    <xf numFmtId="0" fontId="96" fillId="0" borderId="14" xfId="4" applyNumberFormat="1" applyFont="1" applyBorder="1" applyAlignment="1">
      <alignment horizontal="left" vertical="center"/>
    </xf>
    <xf numFmtId="0" fontId="96" fillId="0" borderId="2" xfId="4" applyNumberFormat="1" applyFont="1" applyBorder="1" applyAlignment="1">
      <alignment horizontal="left" vertical="center" indent="1"/>
    </xf>
    <xf numFmtId="38" fontId="96" fillId="22" borderId="2" xfId="4" applyNumberFormat="1" applyFont="1" applyFill="1" applyBorder="1" applyAlignment="1" applyProtection="1">
      <alignment vertical="center" shrinkToFit="1"/>
      <protection locked="0"/>
    </xf>
    <xf numFmtId="0" fontId="96" fillId="15" borderId="2" xfId="4" applyNumberFormat="1" applyFont="1" applyFill="1" applyBorder="1" applyAlignment="1">
      <alignment vertical="center" shrinkToFit="1"/>
    </xf>
    <xf numFmtId="38" fontId="96" fillId="16" borderId="2" xfId="4" applyNumberFormat="1" applyFont="1" applyFill="1" applyBorder="1" applyAlignment="1" applyProtection="1">
      <alignment vertical="center" shrinkToFit="1"/>
      <protection locked="0"/>
    </xf>
    <xf numFmtId="38" fontId="96" fillId="16" borderId="2" xfId="4" applyNumberFormat="1" applyFont="1" applyFill="1" applyBorder="1" applyAlignment="1">
      <alignment vertical="center" shrinkToFit="1"/>
    </xf>
    <xf numFmtId="38" fontId="96" fillId="0" borderId="2" xfId="4" applyNumberFormat="1" applyFont="1" applyBorder="1" applyAlignment="1" applyProtection="1">
      <alignment vertical="center" shrinkToFit="1"/>
      <protection locked="0"/>
    </xf>
    <xf numFmtId="0" fontId="96" fillId="0" borderId="2" xfId="4" applyNumberFormat="1" applyFont="1" applyBorder="1" applyAlignment="1">
      <alignment horizontal="left" vertical="top" indent="1"/>
    </xf>
    <xf numFmtId="164" fontId="105" fillId="0" borderId="96" xfId="4" applyNumberFormat="1" applyFont="1" applyBorder="1" applyAlignment="1">
      <alignment vertical="top"/>
    </xf>
    <xf numFmtId="38" fontId="96" fillId="0" borderId="2" xfId="4" applyNumberFormat="1" applyFont="1" applyFill="1" applyBorder="1" applyAlignment="1" applyProtection="1">
      <alignment vertical="center" shrinkToFit="1"/>
      <protection locked="0"/>
    </xf>
    <xf numFmtId="38" fontId="96" fillId="16" borderId="2" xfId="4" applyNumberFormat="1" applyFont="1" applyFill="1" applyBorder="1" applyAlignment="1" applyProtection="1">
      <alignment vertical="center" shrinkToFit="1"/>
    </xf>
    <xf numFmtId="0" fontId="105" fillId="0" borderId="14" xfId="4" applyNumberFormat="1" applyFont="1" applyBorder="1" applyAlignment="1">
      <alignment horizontal="left" vertical="center"/>
    </xf>
    <xf numFmtId="0" fontId="96" fillId="0" borderId="19" xfId="4" applyNumberFormat="1" applyFont="1" applyBorder="1" applyAlignment="1">
      <alignment horizontal="center" vertical="center"/>
    </xf>
    <xf numFmtId="38" fontId="96" fillId="16" borderId="26" xfId="4" applyNumberFormat="1" applyFont="1" applyFill="1" applyBorder="1" applyAlignment="1">
      <alignment vertical="center" shrinkToFit="1"/>
    </xf>
    <xf numFmtId="0" fontId="96" fillId="15" borderId="18" xfId="4" applyNumberFormat="1" applyFont="1" applyFill="1" applyBorder="1" applyAlignment="1">
      <alignment vertical="center" shrinkToFit="1"/>
    </xf>
    <xf numFmtId="9" fontId="96" fillId="16" borderId="18" xfId="4" applyNumberFormat="1" applyFont="1" applyFill="1" applyBorder="1" applyAlignment="1">
      <alignment horizontal="center" vertical="center" shrinkToFit="1"/>
    </xf>
    <xf numFmtId="0" fontId="96" fillId="0" borderId="92" xfId="4" applyNumberFormat="1" applyFont="1" applyBorder="1" applyAlignment="1">
      <alignment horizontal="right" vertical="center"/>
    </xf>
    <xf numFmtId="0" fontId="96" fillId="0" borderId="0" xfId="4" applyNumberFormat="1" applyFont="1" applyBorder="1" applyAlignment="1"/>
    <xf numFmtId="0" fontId="96" fillId="0" borderId="0" xfId="4" applyNumberFormat="1" applyFont="1" applyBorder="1" applyAlignment="1">
      <alignment horizontal="center" wrapText="1"/>
    </xf>
    <xf numFmtId="0" fontId="111" fillId="0" borderId="0" xfId="4" applyFont="1" applyBorder="1" applyAlignment="1">
      <alignment horizontal="center" vertical="center" wrapText="1"/>
    </xf>
    <xf numFmtId="0" fontId="96" fillId="0" borderId="0" xfId="4" applyNumberFormat="1" applyFont="1" applyFill="1" applyBorder="1" applyAlignment="1">
      <alignment vertical="center" shrinkToFit="1"/>
    </xf>
    <xf numFmtId="9" fontId="96" fillId="0" borderId="0" xfId="4" applyNumberFormat="1" applyFont="1" applyFill="1" applyBorder="1" applyAlignment="1">
      <alignment horizontal="center" vertical="center" shrinkToFit="1"/>
    </xf>
    <xf numFmtId="0" fontId="96" fillId="0" borderId="0" xfId="4" applyNumberFormat="1" applyFont="1" applyBorder="1" applyAlignment="1">
      <alignment horizontal="right" vertical="center"/>
    </xf>
    <xf numFmtId="0" fontId="105" fillId="0" borderId="92" xfId="4" applyNumberFormat="1" applyFont="1" applyBorder="1" applyAlignment="1">
      <alignment vertical="center"/>
    </xf>
    <xf numFmtId="0" fontId="96" fillId="0" borderId="92" xfId="4" applyNumberFormat="1" applyFont="1" applyFill="1" applyBorder="1" applyAlignment="1" applyProtection="1">
      <alignment vertical="center"/>
      <protection hidden="1"/>
    </xf>
    <xf numFmtId="0" fontId="96" fillId="0" borderId="0" xfId="4" applyNumberFormat="1" applyFont="1" applyFill="1" applyBorder="1" applyAlignment="1" applyProtection="1">
      <alignment horizontal="right" vertical="center"/>
      <protection hidden="1"/>
    </xf>
    <xf numFmtId="0" fontId="96" fillId="0" borderId="0" xfId="4" applyNumberFormat="1" applyFont="1" applyFill="1" applyBorder="1" applyAlignment="1" applyProtection="1">
      <alignment vertical="center"/>
      <protection hidden="1"/>
    </xf>
    <xf numFmtId="0" fontId="111" fillId="0" borderId="92" xfId="4" applyNumberFormat="1" applyFont="1" applyBorder="1" applyAlignment="1">
      <alignment vertical="center"/>
    </xf>
    <xf numFmtId="0" fontId="111" fillId="0" borderId="141" xfId="4" applyNumberFormat="1" applyFont="1" applyBorder="1" applyAlignment="1">
      <alignment horizontal="center" vertical="center"/>
    </xf>
    <xf numFmtId="0" fontId="111" fillId="0" borderId="0" xfId="4" applyNumberFormat="1" applyFont="1" applyBorder="1" applyAlignment="1">
      <alignment vertical="center" wrapText="1"/>
    </xf>
    <xf numFmtId="0" fontId="111" fillId="0" borderId="141" xfId="4" applyNumberFormat="1" applyFont="1" applyBorder="1" applyAlignment="1">
      <alignment horizontal="center"/>
    </xf>
    <xf numFmtId="0" fontId="111" fillId="0" borderId="0" xfId="4" applyNumberFormat="1" applyFont="1" applyBorder="1" applyAlignment="1"/>
    <xf numFmtId="0" fontId="105" fillId="0" borderId="0" xfId="4" applyNumberFormat="1" applyFont="1" applyBorder="1" applyAlignment="1">
      <alignment horizontal="right"/>
    </xf>
    <xf numFmtId="0" fontId="110" fillId="0" borderId="0" xfId="4" applyNumberFormat="1" applyFont="1" applyBorder="1" applyAlignment="1">
      <alignment vertical="center"/>
    </xf>
    <xf numFmtId="0" fontId="105" fillId="0" borderId="0" xfId="4" applyNumberFormat="1" applyFont="1" applyBorder="1" applyAlignment="1">
      <alignment vertical="center"/>
    </xf>
    <xf numFmtId="0" fontId="96" fillId="0" borderId="0" xfId="4" applyFont="1" applyFill="1" applyBorder="1" applyAlignment="1" applyProtection="1">
      <alignment horizontal="left" vertical="top" wrapText="1" indent="2"/>
      <protection hidden="1"/>
    </xf>
    <xf numFmtId="0" fontId="96" fillId="0" borderId="0" xfId="4" applyNumberFormat="1" applyFont="1" applyBorder="1" applyAlignment="1">
      <alignment horizontal="left" vertical="center" indent="2"/>
    </xf>
    <xf numFmtId="0" fontId="96" fillId="0" borderId="0" xfId="4" applyFont="1" applyBorder="1" applyAlignment="1">
      <alignment horizontal="left" wrapText="1" indent="2"/>
    </xf>
    <xf numFmtId="0" fontId="111" fillId="0" borderId="0" xfId="4" applyNumberFormat="1" applyFont="1" applyBorder="1" applyAlignment="1">
      <alignment horizontal="centerContinuous" vertical="center"/>
    </xf>
    <xf numFmtId="0" fontId="119" fillId="0" borderId="0" xfId="2" applyNumberFormat="1" applyFont="1" applyBorder="1" applyAlignment="1" applyProtection="1">
      <alignment horizontal="centerContinuous" vertical="center"/>
    </xf>
    <xf numFmtId="0" fontId="96" fillId="0" borderId="0" xfId="4" quotePrefix="1" applyNumberFormat="1" applyFont="1" applyFill="1" applyBorder="1" applyAlignment="1" applyProtection="1">
      <alignment horizontal="left" vertical="top" wrapText="1" indent="2"/>
      <protection hidden="1"/>
    </xf>
    <xf numFmtId="0" fontId="96" fillId="0" borderId="0" xfId="4" applyFont="1" applyBorder="1" applyAlignment="1">
      <alignment vertical="top" wrapText="1"/>
    </xf>
    <xf numFmtId="0" fontId="96" fillId="0" borderId="97" xfId="4" applyNumberFormat="1" applyFont="1" applyBorder="1" applyAlignment="1">
      <alignment vertical="center"/>
    </xf>
    <xf numFmtId="0" fontId="96" fillId="0" borderId="98" xfId="4" applyNumberFormat="1" applyFont="1" applyBorder="1" applyAlignment="1">
      <alignment vertical="center"/>
    </xf>
    <xf numFmtId="0" fontId="96" fillId="0" borderId="99" xfId="4" applyNumberFormat="1" applyFont="1" applyBorder="1" applyAlignment="1">
      <alignment vertical="center"/>
    </xf>
    <xf numFmtId="0" fontId="96" fillId="0" borderId="92" xfId="11" applyFont="1" applyBorder="1"/>
    <xf numFmtId="0" fontId="96" fillId="0" borderId="0" xfId="11" applyFont="1" applyBorder="1"/>
    <xf numFmtId="0" fontId="96" fillId="0" borderId="93" xfId="11" applyFont="1" applyBorder="1"/>
    <xf numFmtId="0" fontId="96" fillId="0" borderId="92" xfId="11" applyFont="1" applyBorder="1" applyAlignment="1">
      <alignment wrapText="1"/>
    </xf>
    <xf numFmtId="0" fontId="96" fillId="0" borderId="0" xfId="11" applyFont="1" applyBorder="1" applyAlignment="1">
      <alignment wrapText="1"/>
    </xf>
    <xf numFmtId="0" fontId="96" fillId="0" borderId="93" xfId="11" applyFont="1" applyBorder="1" applyAlignment="1">
      <alignment wrapText="1"/>
    </xf>
    <xf numFmtId="0" fontId="153" fillId="0" borderId="92" xfId="11" applyFont="1" applyBorder="1" applyAlignment="1"/>
    <xf numFmtId="0" fontId="118" fillId="0" borderId="0" xfId="11" applyFont="1" applyBorder="1"/>
    <xf numFmtId="0" fontId="150" fillId="0" borderId="0" xfId="11" applyFont="1" applyBorder="1" applyAlignment="1">
      <alignment wrapText="1"/>
    </xf>
    <xf numFmtId="0" fontId="150" fillId="0" borderId="93" xfId="11" applyFont="1" applyBorder="1" applyAlignment="1">
      <alignment wrapText="1"/>
    </xf>
    <xf numFmtId="0" fontId="96" fillId="23" borderId="57" xfId="11" applyFont="1" applyFill="1" applyBorder="1"/>
    <xf numFmtId="0" fontId="140" fillId="0" borderId="57" xfId="11" applyFont="1" applyBorder="1" applyAlignment="1">
      <alignment horizontal="center" wrapText="1"/>
    </xf>
    <xf numFmtId="0" fontId="96" fillId="23" borderId="57" xfId="11" applyFont="1" applyFill="1" applyBorder="1" applyAlignment="1">
      <alignment horizontal="center"/>
    </xf>
    <xf numFmtId="0" fontId="140" fillId="0" borderId="100" xfId="11" applyFont="1" applyBorder="1" applyAlignment="1">
      <alignment horizontal="center" wrapText="1"/>
    </xf>
    <xf numFmtId="0" fontId="96" fillId="0" borderId="164" xfId="11" applyFont="1" applyBorder="1" applyAlignment="1">
      <alignment horizontal="center"/>
    </xf>
    <xf numFmtId="38" fontId="105" fillId="22" borderId="165" xfId="11" applyNumberFormat="1" applyFont="1" applyFill="1" applyBorder="1" applyAlignment="1" applyProtection="1">
      <alignment horizontal="center"/>
      <protection locked="0"/>
    </xf>
    <xf numFmtId="38" fontId="96" fillId="23" borderId="0" xfId="11" applyNumberFormat="1" applyFont="1" applyFill="1" applyBorder="1" applyAlignment="1">
      <alignment horizontal="center"/>
    </xf>
    <xf numFmtId="38" fontId="96" fillId="0" borderId="166" xfId="11" applyNumberFormat="1" applyFont="1" applyBorder="1" applyAlignment="1" applyProtection="1">
      <alignment horizontal="center"/>
      <protection locked="0"/>
    </xf>
    <xf numFmtId="38" fontId="96" fillId="0" borderId="164" xfId="11" applyNumberFormat="1" applyFont="1" applyBorder="1" applyAlignment="1" applyProtection="1">
      <alignment horizontal="center"/>
      <protection locked="0"/>
    </xf>
    <xf numFmtId="38" fontId="105" fillId="16" borderId="167" xfId="11" applyNumberFormat="1" applyFont="1" applyFill="1" applyBorder="1" applyAlignment="1">
      <alignment horizontal="center" wrapText="1"/>
    </xf>
    <xf numFmtId="0" fontId="96" fillId="0" borderId="168" xfId="11" applyFont="1" applyBorder="1" applyAlignment="1">
      <alignment horizontal="center"/>
    </xf>
    <xf numFmtId="38" fontId="96" fillId="0" borderId="169" xfId="11" applyNumberFormat="1" applyFont="1" applyBorder="1" applyAlignment="1" applyProtection="1">
      <alignment horizontal="center"/>
      <protection locked="0"/>
    </xf>
    <xf numFmtId="38" fontId="96" fillId="0" borderId="168" xfId="11" applyNumberFormat="1" applyFont="1" applyBorder="1" applyAlignment="1" applyProtection="1">
      <alignment horizontal="center"/>
      <protection locked="0"/>
    </xf>
    <xf numFmtId="0" fontId="96" fillId="0" borderId="170" xfId="11" applyFont="1" applyBorder="1" applyAlignment="1">
      <alignment horizontal="center"/>
    </xf>
    <xf numFmtId="38" fontId="96" fillId="0" borderId="171" xfId="11" applyNumberFormat="1" applyFont="1" applyBorder="1" applyAlignment="1" applyProtection="1">
      <alignment horizontal="center"/>
      <protection locked="0"/>
    </xf>
    <xf numFmtId="38" fontId="96" fillId="0" borderId="170" xfId="11" applyNumberFormat="1" applyFont="1" applyBorder="1" applyAlignment="1" applyProtection="1">
      <alignment horizontal="center"/>
      <protection locked="0"/>
    </xf>
    <xf numFmtId="38" fontId="105" fillId="16" borderId="57" xfId="11" applyNumberFormat="1" applyFont="1" applyFill="1" applyBorder="1" applyAlignment="1">
      <alignment horizontal="center"/>
    </xf>
    <xf numFmtId="38" fontId="105" fillId="23" borderId="57" xfId="11" applyNumberFormat="1" applyFont="1" applyFill="1" applyBorder="1" applyAlignment="1">
      <alignment horizontal="center"/>
    </xf>
    <xf numFmtId="38" fontId="105" fillId="16" borderId="100" xfId="11" applyNumberFormat="1" applyFont="1" applyFill="1" applyBorder="1" applyAlignment="1">
      <alignment horizontal="center"/>
    </xf>
    <xf numFmtId="0" fontId="139" fillId="0" borderId="92" xfId="11" applyFont="1" applyBorder="1"/>
    <xf numFmtId="0" fontId="139" fillId="0" borderId="0" xfId="11" applyFont="1" applyBorder="1"/>
    <xf numFmtId="0" fontId="154" fillId="0" borderId="0" xfId="11" applyFont="1" applyBorder="1"/>
    <xf numFmtId="0" fontId="139" fillId="0" borderId="93" xfId="11" applyFont="1" applyBorder="1"/>
    <xf numFmtId="0" fontId="150" fillId="0" borderId="92" xfId="11" applyFont="1" applyBorder="1"/>
    <xf numFmtId="0" fontId="139" fillId="0" borderId="97" xfId="11" applyFont="1" applyBorder="1"/>
    <xf numFmtId="0" fontId="139" fillId="0" borderId="98" xfId="11" applyFont="1" applyBorder="1"/>
    <xf numFmtId="0" fontId="139" fillId="0" borderId="99" xfId="11" applyFont="1" applyBorder="1"/>
    <xf numFmtId="0" fontId="5" fillId="0" borderId="9" xfId="19" applyNumberFormat="1" applyFont="1" applyFill="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180" fontId="5" fillId="0" borderId="9" xfId="19" applyNumberFormat="1" applyFont="1" applyBorder="1" applyAlignment="1" applyProtection="1">
      <alignment horizontal="left" vertical="center"/>
      <protection locked="0"/>
    </xf>
    <xf numFmtId="180" fontId="5" fillId="0" borderId="6" xfId="0" applyNumberFormat="1" applyFont="1" applyBorder="1" applyAlignment="1" applyProtection="1">
      <alignment horizontal="left" vertical="center"/>
      <protection locked="0"/>
    </xf>
    <xf numFmtId="180" fontId="5" fillId="0" borderId="10" xfId="0" applyNumberFormat="1" applyFont="1" applyBorder="1" applyAlignment="1" applyProtection="1">
      <alignment horizontal="left" vertical="center"/>
      <protection locked="0"/>
    </xf>
    <xf numFmtId="0" fontId="3" fillId="0" borderId="8" xfId="19" applyNumberFormat="1" applyFont="1" applyBorder="1" applyAlignment="1" applyProtection="1">
      <alignment horizontal="left" vertical="center"/>
    </xf>
    <xf numFmtId="0" fontId="6" fillId="0" borderId="3" xfId="0" applyNumberFormat="1" applyFont="1" applyBorder="1" applyAlignment="1">
      <alignment horizontal="left" vertical="center"/>
    </xf>
    <xf numFmtId="0" fontId="6" fillId="0" borderId="9" xfId="19" applyFont="1" applyBorder="1" applyAlignment="1" applyProtection="1">
      <alignment vertical="center"/>
    </xf>
    <xf numFmtId="0" fontId="0" fillId="0" borderId="6" xfId="0" applyBorder="1" applyAlignment="1">
      <alignment vertical="center"/>
    </xf>
    <xf numFmtId="0" fontId="0" fillId="0" borderId="10" xfId="0" applyBorder="1" applyAlignment="1">
      <alignment vertical="center"/>
    </xf>
    <xf numFmtId="0" fontId="26" fillId="0" borderId="7" xfId="19" applyNumberFormat="1" applyFont="1" applyBorder="1" applyAlignment="1" applyProtection="1">
      <alignment horizontal="center"/>
    </xf>
    <xf numFmtId="0" fontId="0" fillId="0" borderId="0" xfId="0" applyBorder="1" applyAlignment="1">
      <alignment horizontal="center"/>
    </xf>
    <xf numFmtId="0" fontId="0" fillId="0" borderId="5" xfId="0" applyBorder="1" applyAlignment="1">
      <alignment horizontal="center"/>
    </xf>
    <xf numFmtId="0" fontId="25" fillId="0" borderId="9" xfId="2" applyNumberFormat="1" applyBorder="1" applyAlignment="1" applyProtection="1">
      <alignment horizontal="left" vertical="center" indent="1"/>
      <protection locked="0"/>
    </xf>
    <xf numFmtId="0" fontId="36" fillId="0" borderId="6" xfId="2" applyNumberFormat="1" applyFont="1" applyBorder="1" applyAlignment="1" applyProtection="1">
      <alignment horizontal="left" vertical="center" indent="1"/>
      <protection locked="0"/>
    </xf>
    <xf numFmtId="0" fontId="36" fillId="0" borderId="6" xfId="2" applyFont="1" applyBorder="1" applyAlignment="1" applyProtection="1">
      <alignment horizontal="left" vertical="center" indent="1"/>
      <protection locked="0"/>
    </xf>
    <xf numFmtId="0" fontId="13" fillId="0" borderId="6"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indent="1"/>
      <protection locked="0"/>
    </xf>
    <xf numFmtId="180" fontId="5" fillId="0" borderId="6" xfId="0" applyNumberFormat="1" applyFont="1" applyBorder="1" applyAlignment="1" applyProtection="1">
      <alignment horizontal="left" vertical="center" indent="1"/>
      <protection locked="0"/>
    </xf>
    <xf numFmtId="180" fontId="5" fillId="0" borderId="10" xfId="0" applyNumberFormat="1" applyFont="1" applyBorder="1" applyAlignment="1" applyProtection="1">
      <alignment horizontal="left" vertical="center" indent="1"/>
      <protection locked="0"/>
    </xf>
    <xf numFmtId="0" fontId="5" fillId="0" borderId="6" xfId="0" applyNumberFormat="1" applyFont="1" applyBorder="1" applyAlignment="1" applyProtection="1">
      <alignment horizontal="left" vertical="center" indent="1"/>
      <protection locked="0"/>
    </xf>
    <xf numFmtId="0" fontId="155" fillId="0" borderId="0" xfId="19" applyFont="1" applyBorder="1" applyAlignment="1" applyProtection="1">
      <alignment horizontal="center" vertical="center" wrapText="1"/>
    </xf>
    <xf numFmtId="0" fontId="155" fillId="0" borderId="5" xfId="19" applyFont="1" applyBorder="1" applyAlignment="1" applyProtection="1">
      <alignment horizontal="center" vertical="center" wrapText="1"/>
    </xf>
    <xf numFmtId="0" fontId="155" fillId="0" borderId="6" xfId="19" applyFont="1" applyBorder="1" applyAlignment="1" applyProtection="1">
      <alignment horizontal="center" vertical="center" wrapText="1"/>
    </xf>
    <xf numFmtId="0" fontId="155" fillId="0" borderId="10" xfId="19" applyFont="1" applyBorder="1" applyAlignment="1" applyProtection="1">
      <alignment horizontal="center" vertical="center" wrapText="1"/>
    </xf>
    <xf numFmtId="0" fontId="6" fillId="0" borderId="6" xfId="19" applyFont="1" applyBorder="1" applyAlignment="1" applyProtection="1">
      <alignment vertical="center"/>
    </xf>
    <xf numFmtId="180" fontId="5" fillId="0" borderId="9" xfId="19" applyNumberFormat="1" applyFont="1" applyBorder="1" applyAlignment="1" applyProtection="1">
      <alignment horizontal="left" vertical="center" indent="1"/>
      <protection locked="0"/>
    </xf>
    <xf numFmtId="0" fontId="5" fillId="0" borderId="0" xfId="19" applyFont="1" applyBorder="1" applyAlignment="1" applyProtection="1">
      <alignment vertical="center"/>
      <protection locked="0"/>
    </xf>
    <xf numFmtId="0" fontId="5" fillId="0" borderId="6" xfId="0" applyNumberFormat="1"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6" fillId="0" borderId="9" xfId="19" applyFont="1" applyBorder="1" applyAlignment="1" applyProtection="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5" fillId="0" borderId="7" xfId="19" applyNumberFormat="1" applyFont="1" applyBorder="1" applyAlignment="1" applyProtection="1">
      <alignment horizontal="left" vertical="center" indent="1"/>
      <protection locked="0"/>
    </xf>
    <xf numFmtId="0" fontId="5" fillId="0" borderId="0" xfId="0" applyNumberFormat="1"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protection locked="0"/>
    </xf>
    <xf numFmtId="0" fontId="36" fillId="0" borderId="9" xfId="2" applyNumberFormat="1" applyFont="1" applyBorder="1" applyAlignment="1" applyProtection="1">
      <alignment horizontal="left" vertical="center"/>
      <protection locked="0"/>
    </xf>
    <xf numFmtId="0" fontId="36" fillId="0" borderId="6" xfId="2" applyFont="1" applyBorder="1" applyAlignment="1" applyProtection="1">
      <alignment horizontal="left" vertical="center"/>
      <protection locked="0"/>
    </xf>
    <xf numFmtId="0" fontId="36" fillId="0" borderId="10" xfId="2" applyFont="1" applyBorder="1" applyAlignment="1" applyProtection="1">
      <alignment horizontal="left" vertical="center"/>
      <protection locked="0"/>
    </xf>
    <xf numFmtId="49" fontId="8" fillId="0" borderId="0" xfId="19"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0" xfId="19" applyFont="1" applyBorder="1" applyAlignment="1" applyProtection="1">
      <alignment horizontal="center" vertical="center"/>
    </xf>
    <xf numFmtId="171" fontId="5" fillId="0" borderId="0" xfId="19"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26" fillId="0" borderId="8" xfId="19" applyFont="1" applyBorder="1" applyAlignment="1" applyProtection="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5" fillId="0" borderId="0" xfId="19" applyFont="1" applyBorder="1" applyAlignment="1" applyProtection="1">
      <alignment horizontal="center" vertical="center"/>
    </xf>
    <xf numFmtId="0" fontId="0" fillId="0" borderId="0" xfId="0" applyBorder="1" applyAlignment="1">
      <alignment horizontal="center" vertical="center"/>
    </xf>
    <xf numFmtId="49" fontId="5" fillId="0" borderId="0" xfId="19" applyNumberFormat="1" applyFont="1" applyBorder="1" applyAlignment="1" applyProtection="1">
      <alignment horizontal="center" vertical="center"/>
    </xf>
    <xf numFmtId="0" fontId="5" fillId="0" borderId="9" xfId="19" applyNumberFormat="1" applyFont="1" applyBorder="1" applyAlignment="1" applyProtection="1">
      <alignment horizontal="left" vertical="center"/>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5" fillId="0" borderId="172" xfId="19"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12" fillId="0" borderId="9" xfId="19" applyNumberFormat="1"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5" fillId="0" borderId="9" xfId="2" applyNumberFormat="1" applyFill="1" applyBorder="1" applyAlignment="1" applyProtection="1">
      <alignment horizontal="left" vertical="center" indent="1"/>
      <protection locked="0"/>
    </xf>
    <xf numFmtId="49" fontId="29" fillId="0" borderId="6" xfId="0" applyNumberFormat="1" applyFont="1" applyBorder="1" applyAlignment="1" applyProtection="1">
      <alignment horizontal="left" vertical="center" indent="1"/>
      <protection locked="0"/>
    </xf>
    <xf numFmtId="49" fontId="29" fillId="0" borderId="10" xfId="0" applyNumberFormat="1" applyFont="1" applyBorder="1" applyAlignment="1" applyProtection="1">
      <alignment horizontal="left" vertical="center" indent="1"/>
      <protection locked="0"/>
    </xf>
    <xf numFmtId="0" fontId="13" fillId="0" borderId="7" xfId="19" applyNumberFormat="1" applyFont="1" applyBorder="1" applyAlignment="1" applyProtection="1">
      <alignment horizontal="center" vertical="center"/>
    </xf>
    <xf numFmtId="0" fontId="0" fillId="0" borderId="5" xfId="0" applyBorder="1" applyAlignment="1">
      <alignment horizontal="center" vertical="center"/>
    </xf>
    <xf numFmtId="0" fontId="25" fillId="0" borderId="7" xfId="2" applyNumberFormat="1" applyBorder="1" applyAlignment="1" applyProtection="1">
      <alignment horizontal="center" vertical="center"/>
    </xf>
    <xf numFmtId="0" fontId="25" fillId="0" borderId="0" xfId="2" applyBorder="1" applyAlignment="1" applyProtection="1">
      <alignment horizontal="center" vertical="center"/>
    </xf>
    <xf numFmtId="0" fontId="25" fillId="0" borderId="5" xfId="2" applyBorder="1" applyAlignment="1" applyProtection="1">
      <alignment horizontal="center" vertical="center"/>
    </xf>
    <xf numFmtId="0" fontId="26" fillId="0" borderId="7" xfId="19" applyFont="1" applyBorder="1" applyAlignment="1" applyProtection="1">
      <alignment horizontal="center"/>
    </xf>
    <xf numFmtId="0" fontId="5" fillId="0" borderId="5" xfId="0" applyFont="1" applyBorder="1" applyAlignment="1" applyProtection="1">
      <alignment horizontal="left" vertical="center" indent="1"/>
      <protection locked="0"/>
    </xf>
    <xf numFmtId="180" fontId="5" fillId="0" borderId="6" xfId="19" applyNumberFormat="1" applyFont="1" applyBorder="1" applyAlignment="1" applyProtection="1">
      <alignment horizontal="left" vertical="center" indent="1"/>
      <protection locked="0"/>
    </xf>
    <xf numFmtId="180" fontId="5" fillId="0" borderId="10" xfId="19" applyNumberFormat="1" applyFont="1" applyBorder="1" applyAlignment="1" applyProtection="1">
      <alignment horizontal="left" vertical="center" indent="1"/>
      <protection locked="0"/>
    </xf>
    <xf numFmtId="0" fontId="26" fillId="0" borderId="8" xfId="19" applyNumberFormat="1"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26" fillId="0" borderId="7" xfId="19"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1" fillId="0" borderId="9" xfId="0" applyFont="1" applyBorder="1" applyAlignment="1">
      <alignment horizontal="center" vertical="top"/>
    </xf>
    <xf numFmtId="0" fontId="31" fillId="0" borderId="6" xfId="0" applyFont="1" applyBorder="1" applyAlignment="1">
      <alignment horizontal="center" vertical="top"/>
    </xf>
    <xf numFmtId="0" fontId="31" fillId="0" borderId="10" xfId="0" applyFont="1" applyBorder="1" applyAlignment="1">
      <alignment horizontal="center" vertical="top"/>
    </xf>
    <xf numFmtId="0" fontId="5" fillId="0" borderId="9" xfId="19" applyNumberFormat="1" applyFont="1" applyBorder="1" applyAlignment="1" applyProtection="1">
      <alignment horizontal="left" vertical="center" indent="1"/>
      <protection locked="0"/>
    </xf>
    <xf numFmtId="174" fontId="5" fillId="0" borderId="7" xfId="19"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5" xfId="0" applyNumberFormat="1" applyFont="1" applyBorder="1" applyAlignment="1" applyProtection="1">
      <alignment horizontal="left" vertical="center" indent="1"/>
      <protection locked="0"/>
    </xf>
    <xf numFmtId="0" fontId="5" fillId="0" borderId="6" xfId="19" applyNumberFormat="1" applyFont="1" applyBorder="1" applyAlignment="1" applyProtection="1">
      <alignment horizontal="left" vertical="center" indent="1"/>
      <protection locked="0"/>
    </xf>
    <xf numFmtId="0" fontId="5" fillId="0" borderId="10" xfId="19" applyNumberFormat="1" applyFont="1" applyBorder="1" applyAlignment="1" applyProtection="1">
      <alignment horizontal="left" vertical="center" indent="1"/>
      <protection locked="0"/>
    </xf>
    <xf numFmtId="0" fontId="5" fillId="0" borderId="9" xfId="19" applyNumberFormat="1" applyFont="1" applyBorder="1" applyAlignment="1" applyProtection="1">
      <alignment horizontal="left" vertical="center" readingOrder="1"/>
      <protection locked="0"/>
    </xf>
    <xf numFmtId="0" fontId="5" fillId="0" borderId="6" xfId="0" applyNumberFormat="1" applyFont="1" applyBorder="1" applyAlignment="1" applyProtection="1">
      <alignment horizontal="left" vertical="center" readingOrder="1"/>
      <protection locked="0"/>
    </xf>
    <xf numFmtId="0" fontId="6" fillId="0" borderId="6" xfId="0" applyFont="1" applyBorder="1" applyAlignment="1" applyProtection="1">
      <alignment vertical="center" readingOrder="1"/>
      <protection locked="0"/>
    </xf>
    <xf numFmtId="0" fontId="6" fillId="0" borderId="10" xfId="0" applyFont="1" applyBorder="1" applyAlignment="1" applyProtection="1">
      <alignment vertical="center" readingOrder="1"/>
      <protection locked="0"/>
    </xf>
    <xf numFmtId="181" fontId="6" fillId="0" borderId="3" xfId="19" applyNumberFormat="1" applyFont="1" applyFill="1" applyBorder="1" applyAlignment="1" applyProtection="1">
      <alignment horizontal="left" vertical="center" shrinkToFit="1"/>
      <protection hidden="1"/>
    </xf>
    <xf numFmtId="181" fontId="6" fillId="0" borderId="4" xfId="19" applyNumberFormat="1" applyFont="1" applyFill="1" applyBorder="1" applyAlignment="1" applyProtection="1">
      <alignment horizontal="left" vertical="center" shrinkToFit="1"/>
      <protection hidden="1"/>
    </xf>
    <xf numFmtId="181" fontId="6" fillId="0" borderId="0" xfId="19" applyNumberFormat="1" applyFont="1" applyFill="1" applyBorder="1" applyAlignment="1" applyProtection="1">
      <alignment horizontal="left" vertical="center" shrinkToFit="1"/>
      <protection hidden="1"/>
    </xf>
    <xf numFmtId="181" fontId="6" fillId="0" borderId="5" xfId="19" applyNumberFormat="1" applyFont="1" applyFill="1" applyBorder="1" applyAlignment="1" applyProtection="1">
      <alignment horizontal="left" vertical="center" shrinkToFit="1"/>
      <protection hidden="1"/>
    </xf>
    <xf numFmtId="0" fontId="25" fillId="0" borderId="9" xfId="2" applyBorder="1" applyAlignment="1" applyProtection="1">
      <protection locked="0"/>
    </xf>
    <xf numFmtId="0" fontId="11" fillId="0" borderId="6" xfId="0" applyFont="1" applyBorder="1" applyProtection="1">
      <protection locked="0"/>
    </xf>
    <xf numFmtId="0" fontId="11" fillId="0" borderId="10" xfId="0" applyFont="1" applyBorder="1" applyProtection="1">
      <protection locked="0"/>
    </xf>
    <xf numFmtId="0" fontId="5" fillId="0" borderId="0" xfId="0" applyFont="1" applyBorder="1" applyAlignment="1" applyProtection="1">
      <alignment horizontal="left" vertical="center" indent="1"/>
      <protection locked="0"/>
    </xf>
    <xf numFmtId="180" fontId="5" fillId="0" borderId="7" xfId="19" applyNumberFormat="1" applyFont="1" applyBorder="1" applyAlignment="1" applyProtection="1">
      <alignment horizontal="left" vertical="center" indent="1"/>
      <protection locked="0"/>
    </xf>
    <xf numFmtId="180" fontId="5" fillId="0" borderId="0" xfId="0" applyNumberFormat="1" applyFont="1" applyBorder="1" applyAlignment="1" applyProtection="1">
      <alignment horizontal="left" vertical="center" indent="1"/>
      <protection locked="0"/>
    </xf>
    <xf numFmtId="0" fontId="36" fillId="0" borderId="6" xfId="2" applyNumberFormat="1" applyFont="1" applyBorder="1" applyAlignment="1" applyProtection="1">
      <alignment horizontal="left" vertical="center"/>
      <protection locked="0"/>
    </xf>
    <xf numFmtId="14" fontId="5" fillId="0" borderId="9" xfId="19" applyNumberFormat="1" applyFont="1" applyBorder="1" applyAlignment="1" applyProtection="1">
      <alignment horizontal="left" vertical="center" indent="1"/>
      <protection locked="0"/>
    </xf>
    <xf numFmtId="0" fontId="89" fillId="0" borderId="0" xfId="0" applyFont="1" applyBorder="1" applyAlignment="1">
      <alignment horizontal="center" vertical="center"/>
    </xf>
    <xf numFmtId="0" fontId="89" fillId="0" borderId="0" xfId="0" applyFont="1" applyBorder="1" applyAlignment="1">
      <alignment horizontal="center"/>
    </xf>
    <xf numFmtId="0" fontId="25" fillId="0" borderId="0" xfId="2" applyBorder="1" applyAlignment="1" applyProtection="1">
      <alignment horizontal="center"/>
    </xf>
    <xf numFmtId="0" fontId="89" fillId="0" borderId="101" xfId="0" applyFont="1" applyBorder="1" applyAlignment="1">
      <alignment horizontal="center"/>
    </xf>
    <xf numFmtId="0" fontId="94" fillId="25" borderId="176" xfId="0" applyFont="1" applyFill="1" applyBorder="1" applyAlignment="1" applyProtection="1">
      <alignment horizontal="center" vertical="center" shrinkToFit="1"/>
    </xf>
    <xf numFmtId="0" fontId="94" fillId="25" borderId="138" xfId="0" applyFont="1" applyFill="1" applyBorder="1" applyAlignment="1" applyProtection="1">
      <alignment horizontal="center" vertical="center" shrinkToFit="1"/>
    </xf>
    <xf numFmtId="0" fontId="94" fillId="25" borderId="137" xfId="0" applyFont="1" applyFill="1" applyBorder="1" applyAlignment="1" applyProtection="1">
      <alignment horizontal="center" vertical="center" shrinkToFit="1"/>
    </xf>
    <xf numFmtId="0" fontId="102" fillId="0" borderId="0" xfId="0" applyFont="1" applyBorder="1" applyAlignment="1" applyProtection="1">
      <alignment horizontal="center" vertical="center"/>
    </xf>
    <xf numFmtId="0" fontId="90" fillId="0" borderId="8" xfId="4" applyFont="1" applyBorder="1" applyAlignment="1" applyProtection="1">
      <alignment horizontal="left" vertical="top"/>
      <protection locked="0"/>
    </xf>
    <xf numFmtId="0" fontId="90" fillId="0" borderId="3" xfId="4" applyFont="1" applyBorder="1" applyAlignment="1" applyProtection="1">
      <alignment horizontal="left" vertical="top"/>
      <protection locked="0"/>
    </xf>
    <xf numFmtId="0" fontId="90" fillId="0" borderId="4" xfId="4" applyFont="1" applyBorder="1" applyAlignment="1" applyProtection="1">
      <alignment horizontal="left" vertical="top"/>
      <protection locked="0"/>
    </xf>
    <xf numFmtId="0" fontId="90" fillId="0" borderId="7" xfId="4" applyFont="1" applyBorder="1" applyAlignment="1" applyProtection="1">
      <alignment horizontal="left" vertical="top"/>
      <protection locked="0"/>
    </xf>
    <xf numFmtId="0" fontId="90" fillId="0" borderId="0" xfId="4" applyFont="1" applyBorder="1" applyAlignment="1" applyProtection="1">
      <alignment horizontal="left" vertical="top"/>
      <protection locked="0"/>
    </xf>
    <xf numFmtId="0" fontId="90" fillId="0" borderId="5" xfId="4" applyFont="1" applyBorder="1" applyAlignment="1" applyProtection="1">
      <alignment horizontal="left" vertical="top"/>
      <protection locked="0"/>
    </xf>
    <xf numFmtId="0" fontId="90" fillId="0" borderId="9" xfId="4" applyFont="1" applyBorder="1" applyAlignment="1" applyProtection="1">
      <alignment horizontal="left" vertical="top"/>
      <protection locked="0"/>
    </xf>
    <xf numFmtId="0" fontId="90" fillId="0" borderId="6" xfId="4" applyFont="1" applyBorder="1" applyAlignment="1" applyProtection="1">
      <alignment horizontal="left" vertical="top"/>
      <protection locked="0"/>
    </xf>
    <xf numFmtId="0" fontId="90" fillId="0" borderId="10" xfId="4" applyFont="1" applyBorder="1" applyAlignment="1" applyProtection="1">
      <alignment horizontal="left" vertical="top"/>
      <protection locked="0"/>
    </xf>
    <xf numFmtId="0" fontId="89" fillId="0" borderId="173" xfId="4" applyFont="1" applyBorder="1" applyAlignment="1" applyProtection="1">
      <alignment horizontal="center"/>
      <protection locked="0"/>
    </xf>
    <xf numFmtId="0" fontId="104" fillId="0" borderId="0" xfId="4" applyFont="1" applyBorder="1" applyAlignment="1">
      <alignment horizontal="left" vertical="top" wrapText="1"/>
    </xf>
    <xf numFmtId="0" fontId="111" fillId="0" borderId="0" xfId="4" applyFont="1" applyBorder="1" applyAlignment="1">
      <alignment horizontal="left" vertical="top" wrapText="1"/>
    </xf>
    <xf numFmtId="0" fontId="111" fillId="0" borderId="0" xfId="4" applyFont="1" applyAlignment="1">
      <alignment horizontal="left" vertical="top" wrapText="1"/>
    </xf>
    <xf numFmtId="0" fontId="102" fillId="0" borderId="0" xfId="0" applyFont="1" applyBorder="1" applyAlignment="1" applyProtection="1">
      <alignment horizontal="left" vertical="center"/>
    </xf>
    <xf numFmtId="0" fontId="102" fillId="0" borderId="0" xfId="0" applyFont="1" applyAlignment="1">
      <alignment horizontal="left" vertical="center"/>
    </xf>
    <xf numFmtId="0" fontId="105" fillId="0" borderId="0" xfId="0" applyFont="1" applyAlignment="1">
      <alignment horizontal="left" vertical="center"/>
    </xf>
    <xf numFmtId="0" fontId="106" fillId="0" borderId="0" xfId="0" applyFont="1" applyAlignment="1">
      <alignment horizontal="left" vertical="center"/>
    </xf>
    <xf numFmtId="0" fontId="96" fillId="0" borderId="0" xfId="0" applyFont="1" applyAlignment="1">
      <alignment horizontal="left" vertical="center"/>
    </xf>
    <xf numFmtId="0" fontId="89" fillId="24" borderId="0" xfId="0" applyFont="1" applyFill="1" applyBorder="1" applyAlignment="1" applyProtection="1">
      <alignment horizontal="center" vertical="center"/>
    </xf>
    <xf numFmtId="0" fontId="89" fillId="24" borderId="139" xfId="0" applyFont="1" applyFill="1" applyBorder="1" applyAlignment="1" applyProtection="1">
      <alignment horizontal="center" vertical="center"/>
    </xf>
    <xf numFmtId="0" fontId="90" fillId="0" borderId="8" xfId="0" applyFont="1" applyBorder="1" applyAlignment="1" applyProtection="1">
      <alignment horizontal="left" vertical="top" wrapText="1"/>
      <protection locked="0"/>
    </xf>
    <xf numFmtId="0" fontId="90" fillId="0" borderId="3" xfId="0" applyFont="1" applyBorder="1" applyAlignment="1" applyProtection="1">
      <alignment horizontal="left" vertical="top" wrapText="1"/>
      <protection locked="0"/>
    </xf>
    <xf numFmtId="0" fontId="90" fillId="0" borderId="4" xfId="0" applyFont="1" applyBorder="1" applyAlignment="1" applyProtection="1">
      <alignment horizontal="left" vertical="top" wrapText="1"/>
      <protection locked="0"/>
    </xf>
    <xf numFmtId="0" fontId="90" fillId="0" borderId="7" xfId="0" applyFont="1" applyBorder="1" applyAlignment="1" applyProtection="1">
      <alignment horizontal="left" vertical="top" wrapText="1"/>
      <protection locked="0"/>
    </xf>
    <xf numFmtId="0" fontId="90" fillId="0" borderId="0" xfId="0" applyFont="1" applyBorder="1" applyAlignment="1" applyProtection="1">
      <alignment horizontal="left" vertical="top" wrapText="1"/>
      <protection locked="0"/>
    </xf>
    <xf numFmtId="0" fontId="90" fillId="0" borderId="5" xfId="0" applyFont="1" applyBorder="1" applyAlignment="1" applyProtection="1">
      <alignment horizontal="left" vertical="top" wrapText="1"/>
      <protection locked="0"/>
    </xf>
    <xf numFmtId="0" fontId="90" fillId="0" borderId="9" xfId="0" applyFont="1" applyBorder="1" applyAlignment="1" applyProtection="1">
      <alignment horizontal="left" vertical="top" wrapText="1"/>
      <protection locked="0"/>
    </xf>
    <xf numFmtId="0" fontId="90" fillId="0" borderId="6" xfId="0" applyFont="1" applyBorder="1" applyAlignment="1" applyProtection="1">
      <alignment horizontal="left" vertical="top" wrapText="1"/>
      <protection locked="0"/>
    </xf>
    <xf numFmtId="0" fontId="90" fillId="0" borderId="10" xfId="0" applyFont="1" applyBorder="1" applyAlignment="1" applyProtection="1">
      <alignment horizontal="left" vertical="top" wrapText="1"/>
      <protection locked="0"/>
    </xf>
    <xf numFmtId="0" fontId="143" fillId="18" borderId="174" xfId="0" applyFont="1" applyFill="1" applyBorder="1" applyAlignment="1">
      <alignment horizontal="center" vertical="center" shrinkToFit="1"/>
    </xf>
    <xf numFmtId="0" fontId="143" fillId="18" borderId="175" xfId="0" applyFont="1" applyFill="1" applyBorder="1" applyAlignment="1">
      <alignment horizontal="center" vertical="center" shrinkToFit="1"/>
    </xf>
    <xf numFmtId="0" fontId="100" fillId="0" borderId="0" xfId="0" applyFont="1" applyBorder="1" applyAlignment="1" applyProtection="1">
      <alignment horizontal="center" vertical="center"/>
    </xf>
    <xf numFmtId="38" fontId="89" fillId="0" borderId="102" xfId="0" applyNumberFormat="1" applyFont="1" applyBorder="1" applyAlignment="1" applyProtection="1">
      <alignment horizontal="left" vertical="top" wrapText="1"/>
      <protection locked="0"/>
    </xf>
    <xf numFmtId="0" fontId="89" fillId="0" borderId="103" xfId="0" applyFont="1" applyBorder="1" applyAlignment="1" applyProtection="1">
      <alignment wrapText="1"/>
      <protection locked="0"/>
    </xf>
    <xf numFmtId="0" fontId="89" fillId="0" borderId="104" xfId="0" applyFont="1" applyBorder="1" applyAlignment="1" applyProtection="1">
      <alignment wrapText="1"/>
      <protection locked="0"/>
    </xf>
    <xf numFmtId="0" fontId="89" fillId="0" borderId="105" xfId="0" applyFont="1" applyBorder="1" applyAlignment="1" applyProtection="1">
      <alignment wrapText="1"/>
      <protection locked="0"/>
    </xf>
    <xf numFmtId="0" fontId="89" fillId="0" borderId="0" xfId="0" applyFont="1" applyAlignment="1" applyProtection="1">
      <alignment wrapText="1"/>
      <protection locked="0"/>
    </xf>
    <xf numFmtId="0" fontId="89" fillId="0" borderId="106" xfId="0" applyFont="1" applyBorder="1" applyAlignment="1" applyProtection="1">
      <alignment wrapText="1"/>
      <protection locked="0"/>
    </xf>
    <xf numFmtId="0" fontId="89" fillId="0" borderId="107" xfId="0" applyFont="1" applyBorder="1" applyAlignment="1" applyProtection="1">
      <alignment wrapText="1"/>
      <protection locked="0"/>
    </xf>
    <xf numFmtId="0" fontId="89" fillId="0" borderId="108" xfId="0" applyFont="1" applyBorder="1" applyAlignment="1" applyProtection="1">
      <alignment wrapText="1"/>
      <protection locked="0"/>
    </xf>
    <xf numFmtId="0" fontId="89" fillId="0" borderId="109" xfId="0" applyFont="1" applyBorder="1" applyAlignment="1" applyProtection="1">
      <alignment wrapText="1"/>
      <protection locked="0"/>
    </xf>
    <xf numFmtId="0" fontId="115" fillId="0" borderId="0" xfId="0" applyNumberFormat="1" applyFont="1" applyBorder="1" applyAlignment="1" applyProtection="1">
      <alignment horizontal="left" vertical="center" wrapText="1"/>
    </xf>
    <xf numFmtId="0" fontId="90" fillId="0" borderId="0" xfId="0" applyFont="1" applyAlignment="1">
      <alignment horizontal="left" vertical="center" wrapText="1"/>
    </xf>
    <xf numFmtId="166" fontId="94" fillId="0" borderId="0" xfId="0" applyNumberFormat="1" applyFont="1" applyBorder="1" applyAlignment="1" applyProtection="1">
      <alignment horizontal="left" vertical="center"/>
    </xf>
    <xf numFmtId="166" fontId="96" fillId="0" borderId="0" xfId="0" applyNumberFormat="1" applyFont="1" applyAlignment="1">
      <alignment horizontal="left" vertical="center"/>
    </xf>
    <xf numFmtId="0" fontId="94" fillId="0" borderId="0" xfId="0" applyFont="1" applyBorder="1" applyAlignment="1" applyProtection="1">
      <alignment wrapText="1"/>
    </xf>
    <xf numFmtId="0" fontId="94" fillId="0" borderId="0" xfId="0" applyFont="1" applyAlignment="1" applyProtection="1">
      <alignment horizontal="left" vertical="center"/>
    </xf>
    <xf numFmtId="0" fontId="94" fillId="0" borderId="0" xfId="0" applyFont="1" applyAlignment="1">
      <alignment horizontal="left" vertical="center"/>
    </xf>
    <xf numFmtId="0" fontId="94" fillId="0" borderId="0" xfId="0" applyFont="1" applyBorder="1" applyAlignment="1" applyProtection="1">
      <alignment vertical="top" wrapText="1"/>
    </xf>
    <xf numFmtId="0" fontId="94" fillId="0" borderId="0" xfId="0" applyFont="1" applyAlignment="1">
      <alignment wrapText="1"/>
    </xf>
    <xf numFmtId="0" fontId="103" fillId="0" borderId="0" xfId="0" applyFont="1" applyAlignment="1">
      <alignment horizontal="center" vertical="center"/>
    </xf>
    <xf numFmtId="0" fontId="96" fillId="0" borderId="0" xfId="0" applyFont="1" applyAlignment="1">
      <alignment horizontal="center" vertical="center"/>
    </xf>
    <xf numFmtId="0" fontId="91" fillId="0" borderId="0" xfId="2" applyFont="1" applyAlignment="1" applyProtection="1">
      <alignment horizontal="center" vertical="center"/>
    </xf>
    <xf numFmtId="0" fontId="89" fillId="0" borderId="4" xfId="0" applyFont="1" applyFill="1" applyBorder="1" applyAlignment="1" applyProtection="1">
      <alignment horizontal="center" vertical="center" wrapText="1"/>
    </xf>
    <xf numFmtId="0" fontId="89" fillId="0" borderId="10" xfId="0" applyFont="1" applyFill="1" applyBorder="1" applyAlignment="1" applyProtection="1">
      <alignment horizontal="center" vertical="center" wrapText="1"/>
    </xf>
    <xf numFmtId="3" fontId="95" fillId="14" borderId="23" xfId="0" applyNumberFormat="1" applyFont="1" applyFill="1" applyBorder="1" applyAlignment="1" applyProtection="1">
      <alignment horizontal="left" vertical="center"/>
    </xf>
    <xf numFmtId="3" fontId="95" fillId="14" borderId="19" xfId="0" applyNumberFormat="1" applyFont="1" applyFill="1" applyBorder="1" applyAlignment="1" applyProtection="1">
      <alignment horizontal="left" vertical="center"/>
    </xf>
    <xf numFmtId="164" fontId="95" fillId="14" borderId="20" xfId="0" applyNumberFormat="1" applyFont="1" applyFill="1" applyBorder="1" applyAlignment="1" applyProtection="1">
      <alignment horizontal="left" vertical="center"/>
    </xf>
    <xf numFmtId="164" fontId="95" fillId="14" borderId="21" xfId="0" applyNumberFormat="1" applyFont="1" applyFill="1" applyBorder="1" applyAlignment="1" applyProtection="1">
      <alignment horizontal="left" vertical="center"/>
    </xf>
    <xf numFmtId="0" fontId="95" fillId="14" borderId="62" xfId="0" applyFont="1" applyFill="1" applyBorder="1" applyAlignment="1" applyProtection="1">
      <alignment horizontal="left" vertical="center"/>
    </xf>
    <xf numFmtId="0" fontId="95" fillId="14" borderId="21" xfId="0" applyFont="1" applyFill="1" applyBorder="1" applyAlignment="1" applyProtection="1">
      <alignment horizontal="left" vertical="center"/>
    </xf>
    <xf numFmtId="164" fontId="95" fillId="14" borderId="23" xfId="0" applyNumberFormat="1" applyFont="1" applyFill="1" applyBorder="1" applyAlignment="1" applyProtection="1">
      <alignment horizontal="left" vertical="center"/>
    </xf>
    <xf numFmtId="164" fontId="95" fillId="14" borderId="19" xfId="0" applyNumberFormat="1" applyFont="1" applyFill="1" applyBorder="1" applyAlignment="1" applyProtection="1">
      <alignment horizontal="left" vertical="center"/>
    </xf>
    <xf numFmtId="49" fontId="95" fillId="14" borderId="23" xfId="0" applyNumberFormat="1" applyFont="1" applyFill="1" applyBorder="1" applyAlignment="1" applyProtection="1">
      <alignment horizontal="left" vertical="center"/>
    </xf>
    <xf numFmtId="49" fontId="95" fillId="14" borderId="19" xfId="0" applyNumberFormat="1" applyFont="1" applyFill="1" applyBorder="1" applyAlignment="1" applyProtection="1">
      <alignment horizontal="left" vertical="center"/>
    </xf>
    <xf numFmtId="0" fontId="95" fillId="14" borderId="23" xfId="0" applyFont="1" applyFill="1" applyBorder="1" applyAlignment="1" applyProtection="1">
      <alignment vertical="center"/>
    </xf>
    <xf numFmtId="0" fontId="95" fillId="14" borderId="19" xfId="0" applyFont="1" applyFill="1" applyBorder="1" applyAlignment="1" applyProtection="1">
      <alignment vertical="center"/>
    </xf>
    <xf numFmtId="164" fontId="95" fillId="16" borderId="23" xfId="0" applyNumberFormat="1" applyFont="1" applyFill="1" applyBorder="1" applyAlignment="1" applyProtection="1">
      <alignment horizontal="left" vertical="center" wrapText="1" indent="2"/>
    </xf>
    <xf numFmtId="164" fontId="95" fillId="16" borderId="19" xfId="0" applyNumberFormat="1" applyFont="1" applyFill="1" applyBorder="1" applyAlignment="1" applyProtection="1">
      <alignment horizontal="left" vertical="center" wrapText="1" indent="2"/>
    </xf>
    <xf numFmtId="164" fontId="95" fillId="10" borderId="23" xfId="0" applyNumberFormat="1" applyFont="1" applyFill="1" applyBorder="1" applyAlignment="1" applyProtection="1">
      <alignment horizontal="left" vertical="center" wrapText="1"/>
    </xf>
    <xf numFmtId="164" fontId="95" fillId="10" borderId="19" xfId="0" applyNumberFormat="1" applyFont="1" applyFill="1" applyBorder="1" applyAlignment="1" applyProtection="1">
      <alignment horizontal="left" vertical="center" wrapText="1"/>
    </xf>
    <xf numFmtId="164" fontId="95" fillId="2" borderId="23" xfId="0" applyNumberFormat="1" applyFont="1" applyFill="1" applyBorder="1" applyAlignment="1" applyProtection="1">
      <alignment horizontal="left" vertical="center" wrapText="1" indent="1"/>
    </xf>
    <xf numFmtId="164" fontId="95" fillId="2" borderId="19" xfId="0" applyNumberFormat="1" applyFont="1" applyFill="1" applyBorder="1" applyAlignment="1" applyProtection="1">
      <alignment horizontal="left" vertical="center" wrapText="1" indent="1"/>
    </xf>
    <xf numFmtId="164" fontId="95" fillId="16" borderId="61" xfId="0" applyNumberFormat="1" applyFont="1" applyFill="1" applyBorder="1" applyAlignment="1" applyProtection="1">
      <alignment horizontal="left" vertical="center" wrapText="1" indent="2"/>
    </xf>
    <xf numFmtId="164" fontId="95" fillId="16" borderId="64" xfId="0" applyNumberFormat="1" applyFont="1" applyFill="1" applyBorder="1" applyAlignment="1" applyProtection="1">
      <alignment horizontal="left" vertical="center" wrapText="1" indent="2"/>
    </xf>
    <xf numFmtId="0" fontId="95" fillId="16" borderId="60" xfId="0" applyFont="1" applyFill="1" applyBorder="1" applyAlignment="1" applyProtection="1">
      <alignment horizontal="left" vertical="center" indent="2"/>
    </xf>
    <xf numFmtId="0" fontId="95" fillId="16" borderId="67" xfId="0" applyFont="1" applyFill="1" applyBorder="1" applyAlignment="1" applyProtection="1">
      <alignment horizontal="left" vertical="center" indent="2"/>
    </xf>
    <xf numFmtId="0" fontId="95" fillId="16" borderId="66" xfId="0" applyFont="1" applyFill="1" applyBorder="1" applyAlignment="1" applyProtection="1">
      <alignment horizontal="left" vertical="center" indent="2"/>
      <protection hidden="1"/>
    </xf>
    <xf numFmtId="0" fontId="95" fillId="16" borderId="64" xfId="0" applyFont="1" applyFill="1" applyBorder="1" applyAlignment="1" applyProtection="1">
      <alignment horizontal="left" vertical="center" indent="2"/>
      <protection hidden="1"/>
    </xf>
    <xf numFmtId="0" fontId="94" fillId="16" borderId="60" xfId="0" applyFont="1" applyFill="1" applyBorder="1" applyAlignment="1" applyProtection="1">
      <alignment horizontal="left" vertical="center" wrapText="1" indent="2"/>
    </xf>
    <xf numFmtId="0" fontId="96" fillId="16" borderId="67" xfId="0" applyFont="1" applyFill="1" applyBorder="1" applyAlignment="1">
      <alignment horizontal="left" wrapText="1" indent="2"/>
    </xf>
    <xf numFmtId="3" fontId="95" fillId="0" borderId="4" xfId="0" applyNumberFormat="1" applyFont="1" applyBorder="1" applyAlignment="1" applyProtection="1">
      <alignment horizontal="center" vertical="center" wrapText="1"/>
    </xf>
    <xf numFmtId="3" fontId="95" fillId="0" borderId="10" xfId="0" applyNumberFormat="1" applyFont="1" applyBorder="1" applyAlignment="1" applyProtection="1">
      <alignment horizontal="center" vertical="center" wrapText="1"/>
    </xf>
    <xf numFmtId="0" fontId="95" fillId="16" borderId="62" xfId="0" applyFont="1" applyFill="1" applyBorder="1" applyAlignment="1" applyProtection="1">
      <alignment horizontal="left" vertical="center" indent="1"/>
    </xf>
    <xf numFmtId="0" fontId="95" fillId="16" borderId="21" xfId="0" applyFont="1" applyFill="1" applyBorder="1" applyAlignment="1" applyProtection="1">
      <alignment horizontal="left" vertical="center" indent="1"/>
    </xf>
    <xf numFmtId="0" fontId="94" fillId="0" borderId="14" xfId="0" applyFont="1" applyBorder="1" applyAlignment="1" applyProtection="1">
      <alignment horizontal="left" vertical="center" indent="1"/>
    </xf>
    <xf numFmtId="0" fontId="94" fillId="0" borderId="19" xfId="0" applyFont="1" applyBorder="1" applyAlignment="1" applyProtection="1">
      <alignment horizontal="left" vertical="center" indent="1"/>
    </xf>
    <xf numFmtId="164" fontId="95" fillId="26" borderId="23" xfId="0" applyNumberFormat="1" applyFont="1" applyFill="1" applyBorder="1" applyAlignment="1" applyProtection="1">
      <alignment horizontal="left" vertical="center" wrapText="1" indent="1"/>
    </xf>
    <xf numFmtId="164" fontId="95" fillId="26" borderId="19" xfId="0" applyNumberFormat="1" applyFont="1" applyFill="1" applyBorder="1" applyAlignment="1" applyProtection="1">
      <alignment horizontal="left" vertical="center" wrapText="1" indent="1"/>
    </xf>
    <xf numFmtId="164" fontId="95" fillId="27" borderId="23" xfId="0" applyNumberFormat="1" applyFont="1" applyFill="1" applyBorder="1" applyAlignment="1" applyProtection="1">
      <alignment horizontal="left" vertical="center" wrapText="1" indent="1"/>
    </xf>
    <xf numFmtId="164" fontId="95" fillId="27" borderId="19" xfId="0" applyNumberFormat="1" applyFont="1" applyFill="1" applyBorder="1" applyAlignment="1" applyProtection="1">
      <alignment horizontal="left" vertical="center" wrapText="1" indent="1"/>
    </xf>
    <xf numFmtId="0" fontId="95" fillId="16" borderId="45" xfId="0" applyFont="1" applyFill="1" applyBorder="1" applyAlignment="1" applyProtection="1">
      <alignment horizontal="left" vertical="center" indent="1"/>
    </xf>
    <xf numFmtId="0" fontId="96" fillId="16" borderId="65" xfId="0" applyFont="1" applyFill="1" applyBorder="1" applyAlignment="1">
      <alignment horizontal="left" vertical="center" indent="1"/>
    </xf>
    <xf numFmtId="0" fontId="95" fillId="10" borderId="14" xfId="0" applyFont="1" applyFill="1" applyBorder="1" applyAlignment="1">
      <alignment horizontal="left" vertical="center" wrapText="1"/>
    </xf>
    <xf numFmtId="0" fontId="96" fillId="10" borderId="19" xfId="0" applyFont="1" applyFill="1" applyBorder="1" applyAlignment="1">
      <alignment horizontal="left" vertical="center" wrapText="1"/>
    </xf>
    <xf numFmtId="0" fontId="95" fillId="10" borderId="62" xfId="0" applyFont="1" applyFill="1" applyBorder="1" applyAlignment="1">
      <alignment vertical="top" wrapText="1"/>
    </xf>
    <xf numFmtId="0" fontId="96" fillId="10" borderId="21" xfId="0" applyFont="1" applyFill="1" applyBorder="1" applyAlignment="1">
      <alignment vertical="top" wrapText="1"/>
    </xf>
    <xf numFmtId="0" fontId="95" fillId="16" borderId="66" xfId="0" applyFont="1" applyFill="1" applyBorder="1" applyAlignment="1" applyProtection="1">
      <alignment horizontal="left" vertical="top" wrapText="1" indent="1"/>
    </xf>
    <xf numFmtId="0" fontId="96" fillId="16" borderId="64" xfId="0" applyFont="1" applyFill="1" applyBorder="1" applyAlignment="1">
      <alignment horizontal="left" vertical="top" wrapText="1" indent="1"/>
    </xf>
    <xf numFmtId="0" fontId="95" fillId="16" borderId="66" xfId="0" applyFont="1" applyFill="1" applyBorder="1" applyAlignment="1" applyProtection="1">
      <alignment horizontal="left" vertical="top" indent="1"/>
    </xf>
    <xf numFmtId="0" fontId="96" fillId="16" borderId="64" xfId="0" applyFont="1" applyFill="1" applyBorder="1" applyAlignment="1">
      <alignment horizontal="left" vertical="top" indent="1"/>
    </xf>
    <xf numFmtId="0" fontId="95" fillId="10" borderId="62" xfId="0" applyFont="1" applyFill="1" applyBorder="1" applyAlignment="1">
      <alignment vertical="center" wrapText="1"/>
    </xf>
    <xf numFmtId="0" fontId="96" fillId="10" borderId="21" xfId="0" applyFont="1" applyFill="1" applyBorder="1" applyAlignment="1">
      <alignment vertical="center" wrapText="1"/>
    </xf>
    <xf numFmtId="3" fontId="95" fillId="16" borderId="20" xfId="0" applyNumberFormat="1" applyFont="1" applyFill="1" applyBorder="1" applyAlignment="1">
      <alignment horizontal="left" vertical="top" indent="1"/>
    </xf>
    <xf numFmtId="3" fontId="95" fillId="16" borderId="21" xfId="0" applyNumberFormat="1" applyFont="1" applyFill="1" applyBorder="1" applyAlignment="1">
      <alignment horizontal="left" vertical="top" indent="1"/>
    </xf>
    <xf numFmtId="3" fontId="95" fillId="16" borderId="66" xfId="0" applyNumberFormat="1" applyFont="1" applyFill="1" applyBorder="1" applyAlignment="1">
      <alignment horizontal="left" vertical="top" indent="1"/>
    </xf>
    <xf numFmtId="0" fontId="94" fillId="16" borderId="64" xfId="0" applyFont="1" applyFill="1" applyBorder="1" applyAlignment="1">
      <alignment horizontal="left" vertical="top" indent="1"/>
    </xf>
    <xf numFmtId="3" fontId="95" fillId="0" borderId="74" xfId="0" applyNumberFormat="1" applyFont="1" applyBorder="1" applyAlignment="1">
      <alignment horizontal="left" vertical="top" wrapText="1" indent="1"/>
    </xf>
    <xf numFmtId="0" fontId="96" fillId="0" borderId="77" xfId="0" applyFont="1" applyBorder="1" applyAlignment="1">
      <alignment horizontal="left" vertical="top" wrapText="1" indent="1"/>
    </xf>
    <xf numFmtId="0" fontId="105" fillId="14" borderId="6" xfId="0" applyFont="1" applyFill="1" applyBorder="1" applyAlignment="1">
      <alignment horizontal="center" vertical="center" wrapText="1"/>
    </xf>
    <xf numFmtId="0" fontId="96" fillId="14" borderId="10" xfId="0" applyFont="1" applyFill="1" applyBorder="1" applyAlignment="1">
      <alignment horizontal="center" vertical="center" wrapText="1"/>
    </xf>
    <xf numFmtId="3" fontId="105" fillId="14" borderId="23" xfId="0" applyNumberFormat="1" applyFont="1" applyFill="1" applyBorder="1" applyAlignment="1">
      <alignment horizontal="center" vertical="center"/>
    </xf>
    <xf numFmtId="0" fontId="96" fillId="14" borderId="19" xfId="0" applyFont="1" applyFill="1" applyBorder="1" applyAlignment="1">
      <alignment horizontal="center" vertical="center"/>
    </xf>
    <xf numFmtId="0" fontId="105" fillId="14" borderId="14" xfId="0" applyFont="1" applyFill="1" applyBorder="1" applyAlignment="1">
      <alignment horizontal="center" vertical="center"/>
    </xf>
    <xf numFmtId="3" fontId="95" fillId="0" borderId="5" xfId="0" applyNumberFormat="1" applyFont="1" applyBorder="1" applyAlignment="1" applyProtection="1">
      <alignment horizontal="center" vertical="center" wrapText="1"/>
    </xf>
    <xf numFmtId="0" fontId="105" fillId="14" borderId="9" xfId="0" applyFont="1" applyFill="1" applyBorder="1" applyAlignment="1">
      <alignment horizontal="center" vertical="center"/>
    </xf>
    <xf numFmtId="0" fontId="96" fillId="14" borderId="10" xfId="0" applyFont="1" applyFill="1" applyBorder="1" applyAlignment="1">
      <alignment horizontal="center" vertical="center"/>
    </xf>
    <xf numFmtId="0" fontId="105" fillId="19" borderId="6" xfId="0" applyFont="1" applyFill="1" applyBorder="1" applyAlignment="1">
      <alignment horizontal="center" vertical="center"/>
    </xf>
    <xf numFmtId="0" fontId="105" fillId="19" borderId="10" xfId="0" applyFont="1" applyFill="1" applyBorder="1" applyAlignment="1">
      <alignment horizontal="center" vertical="center"/>
    </xf>
    <xf numFmtId="0" fontId="96" fillId="19" borderId="10" xfId="0" applyFont="1" applyFill="1" applyBorder="1" applyAlignment="1">
      <alignment horizontal="center" vertical="center"/>
    </xf>
    <xf numFmtId="0" fontId="105" fillId="14" borderId="152" xfId="0" applyFont="1" applyFill="1" applyBorder="1" applyAlignment="1">
      <alignment horizontal="center" vertical="center"/>
    </xf>
    <xf numFmtId="0" fontId="96" fillId="14" borderId="145" xfId="0" applyFont="1" applyFill="1" applyBorder="1" applyAlignment="1">
      <alignment horizontal="center" vertical="center"/>
    </xf>
    <xf numFmtId="0" fontId="105" fillId="14" borderId="6" xfId="0" applyFont="1" applyFill="1" applyBorder="1" applyAlignment="1">
      <alignment horizontal="center" vertical="center"/>
    </xf>
    <xf numFmtId="3" fontId="95" fillId="16" borderId="62" xfId="0" applyNumberFormat="1" applyFont="1" applyFill="1" applyBorder="1" applyAlignment="1">
      <alignment horizontal="left" vertical="top" wrapText="1" indent="1"/>
    </xf>
    <xf numFmtId="0" fontId="96" fillId="16" borderId="21" xfId="0" applyFont="1" applyFill="1" applyBorder="1" applyAlignment="1">
      <alignment horizontal="left" vertical="top" wrapText="1"/>
    </xf>
    <xf numFmtId="3" fontId="95" fillId="16" borderId="74" xfId="0" applyNumberFormat="1" applyFont="1" applyFill="1" applyBorder="1" applyAlignment="1">
      <alignment horizontal="left" vertical="top" wrapText="1" indent="1"/>
    </xf>
    <xf numFmtId="0" fontId="96" fillId="16" borderId="77" xfId="0" applyFont="1" applyFill="1" applyBorder="1" applyAlignment="1">
      <alignment horizontal="left" vertical="top" wrapText="1" indent="1"/>
    </xf>
    <xf numFmtId="3" fontId="95" fillId="16" borderId="45" xfId="0" applyNumberFormat="1" applyFont="1" applyFill="1" applyBorder="1" applyAlignment="1">
      <alignment horizontal="left" vertical="top" wrapText="1" indent="1"/>
    </xf>
    <xf numFmtId="0" fontId="94" fillId="16" borderId="65" xfId="0" applyFont="1" applyFill="1" applyBorder="1" applyAlignment="1">
      <alignment horizontal="left" vertical="top" wrapText="1" indent="1"/>
    </xf>
    <xf numFmtId="3" fontId="95" fillId="16" borderId="66" xfId="0" applyNumberFormat="1" applyFont="1" applyFill="1" applyBorder="1" applyAlignment="1">
      <alignment horizontal="left" vertical="top" wrapText="1" indent="1"/>
    </xf>
    <xf numFmtId="3" fontId="95" fillId="15" borderId="4" xfId="0" applyNumberFormat="1" applyFont="1" applyFill="1" applyBorder="1" applyAlignment="1" applyProtection="1">
      <alignment horizontal="center" vertical="center" wrapText="1"/>
    </xf>
    <xf numFmtId="3" fontId="95" fillId="15" borderId="10" xfId="0" applyNumberFormat="1" applyFont="1" applyFill="1" applyBorder="1" applyAlignment="1" applyProtection="1">
      <alignment horizontal="center" vertical="center" wrapText="1"/>
    </xf>
    <xf numFmtId="49" fontId="113" fillId="2" borderId="9" xfId="0" applyNumberFormat="1" applyFont="1" applyFill="1" applyBorder="1" applyAlignment="1" applyProtection="1">
      <alignment horizontal="left" vertical="center" wrapText="1"/>
    </xf>
    <xf numFmtId="0" fontId="90" fillId="0" borderId="6" xfId="0" applyFont="1" applyBorder="1" applyAlignment="1">
      <alignment horizontal="left" vertical="center" wrapText="1"/>
    </xf>
    <xf numFmtId="0" fontId="90" fillId="0" borderId="10" xfId="0" applyFont="1" applyBorder="1" applyAlignment="1">
      <alignment horizontal="left" vertical="center" wrapText="1"/>
    </xf>
    <xf numFmtId="49" fontId="94" fillId="0" borderId="23" xfId="0" applyNumberFormat="1" applyFont="1" applyBorder="1" applyAlignment="1" applyProtection="1">
      <alignment horizontal="left" vertical="center" wrapText="1" indent="1"/>
    </xf>
    <xf numFmtId="0" fontId="96" fillId="0" borderId="19" xfId="0" applyFont="1" applyBorder="1" applyAlignment="1">
      <alignment horizontal="left" vertical="center" wrapText="1" indent="1"/>
    </xf>
    <xf numFmtId="49" fontId="95" fillId="16" borderId="23" xfId="0" applyNumberFormat="1" applyFont="1" applyFill="1" applyBorder="1" applyAlignment="1" applyProtection="1">
      <alignment horizontal="left" vertical="center" wrapText="1" indent="1"/>
    </xf>
    <xf numFmtId="0" fontId="96" fillId="16" borderId="19" xfId="0" applyFont="1" applyFill="1" applyBorder="1" applyAlignment="1">
      <alignment horizontal="left" vertical="center" wrapText="1" indent="1"/>
    </xf>
    <xf numFmtId="49" fontId="95" fillId="2" borderId="23" xfId="0" applyNumberFormat="1" applyFont="1" applyFill="1" applyBorder="1" applyAlignment="1" applyProtection="1">
      <alignment horizontal="left" vertical="center" wrapText="1"/>
    </xf>
    <xf numFmtId="0" fontId="96" fillId="2" borderId="19" xfId="0" applyFont="1" applyFill="1" applyBorder="1" applyAlignment="1">
      <alignment horizontal="left" vertical="center" wrapText="1"/>
    </xf>
    <xf numFmtId="49" fontId="95" fillId="16" borderId="23" xfId="0" applyNumberFormat="1" applyFont="1" applyFill="1" applyBorder="1" applyAlignment="1" applyProtection="1">
      <alignment horizontal="left" vertical="center" indent="1"/>
    </xf>
    <xf numFmtId="0" fontId="96" fillId="16" borderId="19" xfId="0" applyFont="1" applyFill="1" applyBorder="1" applyAlignment="1">
      <alignment horizontal="left" vertical="center" indent="1"/>
    </xf>
    <xf numFmtId="0" fontId="105" fillId="17" borderId="23" xfId="16" applyFont="1" applyFill="1" applyBorder="1" applyAlignment="1">
      <alignment horizontal="center" vertical="center"/>
    </xf>
    <xf numFmtId="0" fontId="96" fillId="17" borderId="19" xfId="0" applyFont="1" applyFill="1" applyBorder="1" applyAlignment="1">
      <alignment horizontal="center" vertical="center"/>
    </xf>
    <xf numFmtId="49" fontId="95" fillId="2" borderId="23" xfId="0" applyNumberFormat="1" applyFont="1" applyFill="1" applyBorder="1" applyAlignment="1" applyProtection="1">
      <alignment horizontal="left" vertical="center"/>
    </xf>
    <xf numFmtId="49" fontId="95" fillId="2" borderId="19" xfId="0" applyNumberFormat="1" applyFont="1" applyFill="1" applyBorder="1" applyAlignment="1" applyProtection="1">
      <alignment horizontal="left" vertical="center"/>
    </xf>
    <xf numFmtId="0" fontId="94" fillId="0" borderId="0" xfId="16" applyFont="1" applyFill="1" applyAlignment="1">
      <alignment wrapText="1"/>
    </xf>
    <xf numFmtId="0" fontId="96" fillId="0" borderId="0" xfId="0" applyFont="1" applyAlignment="1">
      <alignment wrapText="1"/>
    </xf>
    <xf numFmtId="0" fontId="90" fillId="0" borderId="28" xfId="16" applyFont="1" applyFill="1" applyBorder="1" applyAlignment="1" applyProtection="1">
      <protection locked="0"/>
    </xf>
    <xf numFmtId="0" fontId="90" fillId="0" borderId="28" xfId="0" applyFont="1" applyBorder="1" applyAlignment="1"/>
    <xf numFmtId="0" fontId="90" fillId="0" borderId="33" xfId="16" applyFont="1" applyFill="1" applyBorder="1" applyAlignment="1" applyProtection="1">
      <protection locked="0"/>
    </xf>
    <xf numFmtId="0" fontId="90" fillId="0" borderId="33" xfId="0" applyFont="1" applyBorder="1" applyAlignment="1"/>
    <xf numFmtId="0" fontId="95" fillId="2" borderId="23" xfId="0" applyFont="1" applyFill="1" applyBorder="1" applyAlignment="1" applyProtection="1">
      <alignment horizontal="left" vertical="center" wrapText="1"/>
    </xf>
    <xf numFmtId="49" fontId="105" fillId="17" borderId="23" xfId="0" applyNumberFormat="1" applyFont="1" applyFill="1" applyBorder="1" applyAlignment="1" applyProtection="1">
      <alignment horizontal="center" vertical="center"/>
    </xf>
    <xf numFmtId="49" fontId="104" fillId="2" borderId="9" xfId="0" applyNumberFormat="1" applyFont="1" applyFill="1" applyBorder="1" applyAlignment="1" applyProtection="1">
      <alignment horizontal="left" vertical="center" wrapText="1"/>
    </xf>
    <xf numFmtId="0" fontId="96" fillId="0" borderId="6" xfId="0" applyFont="1" applyBorder="1" applyAlignment="1">
      <alignment horizontal="left" vertical="center" wrapText="1"/>
    </xf>
    <xf numFmtId="0" fontId="96" fillId="0" borderId="10" xfId="0" applyFont="1" applyBorder="1" applyAlignment="1">
      <alignment horizontal="left" vertical="center" wrapText="1"/>
    </xf>
    <xf numFmtId="164" fontId="95" fillId="2" borderId="23" xfId="0" applyNumberFormat="1" applyFont="1" applyFill="1" applyBorder="1" applyAlignment="1" applyProtection="1">
      <alignment horizontal="left" vertical="center" wrapText="1"/>
    </xf>
    <xf numFmtId="49" fontId="95" fillId="0" borderId="23" xfId="0" applyNumberFormat="1" applyFont="1" applyBorder="1" applyAlignment="1" applyProtection="1">
      <alignment horizontal="center" vertical="center" wrapText="1"/>
    </xf>
    <xf numFmtId="49" fontId="95" fillId="0" borderId="19" xfId="0" applyNumberFormat="1" applyFont="1" applyBorder="1" applyAlignment="1" applyProtection="1">
      <alignment horizontal="center" vertical="center" wrapText="1"/>
    </xf>
    <xf numFmtId="0" fontId="94" fillId="0" borderId="33" xfId="0" applyFont="1" applyBorder="1" applyAlignment="1" applyProtection="1">
      <alignment horizontal="left" vertical="center" wrapText="1" indent="1"/>
    </xf>
    <xf numFmtId="0" fontId="94" fillId="0" borderId="29" xfId="0" applyFont="1" applyBorder="1" applyAlignment="1" applyProtection="1">
      <alignment horizontal="left" vertical="center" wrapText="1" indent="1"/>
    </xf>
    <xf numFmtId="0" fontId="94" fillId="0" borderId="33" xfId="0" applyFont="1" applyBorder="1" applyAlignment="1" applyProtection="1">
      <alignment horizontal="left" vertical="center" indent="1"/>
    </xf>
    <xf numFmtId="0" fontId="96" fillId="0" borderId="33" xfId="0" applyFont="1" applyBorder="1" applyAlignment="1">
      <alignment horizontal="left" indent="1"/>
    </xf>
    <xf numFmtId="0" fontId="96" fillId="0" borderId="29" xfId="0" applyFont="1" applyBorder="1" applyAlignment="1">
      <alignment horizontal="left" indent="1"/>
    </xf>
    <xf numFmtId="0" fontId="95" fillId="3" borderId="33" xfId="0" applyFont="1" applyFill="1" applyBorder="1" applyAlignment="1" applyProtection="1">
      <alignment horizontal="left" vertical="center"/>
    </xf>
    <xf numFmtId="0" fontId="95" fillId="3" borderId="29" xfId="0" applyFont="1" applyFill="1" applyBorder="1" applyAlignment="1" applyProtection="1">
      <alignment horizontal="left" vertical="center"/>
    </xf>
    <xf numFmtId="0" fontId="105" fillId="17" borderId="32" xfId="0" applyFont="1" applyFill="1" applyBorder="1" applyAlignment="1" applyProtection="1">
      <alignment horizontal="left" vertical="center" wrapText="1"/>
    </xf>
    <xf numFmtId="0" fontId="96" fillId="17" borderId="33" xfId="0" applyFont="1" applyFill="1" applyBorder="1" applyAlignment="1">
      <alignment horizontal="left" wrapText="1"/>
    </xf>
    <xf numFmtId="0" fontId="96" fillId="17" borderId="29" xfId="0" applyFont="1" applyFill="1" applyBorder="1" applyAlignment="1">
      <alignment horizontal="left" wrapText="1"/>
    </xf>
    <xf numFmtId="0" fontId="94" fillId="0" borderId="32" xfId="0" applyFont="1" applyBorder="1" applyAlignment="1" applyProtection="1">
      <alignment horizontal="left" vertical="center" wrapText="1" indent="1"/>
    </xf>
    <xf numFmtId="0" fontId="96" fillId="0" borderId="29" xfId="0" applyFont="1" applyBorder="1" applyAlignment="1">
      <alignment horizontal="left" wrapText="1" indent="1"/>
    </xf>
    <xf numFmtId="0" fontId="94" fillId="0" borderId="29" xfId="0" applyFont="1" applyBorder="1" applyAlignment="1">
      <alignment horizontal="left" wrapText="1" indent="1"/>
    </xf>
    <xf numFmtId="0" fontId="122" fillId="0" borderId="38" xfId="0" applyFont="1" applyBorder="1" applyAlignment="1" applyProtection="1">
      <alignment horizontal="left" wrapText="1" indent="2"/>
    </xf>
    <xf numFmtId="0" fontId="94" fillId="0" borderId="0" xfId="0" applyFont="1" applyAlignment="1">
      <alignment horizontal="left" wrapText="1"/>
    </xf>
    <xf numFmtId="0" fontId="94" fillId="0" borderId="38" xfId="0" applyFont="1" applyBorder="1" applyAlignment="1">
      <alignment horizontal="left" wrapText="1"/>
    </xf>
    <xf numFmtId="0" fontId="94" fillId="0" borderId="28" xfId="0" applyFont="1" applyBorder="1" applyAlignment="1" applyProtection="1">
      <alignment horizontal="left" vertical="center" wrapText="1" indent="1"/>
    </xf>
    <xf numFmtId="0" fontId="96" fillId="0" borderId="34" xfId="0" applyFont="1" applyBorder="1" applyAlignment="1">
      <alignment horizontal="left" wrapText="1" indent="1"/>
    </xf>
    <xf numFmtId="0" fontId="96" fillId="0" borderId="33" xfId="0" applyFont="1" applyBorder="1" applyAlignment="1" applyProtection="1">
      <alignment horizontal="left" vertical="center" wrapText="1" indent="1"/>
    </xf>
    <xf numFmtId="0" fontId="96" fillId="0" borderId="29" xfId="0" applyFont="1" applyBorder="1" applyAlignment="1" applyProtection="1">
      <alignment horizontal="left" vertical="center" wrapText="1" indent="1"/>
    </xf>
    <xf numFmtId="49" fontId="95" fillId="0" borderId="47" xfId="0" applyNumberFormat="1" applyFont="1" applyFill="1" applyBorder="1" applyAlignment="1" applyProtection="1">
      <alignment horizontal="center" vertical="center" wrapText="1"/>
    </xf>
    <xf numFmtId="49" fontId="95" fillId="0" borderId="16" xfId="0" applyNumberFormat="1" applyFont="1" applyFill="1" applyBorder="1" applyAlignment="1" applyProtection="1">
      <alignment horizontal="center" vertical="center" wrapText="1"/>
    </xf>
    <xf numFmtId="0" fontId="96" fillId="0" borderId="48" xfId="0" applyFont="1" applyFill="1" applyBorder="1" applyAlignment="1">
      <alignment wrapText="1"/>
    </xf>
    <xf numFmtId="0" fontId="95" fillId="0" borderId="32" xfId="0" applyFont="1" applyFill="1" applyBorder="1" applyAlignment="1" applyProtection="1">
      <alignment horizontal="left" vertical="center" wrapText="1"/>
      <protection hidden="1"/>
    </xf>
    <xf numFmtId="0" fontId="95" fillId="0" borderId="33" xfId="0" applyFont="1" applyFill="1" applyBorder="1" applyAlignment="1" applyProtection="1">
      <alignment horizontal="left" vertical="center" wrapText="1"/>
      <protection hidden="1"/>
    </xf>
    <xf numFmtId="0" fontId="96" fillId="0" borderId="33" xfId="0" applyFont="1" applyFill="1" applyBorder="1" applyAlignment="1" applyProtection="1">
      <alignment wrapText="1"/>
      <protection hidden="1"/>
    </xf>
    <xf numFmtId="0" fontId="95" fillId="2" borderId="38"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0" xfId="0" applyFont="1" applyFill="1" applyBorder="1" applyAlignment="1" applyProtection="1">
      <alignment horizontal="left" vertical="center" wrapText="1"/>
    </xf>
    <xf numFmtId="0" fontId="95" fillId="2" borderId="111" xfId="0" applyFont="1" applyFill="1" applyBorder="1" applyAlignment="1" applyProtection="1">
      <alignment horizontal="left" vertical="center" wrapText="1"/>
    </xf>
    <xf numFmtId="0" fontId="96" fillId="0" borderId="111" xfId="0" applyFont="1" applyBorder="1" applyAlignment="1">
      <alignment wrapText="1"/>
    </xf>
    <xf numFmtId="0" fontId="95" fillId="16" borderId="69" xfId="0" applyFont="1" applyFill="1" applyBorder="1" applyAlignment="1" applyProtection="1">
      <alignment horizontal="left" vertical="center" indent="1"/>
    </xf>
    <xf numFmtId="0" fontId="95" fillId="16" borderId="80" xfId="0" applyFont="1" applyFill="1" applyBorder="1" applyAlignment="1" applyProtection="1">
      <alignment horizontal="left" vertical="center" indent="1"/>
    </xf>
    <xf numFmtId="0" fontId="95" fillId="16" borderId="112" xfId="0" applyFont="1" applyFill="1" applyBorder="1" applyAlignment="1" applyProtection="1">
      <alignment horizontal="left" vertical="center" indent="1"/>
    </xf>
    <xf numFmtId="0" fontId="95" fillId="16" borderId="33" xfId="0" applyFont="1" applyFill="1" applyBorder="1" applyAlignment="1" applyProtection="1">
      <alignment horizontal="left" vertical="center" indent="1"/>
    </xf>
    <xf numFmtId="0" fontId="95" fillId="16" borderId="32" xfId="0" applyFont="1" applyFill="1" applyBorder="1" applyAlignment="1" applyProtection="1">
      <alignment horizontal="left" vertical="center" indent="1"/>
    </xf>
    <xf numFmtId="0" fontId="95" fillId="16" borderId="32" xfId="0" applyFont="1" applyFill="1" applyBorder="1" applyAlignment="1" applyProtection="1">
      <alignment horizontal="left" vertical="center" indent="1"/>
      <protection hidden="1"/>
    </xf>
    <xf numFmtId="0" fontId="95" fillId="16" borderId="33" xfId="0" applyFont="1" applyFill="1" applyBorder="1" applyAlignment="1" applyProtection="1">
      <alignment horizontal="left" vertical="center" indent="1"/>
      <protection hidden="1"/>
    </xf>
    <xf numFmtId="0" fontId="156" fillId="0" borderId="28" xfId="0" applyFont="1" applyBorder="1" applyAlignment="1">
      <alignment horizontal="left" vertical="center" wrapText="1" indent="1"/>
    </xf>
    <xf numFmtId="0" fontId="96" fillId="0" borderId="28" xfId="0" applyFont="1" applyBorder="1" applyAlignment="1">
      <alignment horizontal="left" vertical="center" wrapText="1" indent="1"/>
    </xf>
    <xf numFmtId="0" fontId="105" fillId="14" borderId="32" xfId="0" applyFont="1" applyFill="1" applyBorder="1" applyAlignment="1" applyProtection="1">
      <alignment horizontal="left" vertical="center" indent="1"/>
    </xf>
    <xf numFmtId="0" fontId="105" fillId="14" borderId="33" xfId="0" applyFont="1" applyFill="1" applyBorder="1" applyAlignment="1" applyProtection="1">
      <alignment horizontal="left" vertical="center" indent="1"/>
    </xf>
    <xf numFmtId="0" fontId="105" fillId="14" borderId="29" xfId="0" applyFont="1" applyFill="1" applyBorder="1" applyAlignment="1" applyProtection="1">
      <alignment horizontal="left" vertical="center" indent="1"/>
    </xf>
    <xf numFmtId="0" fontId="124" fillId="2" borderId="113" xfId="17" applyFont="1" applyFill="1" applyBorder="1" applyAlignment="1">
      <alignment horizontal="center" vertical="center"/>
    </xf>
    <xf numFmtId="0" fontId="132" fillId="0" borderId="114" xfId="0" applyFont="1" applyBorder="1" applyAlignment="1">
      <alignment horizontal="center" vertical="center"/>
    </xf>
    <xf numFmtId="0" fontId="132" fillId="0" borderId="115" xfId="0" applyFont="1" applyBorder="1" applyAlignment="1">
      <alignment horizontal="center" vertical="center"/>
    </xf>
    <xf numFmtId="0" fontId="105" fillId="14" borderId="116" xfId="17" applyFont="1" applyFill="1" applyBorder="1" applyAlignment="1" applyProtection="1">
      <alignment horizontal="center" vertical="center" wrapText="1"/>
      <protection hidden="1"/>
    </xf>
    <xf numFmtId="0" fontId="105" fillId="14" borderId="13" xfId="0" applyFont="1" applyFill="1" applyBorder="1" applyAlignment="1" applyProtection="1">
      <alignment horizontal="center" vertical="center" wrapText="1"/>
      <protection hidden="1"/>
    </xf>
    <xf numFmtId="0" fontId="105" fillId="14" borderId="117" xfId="0" applyFont="1" applyFill="1" applyBorder="1" applyAlignment="1" applyProtection="1">
      <alignment horizontal="center" vertical="center" wrapText="1"/>
      <protection hidden="1"/>
    </xf>
    <xf numFmtId="0" fontId="157" fillId="14" borderId="118" xfId="17" applyFont="1" applyFill="1" applyBorder="1" applyAlignment="1">
      <alignment horizontal="center" vertical="center"/>
    </xf>
    <xf numFmtId="0" fontId="90" fillId="14" borderId="12" xfId="0" applyFont="1" applyFill="1" applyBorder="1" applyAlignment="1">
      <alignment horizontal="center" vertical="center"/>
    </xf>
    <xf numFmtId="0" fontId="90" fillId="14" borderId="119" xfId="0" applyFont="1" applyFill="1" applyBorder="1" applyAlignment="1">
      <alignment horizontal="center" vertical="center"/>
    </xf>
    <xf numFmtId="0" fontId="111" fillId="0" borderId="58" xfId="17" applyFont="1" applyBorder="1" applyAlignment="1">
      <alignment horizontal="center"/>
    </xf>
    <xf numFmtId="0" fontId="96" fillId="0" borderId="58" xfId="0" applyFont="1" applyBorder="1" applyAlignment="1">
      <alignment horizontal="center"/>
    </xf>
    <xf numFmtId="0" fontId="151" fillId="0" borderId="85" xfId="10" applyFont="1" applyFill="1" applyBorder="1" applyAlignment="1" applyProtection="1">
      <alignment horizontal="left" vertical="top" wrapText="1"/>
      <protection hidden="1"/>
    </xf>
    <xf numFmtId="0" fontId="151" fillId="0" borderId="0" xfId="10" applyFont="1" applyFill="1" applyBorder="1" applyAlignment="1" applyProtection="1">
      <alignment horizontal="left" vertical="top" wrapText="1"/>
      <protection hidden="1"/>
    </xf>
    <xf numFmtId="0" fontId="151" fillId="0" borderId="84" xfId="10" applyFont="1" applyFill="1" applyBorder="1" applyAlignment="1" applyProtection="1">
      <alignment horizontal="left" vertical="top" wrapText="1"/>
      <protection hidden="1"/>
    </xf>
    <xf numFmtId="0" fontId="144" fillId="14" borderId="71" xfId="10" applyFont="1" applyFill="1" applyBorder="1" applyAlignment="1">
      <alignment horizontal="center" vertical="center"/>
    </xf>
    <xf numFmtId="0" fontId="144" fillId="14" borderId="72" xfId="10" applyFont="1" applyFill="1" applyBorder="1" applyAlignment="1">
      <alignment horizontal="center" vertical="center"/>
    </xf>
    <xf numFmtId="0" fontId="144" fillId="14" borderId="83" xfId="10" applyFont="1" applyFill="1" applyBorder="1" applyAlignment="1">
      <alignment horizontal="center" vertical="center"/>
    </xf>
    <xf numFmtId="0" fontId="144" fillId="14" borderId="120" xfId="10" applyFont="1" applyFill="1" applyBorder="1" applyAlignment="1">
      <alignment horizontal="center" vertical="center"/>
    </xf>
    <xf numFmtId="0" fontId="144" fillId="14" borderId="15" xfId="10" applyFont="1" applyFill="1" applyBorder="1" applyAlignment="1">
      <alignment horizontal="center" vertical="center"/>
    </xf>
    <xf numFmtId="0" fontId="144" fillId="14" borderId="121" xfId="10" applyFont="1" applyFill="1" applyBorder="1" applyAlignment="1">
      <alignment horizontal="center" vertical="center"/>
    </xf>
    <xf numFmtId="0" fontId="151" fillId="0" borderId="85" xfId="10" applyFont="1" applyBorder="1" applyAlignment="1">
      <alignment vertical="top" wrapText="1"/>
    </xf>
    <xf numFmtId="0" fontId="151" fillId="0" borderId="0" xfId="10" applyFont="1" applyBorder="1" applyAlignment="1">
      <alignment vertical="top" wrapText="1"/>
    </xf>
    <xf numFmtId="0" fontId="151" fillId="0" borderId="84" xfId="10" applyFont="1" applyBorder="1" applyAlignment="1">
      <alignment vertical="top" wrapText="1"/>
    </xf>
    <xf numFmtId="0" fontId="151" fillId="0" borderId="85" xfId="10" applyFont="1" applyBorder="1" applyAlignment="1">
      <alignment vertical="top"/>
    </xf>
    <xf numFmtId="0" fontId="151" fillId="0" borderId="0" xfId="10" applyFont="1" applyBorder="1" applyAlignment="1">
      <alignment vertical="top"/>
    </xf>
    <xf numFmtId="0" fontId="151" fillId="0" borderId="84" xfId="10" applyFont="1" applyBorder="1" applyAlignment="1">
      <alignment vertical="top"/>
    </xf>
    <xf numFmtId="0" fontId="95" fillId="0" borderId="8" xfId="0" applyFont="1" applyFill="1" applyBorder="1" applyAlignment="1" applyProtection="1">
      <alignment horizontal="left" vertical="center" wrapText="1"/>
    </xf>
    <xf numFmtId="0" fontId="96" fillId="0" borderId="3" xfId="0" applyFont="1" applyBorder="1" applyAlignment="1">
      <alignment horizontal="left" vertical="center" wrapText="1"/>
    </xf>
    <xf numFmtId="0" fontId="96" fillId="0" borderId="4" xfId="0" applyFont="1" applyBorder="1" applyAlignment="1">
      <alignment horizontal="left" vertical="center" wrapText="1"/>
    </xf>
    <xf numFmtId="0" fontId="95" fillId="0" borderId="6" xfId="0" applyFont="1" applyBorder="1" applyAlignment="1">
      <alignment horizontal="center" vertical="center"/>
    </xf>
    <xf numFmtId="0" fontId="94" fillId="0" borderId="10" xfId="0" applyFont="1" applyBorder="1" applyAlignment="1">
      <alignment horizontal="center" vertical="center"/>
    </xf>
    <xf numFmtId="0" fontId="94" fillId="21" borderId="23" xfId="0" applyFont="1" applyFill="1" applyBorder="1" applyAlignment="1" applyProtection="1">
      <alignment horizontal="left" vertical="center" wrapText="1" indent="1"/>
      <protection hidden="1"/>
    </xf>
    <xf numFmtId="0" fontId="96" fillId="21" borderId="14" xfId="0" applyFont="1" applyFill="1" applyBorder="1" applyAlignment="1" applyProtection="1">
      <alignment horizontal="left" vertical="center" wrapText="1" indent="1"/>
      <protection hidden="1"/>
    </xf>
    <xf numFmtId="0" fontId="96" fillId="21" borderId="19" xfId="0" applyFont="1" applyFill="1" applyBorder="1" applyAlignment="1" applyProtection="1">
      <alignment horizontal="left" vertical="center" wrapText="1" indent="1"/>
      <protection hidden="1"/>
    </xf>
    <xf numFmtId="0" fontId="109" fillId="0" borderId="120" xfId="7" applyFont="1" applyBorder="1" applyAlignment="1" applyProtection="1">
      <alignment vertical="top" wrapText="1"/>
      <protection locked="0"/>
    </xf>
    <xf numFmtId="0" fontId="109" fillId="0" borderId="15" xfId="7" applyFont="1" applyBorder="1" applyAlignment="1" applyProtection="1">
      <alignment vertical="top" wrapText="1"/>
      <protection locked="0"/>
    </xf>
    <xf numFmtId="0" fontId="109" fillId="0" borderId="121" xfId="7" applyFont="1" applyBorder="1" applyAlignment="1" applyProtection="1">
      <alignment vertical="top" wrapText="1"/>
      <protection locked="0"/>
    </xf>
    <xf numFmtId="0" fontId="84" fillId="0" borderId="85" xfId="7" applyFont="1" applyBorder="1" applyAlignment="1" applyProtection="1">
      <alignment vertical="top" wrapText="1"/>
      <protection locked="0"/>
    </xf>
    <xf numFmtId="0" fontId="84" fillId="0" borderId="0" xfId="7" applyFont="1" applyBorder="1" applyAlignment="1" applyProtection="1">
      <alignment vertical="top" wrapText="1"/>
      <protection locked="0"/>
    </xf>
    <xf numFmtId="0" fontId="84" fillId="0" borderId="84" xfId="7" applyFont="1" applyBorder="1" applyAlignment="1" applyProtection="1">
      <alignment vertical="top" wrapText="1"/>
      <protection locked="0"/>
    </xf>
    <xf numFmtId="0" fontId="84" fillId="0" borderId="120" xfId="7" applyFont="1" applyBorder="1" applyAlignment="1" applyProtection="1">
      <alignment vertical="top" wrapText="1"/>
      <protection locked="0"/>
    </xf>
    <xf numFmtId="0" fontId="84" fillId="0" borderId="15" xfId="7" applyFont="1" applyBorder="1" applyAlignment="1" applyProtection="1">
      <alignment vertical="top" wrapText="1"/>
      <protection locked="0"/>
    </xf>
    <xf numFmtId="0" fontId="84" fillId="0" borderId="121" xfId="7" applyFont="1" applyBorder="1" applyAlignment="1" applyProtection="1">
      <alignment vertical="top" wrapText="1"/>
      <protection locked="0"/>
    </xf>
    <xf numFmtId="0" fontId="109" fillId="0" borderId="72" xfId="7" applyFont="1" applyBorder="1" applyAlignment="1" applyProtection="1">
      <alignment horizontal="center" vertical="top" wrapText="1"/>
      <protection locked="0"/>
    </xf>
    <xf numFmtId="0" fontId="109" fillId="0" borderId="83" xfId="7" applyFont="1" applyBorder="1" applyAlignment="1" applyProtection="1">
      <alignment horizontal="center" vertical="top" wrapText="1"/>
      <protection locked="0"/>
    </xf>
    <xf numFmtId="0" fontId="109" fillId="0" borderId="85" xfId="7" applyFont="1" applyBorder="1" applyAlignment="1" applyProtection="1">
      <alignment vertical="top" wrapText="1"/>
      <protection locked="0"/>
    </xf>
    <xf numFmtId="0" fontId="109" fillId="0" borderId="0" xfId="7" applyFont="1" applyBorder="1" applyAlignment="1" applyProtection="1">
      <alignment vertical="top" wrapText="1"/>
      <protection locked="0"/>
    </xf>
    <xf numFmtId="0" fontId="109" fillId="0" borderId="84" xfId="7" applyFont="1" applyBorder="1" applyAlignment="1" applyProtection="1">
      <alignment vertical="top" wrapText="1"/>
      <protection locked="0"/>
    </xf>
    <xf numFmtId="0" fontId="140" fillId="14" borderId="0" xfId="7" applyFont="1" applyFill="1" applyAlignment="1">
      <alignment horizontal="center" vertical="center"/>
    </xf>
    <xf numFmtId="0" fontId="104" fillId="0" borderId="151" xfId="7" applyFont="1" applyFill="1" applyBorder="1" applyAlignment="1">
      <alignment horizontal="left" vertical="top" wrapText="1"/>
    </xf>
    <xf numFmtId="0" fontId="104" fillId="0" borderId="0" xfId="7" applyFont="1" applyFill="1" applyBorder="1" applyAlignment="1">
      <alignment horizontal="left" vertical="top" wrapText="1"/>
    </xf>
    <xf numFmtId="0" fontId="158" fillId="0" borderId="0" xfId="7" applyFont="1" applyAlignment="1">
      <alignment wrapText="1"/>
    </xf>
    <xf numFmtId="0" fontId="159" fillId="0" borderId="0" xfId="7" applyFont="1" applyAlignment="1">
      <alignment horizontal="center" vertical="center" wrapText="1"/>
    </xf>
    <xf numFmtId="174" fontId="159" fillId="0" borderId="15" xfId="7" applyNumberFormat="1" applyFont="1" applyBorder="1" applyAlignment="1">
      <alignment horizontal="center" vertical="center" wrapText="1"/>
    </xf>
    <xf numFmtId="0" fontId="84" fillId="0" borderId="72" xfId="7" applyFont="1" applyBorder="1" applyAlignment="1" applyProtection="1">
      <alignment horizontal="center" vertical="top" wrapText="1"/>
      <protection locked="0"/>
    </xf>
    <xf numFmtId="0" fontId="84" fillId="0" borderId="83" xfId="7" applyFont="1" applyBorder="1" applyAlignment="1" applyProtection="1">
      <alignment horizontal="center" vertical="top" wrapText="1"/>
      <protection locked="0"/>
    </xf>
    <xf numFmtId="0" fontId="105" fillId="22" borderId="15" xfId="4" applyNumberFormat="1" applyFont="1" applyFill="1" applyBorder="1" applyAlignment="1" applyProtection="1">
      <alignment horizontal="left" vertical="center" indent="1"/>
      <protection locked="0"/>
    </xf>
    <xf numFmtId="0" fontId="105" fillId="22" borderId="15" xfId="4" applyNumberFormat="1" applyFont="1" applyFill="1" applyBorder="1" applyAlignment="1" applyProtection="1">
      <alignment horizontal="left" vertical="center"/>
      <protection locked="0"/>
    </xf>
    <xf numFmtId="0" fontId="96" fillId="14" borderId="92" xfId="4" applyNumberFormat="1" applyFont="1" applyFill="1" applyBorder="1" applyAlignment="1">
      <alignment horizontal="left" vertical="top" wrapText="1"/>
    </xf>
    <xf numFmtId="0" fontId="96" fillId="14" borderId="0" xfId="4" applyFont="1" applyFill="1" applyBorder="1" applyAlignment="1">
      <alignment vertical="top"/>
    </xf>
    <xf numFmtId="0" fontId="96" fillId="14" borderId="5" xfId="4" applyFont="1" applyFill="1" applyBorder="1" applyAlignment="1">
      <alignment vertical="top"/>
    </xf>
    <xf numFmtId="166" fontId="105" fillId="22" borderId="51" xfId="4" applyNumberFormat="1" applyFont="1" applyFill="1" applyBorder="1" applyAlignment="1" applyProtection="1">
      <alignment horizontal="left" vertical="center" indent="1"/>
      <protection locked="0"/>
    </xf>
    <xf numFmtId="0" fontId="105" fillId="0" borderId="95" xfId="4" applyNumberFormat="1" applyFont="1" applyBorder="1" applyAlignment="1">
      <alignment horizontal="center" vertical="center"/>
    </xf>
    <xf numFmtId="0" fontId="96" fillId="0" borderId="6" xfId="4" applyFont="1" applyBorder="1" applyAlignment="1">
      <alignment horizontal="center" vertical="center"/>
    </xf>
    <xf numFmtId="0" fontId="96" fillId="0" borderId="10" xfId="4" applyFont="1" applyBorder="1" applyAlignment="1">
      <alignment horizontal="center" vertical="center"/>
    </xf>
    <xf numFmtId="0" fontId="96" fillId="0" borderId="14" xfId="4" applyNumberFormat="1" applyFont="1" applyBorder="1" applyAlignment="1">
      <alignment horizontal="left" vertical="center" wrapText="1"/>
    </xf>
    <xf numFmtId="0" fontId="96" fillId="0" borderId="14" xfId="4" applyFont="1" applyBorder="1" applyAlignment="1">
      <alignment horizontal="left" vertical="center" wrapText="1"/>
    </xf>
    <xf numFmtId="0" fontId="96" fillId="0" borderId="19" xfId="4" applyFont="1" applyBorder="1" applyAlignment="1">
      <alignment horizontal="left" vertical="center" wrapText="1"/>
    </xf>
    <xf numFmtId="0" fontId="105" fillId="0" borderId="14" xfId="4" applyNumberFormat="1" applyFont="1" applyFill="1" applyBorder="1" applyAlignment="1" applyProtection="1">
      <alignment vertical="center"/>
      <protection hidden="1"/>
    </xf>
    <xf numFmtId="0" fontId="105" fillId="0" borderId="19" xfId="4" applyNumberFormat="1" applyFont="1" applyFill="1" applyBorder="1" applyAlignment="1" applyProtection="1">
      <alignment vertical="center"/>
      <protection hidden="1"/>
    </xf>
    <xf numFmtId="0" fontId="96" fillId="0" borderId="173" xfId="4" applyNumberFormat="1" applyFont="1" applyBorder="1" applyAlignment="1" applyProtection="1">
      <alignment horizontal="center" vertical="center"/>
      <protection locked="0"/>
    </xf>
    <xf numFmtId="171" fontId="96" fillId="0" borderId="173" xfId="4" applyNumberFormat="1" applyFont="1" applyBorder="1" applyAlignment="1" applyProtection="1">
      <alignment horizontal="center"/>
      <protection locked="0"/>
    </xf>
    <xf numFmtId="0" fontId="111" fillId="0" borderId="141" xfId="4" applyFont="1" applyBorder="1" applyAlignment="1">
      <alignment horizontal="center" vertical="center" wrapText="1"/>
    </xf>
    <xf numFmtId="0" fontId="96" fillId="0" borderId="173" xfId="4" applyNumberFormat="1" applyFont="1" applyBorder="1" applyAlignment="1" applyProtection="1">
      <alignment horizontal="center"/>
      <protection locked="0"/>
    </xf>
    <xf numFmtId="0" fontId="111" fillId="0" borderId="141" xfId="4" applyNumberFormat="1" applyFont="1" applyBorder="1" applyAlignment="1">
      <alignment horizontal="center"/>
    </xf>
    <xf numFmtId="0" fontId="96" fillId="0" borderId="0" xfId="4" applyNumberFormat="1" applyFont="1" applyFill="1" applyBorder="1" applyAlignment="1" applyProtection="1">
      <alignment horizontal="left" vertical="top" wrapText="1" indent="2"/>
      <protection hidden="1"/>
    </xf>
    <xf numFmtId="0" fontId="96" fillId="0" borderId="0" xfId="4" applyFont="1" applyFill="1" applyBorder="1" applyAlignment="1" applyProtection="1">
      <alignment horizontal="left" vertical="top" wrapText="1" indent="2"/>
      <protection hidden="1"/>
    </xf>
    <xf numFmtId="0" fontId="96" fillId="0" borderId="38" xfId="4" quotePrefix="1" applyNumberFormat="1" applyFont="1" applyFill="1" applyBorder="1" applyAlignment="1" applyProtection="1">
      <alignment horizontal="left" vertical="top" wrapText="1" indent="2"/>
      <protection hidden="1"/>
    </xf>
    <xf numFmtId="0" fontId="96" fillId="0" borderId="0" xfId="4" quotePrefix="1" applyNumberFormat="1" applyFont="1" applyFill="1" applyBorder="1" applyAlignment="1" applyProtection="1">
      <alignment horizontal="left" vertical="top" wrapText="1" indent="2"/>
      <protection hidden="1"/>
    </xf>
    <xf numFmtId="0" fontId="161" fillId="0" borderId="125" xfId="11" applyFont="1" applyBorder="1" applyAlignment="1">
      <alignment horizontal="center"/>
    </xf>
    <xf numFmtId="0" fontId="161" fillId="0" borderId="126" xfId="11" applyFont="1" applyBorder="1" applyAlignment="1">
      <alignment horizontal="center"/>
    </xf>
    <xf numFmtId="0" fontId="161" fillId="0" borderId="127" xfId="11" applyFont="1" applyBorder="1" applyAlignment="1">
      <alignment horizontal="center"/>
    </xf>
    <xf numFmtId="0" fontId="96" fillId="0" borderId="92" xfId="11" applyFont="1" applyBorder="1" applyAlignment="1">
      <alignment wrapText="1"/>
    </xf>
    <xf numFmtId="0" fontId="96" fillId="0" borderId="0" xfId="11" applyFont="1" applyBorder="1" applyAlignment="1">
      <alignment wrapText="1"/>
    </xf>
    <xf numFmtId="0" fontId="96" fillId="0" borderId="93" xfId="11" applyFont="1" applyBorder="1" applyAlignment="1">
      <alignment wrapText="1"/>
    </xf>
    <xf numFmtId="0" fontId="96" fillId="0" borderId="6" xfId="4" applyNumberFormat="1" applyFont="1" applyBorder="1" applyAlignment="1">
      <alignment horizontal="left" vertical="center" indent="1"/>
    </xf>
    <xf numFmtId="0" fontId="96" fillId="0" borderId="128" xfId="4" applyNumberFormat="1" applyFont="1" applyBorder="1" applyAlignment="1">
      <alignment horizontal="left" vertical="center"/>
    </xf>
    <xf numFmtId="166" fontId="96" fillId="0" borderId="14" xfId="4" applyNumberFormat="1" applyFont="1" applyBorder="1" applyAlignment="1">
      <alignment horizontal="left" vertical="center" indent="1"/>
    </xf>
    <xf numFmtId="166" fontId="96" fillId="0" borderId="123" xfId="4" applyNumberFormat="1" applyFont="1" applyBorder="1" applyAlignment="1">
      <alignment horizontal="left" vertical="center" indent="1"/>
    </xf>
    <xf numFmtId="0" fontId="96" fillId="23" borderId="122" xfId="11" applyFont="1" applyFill="1" applyBorder="1"/>
    <xf numFmtId="0" fontId="96" fillId="23" borderId="57" xfId="11" applyFont="1" applyFill="1" applyBorder="1"/>
    <xf numFmtId="0" fontId="105" fillId="0" borderId="90" xfId="11" applyFont="1" applyBorder="1" applyAlignment="1">
      <alignment horizontal="center" wrapText="1"/>
    </xf>
    <xf numFmtId="0" fontId="105" fillId="0" borderId="91" xfId="11" applyFont="1" applyBorder="1" applyAlignment="1">
      <alignment horizontal="center" wrapText="1"/>
    </xf>
    <xf numFmtId="0" fontId="140" fillId="0" borderId="124" xfId="11" applyFont="1" applyBorder="1" applyAlignment="1">
      <alignment horizontal="center"/>
    </xf>
    <xf numFmtId="0" fontId="140" fillId="0" borderId="15" xfId="11" applyFont="1" applyBorder="1" applyAlignment="1">
      <alignment horizontal="center"/>
    </xf>
    <xf numFmtId="0" fontId="140" fillId="0" borderId="121" xfId="11" applyFont="1" applyBorder="1" applyAlignment="1">
      <alignment horizontal="center"/>
    </xf>
    <xf numFmtId="0" fontId="96" fillId="0" borderId="179" xfId="11" applyFont="1" applyBorder="1" applyAlignment="1"/>
    <xf numFmtId="0" fontId="96" fillId="0" borderId="164" xfId="11" applyFont="1" applyBorder="1" applyAlignment="1"/>
    <xf numFmtId="0" fontId="96" fillId="0" borderId="177" xfId="11" applyFont="1" applyBorder="1" applyAlignment="1">
      <alignment wrapText="1"/>
    </xf>
    <xf numFmtId="0" fontId="96" fillId="0" borderId="168" xfId="11" applyFont="1" applyBorder="1" applyAlignment="1">
      <alignment wrapText="1"/>
    </xf>
    <xf numFmtId="0" fontId="96" fillId="0" borderId="177" xfId="11" applyFont="1" applyBorder="1" applyAlignment="1"/>
    <xf numFmtId="0" fontId="96" fillId="0" borderId="168" xfId="11" applyFont="1" applyBorder="1" applyAlignment="1"/>
    <xf numFmtId="0" fontId="160" fillId="0" borderId="0" xfId="0" applyFont="1" applyBorder="1" applyAlignment="1">
      <alignment horizontal="left" vertical="center" wrapText="1"/>
    </xf>
    <xf numFmtId="0" fontId="140" fillId="0" borderId="0" xfId="11" applyFont="1" applyBorder="1" applyAlignment="1">
      <alignment horizontal="center" vertical="top" wrapText="1"/>
    </xf>
    <xf numFmtId="0" fontId="140" fillId="0" borderId="93" xfId="11" applyFont="1" applyBorder="1" applyAlignment="1">
      <alignment horizontal="center" vertical="top" wrapText="1"/>
    </xf>
    <xf numFmtId="0" fontId="160" fillId="0" borderId="98" xfId="0" applyFont="1" applyBorder="1" applyAlignment="1">
      <alignment horizontal="left" vertical="center" wrapText="1"/>
    </xf>
    <xf numFmtId="0" fontId="96" fillId="0" borderId="178" xfId="11" applyFont="1" applyBorder="1" applyAlignment="1"/>
    <xf numFmtId="0" fontId="96" fillId="0" borderId="170" xfId="11" applyFont="1" applyBorder="1" applyAlignment="1"/>
    <xf numFmtId="0" fontId="105" fillId="0" borderId="122" xfId="11" applyFont="1" applyBorder="1" applyAlignment="1"/>
    <xf numFmtId="0" fontId="105" fillId="0" borderId="57" xfId="11" applyFont="1" applyBorder="1" applyAlignment="1"/>
    <xf numFmtId="0" fontId="160" fillId="0" borderId="93" xfId="0" applyFont="1" applyBorder="1" applyAlignment="1">
      <alignment horizontal="left" vertical="center" wrapText="1"/>
    </xf>
    <xf numFmtId="0" fontId="113" fillId="0" borderId="0" xfId="0" applyFont="1" applyAlignment="1">
      <alignment vertical="top" wrapText="1"/>
    </xf>
    <xf numFmtId="0" fontId="105" fillId="17" borderId="23" xfId="4" applyFont="1" applyFill="1" applyBorder="1" applyAlignment="1">
      <alignment horizontal="center" vertical="center" wrapText="1"/>
    </xf>
    <xf numFmtId="0" fontId="105" fillId="17" borderId="14" xfId="4" applyFont="1" applyFill="1" applyBorder="1" applyAlignment="1">
      <alignment horizontal="center" vertical="center" wrapText="1"/>
    </xf>
    <xf numFmtId="0" fontId="105" fillId="17" borderId="19" xfId="4" applyFont="1" applyFill="1" applyBorder="1" applyAlignment="1">
      <alignment horizontal="center" vertical="center" wrapText="1"/>
    </xf>
    <xf numFmtId="0" fontId="96" fillId="0" borderId="0" xfId="4" applyFont="1" applyBorder="1" applyAlignment="1">
      <alignment wrapText="1"/>
    </xf>
    <xf numFmtId="0" fontId="162" fillId="0" borderId="180" xfId="4" applyFont="1" applyBorder="1" applyAlignment="1">
      <alignment horizontal="center" vertical="center" wrapText="1"/>
    </xf>
    <xf numFmtId="0" fontId="162" fillId="0" borderId="0" xfId="4" applyFont="1" applyBorder="1" applyAlignment="1">
      <alignment horizontal="center" vertical="center" wrapText="1"/>
    </xf>
    <xf numFmtId="0" fontId="162" fillId="0" borderId="181" xfId="4" applyFont="1" applyBorder="1" applyAlignment="1">
      <alignment horizontal="center" vertical="center" wrapText="1"/>
    </xf>
    <xf numFmtId="0" fontId="162" fillId="0" borderId="182" xfId="4" applyFont="1" applyBorder="1" applyAlignment="1">
      <alignment horizontal="center" vertical="center" wrapText="1"/>
    </xf>
    <xf numFmtId="0" fontId="162" fillId="0" borderId="183" xfId="4" applyFont="1" applyBorder="1" applyAlignment="1">
      <alignment horizontal="center" vertical="center" wrapText="1"/>
    </xf>
    <xf numFmtId="0" fontId="162" fillId="0" borderId="184" xfId="4" applyFont="1" applyBorder="1" applyAlignment="1">
      <alignment horizontal="center" vertical="center" wrapText="1"/>
    </xf>
    <xf numFmtId="0" fontId="136" fillId="0" borderId="23" xfId="4" applyNumberFormat="1" applyFont="1" applyFill="1" applyBorder="1" applyAlignment="1" applyProtection="1">
      <alignment vertical="top" wrapText="1"/>
      <protection hidden="1"/>
    </xf>
    <xf numFmtId="0" fontId="136" fillId="0" borderId="14" xfId="4" applyNumberFormat="1" applyFont="1" applyFill="1" applyBorder="1" applyAlignment="1" applyProtection="1">
      <alignment vertical="top" wrapText="1"/>
      <protection hidden="1"/>
    </xf>
    <xf numFmtId="0" fontId="136" fillId="0" borderId="19" xfId="4" applyNumberFormat="1" applyFont="1" applyFill="1" applyBorder="1" applyAlignment="1" applyProtection="1">
      <alignment vertical="top" wrapText="1"/>
      <protection hidden="1"/>
    </xf>
    <xf numFmtId="0" fontId="90" fillId="0" borderId="8" xfId="4" applyFont="1" applyBorder="1" applyAlignment="1">
      <alignment vertical="top" wrapText="1"/>
    </xf>
    <xf numFmtId="0" fontId="90" fillId="0" borderId="3" xfId="4" applyFont="1" applyBorder="1" applyAlignment="1">
      <alignment vertical="top" wrapText="1"/>
    </xf>
    <xf numFmtId="0" fontId="90" fillId="0" borderId="4" xfId="4" applyFont="1" applyBorder="1" applyAlignment="1">
      <alignment vertical="top" wrapText="1"/>
    </xf>
    <xf numFmtId="0" fontId="105" fillId="0" borderId="32" xfId="4" applyFont="1" applyBorder="1" applyAlignment="1">
      <alignment horizontal="center" vertical="center" wrapText="1"/>
    </xf>
    <xf numFmtId="0" fontId="105" fillId="0" borderId="33" xfId="4" applyFont="1" applyBorder="1" applyAlignment="1">
      <alignment horizontal="center" vertical="center" wrapText="1"/>
    </xf>
    <xf numFmtId="0" fontId="105" fillId="0" borderId="29" xfId="4" applyFont="1" applyBorder="1" applyAlignment="1">
      <alignment horizontal="center" vertical="center" wrapText="1"/>
    </xf>
    <xf numFmtId="0" fontId="113" fillId="0" borderId="38" xfId="4" applyFont="1" applyFill="1" applyBorder="1" applyAlignment="1" applyProtection="1">
      <alignment vertical="top"/>
      <protection hidden="1"/>
    </xf>
    <xf numFmtId="0" fontId="113" fillId="0" borderId="0" xfId="4" applyFont="1" applyFill="1" applyBorder="1" applyAlignment="1" applyProtection="1">
      <alignment vertical="top"/>
      <protection hidden="1"/>
    </xf>
    <xf numFmtId="0" fontId="113" fillId="0" borderId="37" xfId="4" applyFont="1" applyFill="1" applyBorder="1" applyAlignment="1" applyProtection="1">
      <alignment vertical="top"/>
      <protection hidden="1"/>
    </xf>
    <xf numFmtId="0" fontId="113" fillId="0" borderId="36" xfId="4" applyFont="1" applyFill="1" applyBorder="1" applyAlignment="1" applyProtection="1">
      <alignment vertical="top"/>
      <protection hidden="1"/>
    </xf>
    <xf numFmtId="0" fontId="113" fillId="0" borderId="28" xfId="4" applyFont="1" applyFill="1" applyBorder="1" applyAlignment="1" applyProtection="1">
      <alignment vertical="top"/>
      <protection hidden="1"/>
    </xf>
    <xf numFmtId="0" fontId="113" fillId="0" borderId="34" xfId="4" applyFont="1" applyFill="1" applyBorder="1" applyAlignment="1" applyProtection="1">
      <alignment vertical="top"/>
      <protection hidden="1"/>
    </xf>
    <xf numFmtId="0" fontId="163" fillId="17" borderId="9" xfId="0" applyFont="1" applyFill="1" applyBorder="1" applyAlignment="1">
      <alignment horizontal="center" vertical="center"/>
    </xf>
    <xf numFmtId="0" fontId="163" fillId="17" borderId="6" xfId="0" applyFont="1" applyFill="1" applyBorder="1" applyAlignment="1">
      <alignment horizontal="center" vertical="center"/>
    </xf>
    <xf numFmtId="0" fontId="163" fillId="17" borderId="129" xfId="0" applyFont="1" applyFill="1" applyBorder="1" applyAlignment="1">
      <alignment horizontal="center" vertical="center"/>
    </xf>
    <xf numFmtId="164" fontId="163" fillId="17" borderId="7" xfId="0" applyNumberFormat="1" applyFont="1" applyFill="1" applyBorder="1" applyAlignment="1">
      <alignment horizontal="center" vertical="center"/>
    </xf>
    <xf numFmtId="164" fontId="163" fillId="17" borderId="0" xfId="0" applyNumberFormat="1" applyFont="1" applyFill="1" applyBorder="1" applyAlignment="1">
      <alignment horizontal="center" vertical="center"/>
    </xf>
    <xf numFmtId="164" fontId="163" fillId="17" borderId="43" xfId="0" applyNumberFormat="1" applyFont="1" applyFill="1" applyBorder="1" applyAlignment="1">
      <alignment horizontal="center" vertical="center"/>
    </xf>
    <xf numFmtId="164" fontId="98" fillId="17" borderId="9" xfId="0" applyNumberFormat="1" applyFont="1" applyFill="1" applyBorder="1" applyAlignment="1">
      <alignment horizontal="center" vertical="top"/>
    </xf>
    <xf numFmtId="164" fontId="127" fillId="17" borderId="6" xfId="0" applyNumberFormat="1" applyFont="1" applyFill="1" applyBorder="1" applyAlignment="1">
      <alignment horizontal="center" vertical="top"/>
    </xf>
    <xf numFmtId="164" fontId="127" fillId="17" borderId="129" xfId="0" applyNumberFormat="1" applyFont="1" applyFill="1" applyBorder="1" applyAlignment="1">
      <alignment horizontal="center" vertical="top"/>
    </xf>
    <xf numFmtId="0" fontId="127" fillId="0" borderId="14" xfId="0" applyFont="1" applyBorder="1" applyAlignment="1">
      <alignment horizontal="left" vertical="top" wrapText="1"/>
    </xf>
    <xf numFmtId="0" fontId="90" fillId="0" borderId="19" xfId="0" applyFont="1" applyBorder="1" applyAlignment="1">
      <alignment horizontal="left" vertical="top" wrapText="1"/>
    </xf>
    <xf numFmtId="0" fontId="90" fillId="0" borderId="14" xfId="0" applyFont="1" applyBorder="1" applyAlignment="1">
      <alignment vertical="top" wrapText="1"/>
    </xf>
    <xf numFmtId="0" fontId="96" fillId="0" borderId="19" xfId="0" applyFont="1" applyBorder="1" applyAlignment="1">
      <alignment wrapText="1"/>
    </xf>
    <xf numFmtId="0" fontId="127" fillId="0" borderId="6" xfId="0" applyNumberFormat="1" applyFont="1" applyBorder="1" applyAlignment="1">
      <alignment horizontal="left" vertical="center" wrapText="1"/>
    </xf>
    <xf numFmtId="0" fontId="127" fillId="0" borderId="0" xfId="0" applyNumberFormat="1" applyFont="1" applyBorder="1" applyAlignment="1">
      <alignment horizontal="left" vertical="center" wrapText="1"/>
    </xf>
    <xf numFmtId="0" fontId="90" fillId="0" borderId="5" xfId="0" applyFont="1" applyBorder="1" applyAlignment="1">
      <alignment vertical="center" wrapText="1"/>
    </xf>
    <xf numFmtId="0" fontId="127" fillId="0" borderId="14" xfId="0" applyNumberFormat="1" applyFont="1" applyBorder="1" applyAlignment="1">
      <alignment horizontal="left" vertical="center" wrapText="1"/>
    </xf>
    <xf numFmtId="0" fontId="90" fillId="0" borderId="19" xfId="0" applyFont="1" applyBorder="1" applyAlignment="1"/>
    <xf numFmtId="0" fontId="105" fillId="0" borderId="0" xfId="4" applyNumberFormat="1" applyFont="1" applyAlignment="1" applyProtection="1">
      <alignment horizontal="center"/>
    </xf>
    <xf numFmtId="0" fontId="105" fillId="0" borderId="36" xfId="4" applyNumberFormat="1" applyFont="1" applyBorder="1" applyAlignment="1" applyProtection="1">
      <alignment horizontal="left" indent="1"/>
      <protection locked="0"/>
    </xf>
    <xf numFmtId="0" fontId="105" fillId="0" borderId="28" xfId="4" applyFont="1" applyBorder="1" applyAlignment="1">
      <alignment horizontal="left" indent="1"/>
    </xf>
    <xf numFmtId="0" fontId="105" fillId="0" borderId="34" xfId="4" applyFont="1" applyBorder="1" applyAlignment="1">
      <alignment horizontal="left" indent="1"/>
    </xf>
    <xf numFmtId="0" fontId="105" fillId="0" borderId="38" xfId="4" applyNumberFormat="1" applyFont="1" applyBorder="1" applyAlignment="1" applyProtection="1">
      <alignment horizontal="left" indent="1"/>
      <protection locked="0"/>
    </xf>
    <xf numFmtId="0" fontId="105" fillId="0" borderId="0" xfId="4" applyFont="1" applyBorder="1" applyAlignment="1">
      <alignment horizontal="left" indent="1"/>
    </xf>
    <xf numFmtId="0" fontId="105" fillId="0" borderId="37" xfId="4" applyFont="1" applyBorder="1" applyAlignment="1">
      <alignment horizontal="left" indent="1"/>
    </xf>
    <xf numFmtId="0" fontId="105" fillId="0" borderId="38" xfId="4" applyNumberFormat="1" applyFont="1" applyBorder="1" applyAlignment="1" applyProtection="1">
      <alignment horizontal="left" indent="1"/>
    </xf>
    <xf numFmtId="0" fontId="105" fillId="0" borderId="0" xfId="4" applyFont="1" applyBorder="1" applyAlignment="1" applyProtection="1">
      <alignment horizontal="left" indent="1"/>
    </xf>
    <xf numFmtId="0" fontId="105" fillId="0" borderId="37" xfId="4" applyFont="1" applyBorder="1" applyAlignment="1" applyProtection="1">
      <alignment horizontal="left" indent="1"/>
    </xf>
    <xf numFmtId="0" fontId="96" fillId="0" borderId="36" xfId="4" applyNumberFormat="1" applyFont="1" applyBorder="1" applyAlignment="1" applyProtection="1">
      <alignment horizontal="left" vertical="center" indent="1"/>
    </xf>
    <xf numFmtId="0" fontId="96" fillId="0" borderId="28" xfId="4" applyFont="1" applyBorder="1" applyAlignment="1" applyProtection="1">
      <alignment horizontal="left" vertical="center" indent="1"/>
    </xf>
    <xf numFmtId="0" fontId="96" fillId="0" borderId="34" xfId="4" applyFont="1" applyBorder="1" applyAlignment="1" applyProtection="1">
      <alignment horizontal="left" vertical="center" indent="1"/>
    </xf>
    <xf numFmtId="0" fontId="105" fillId="0" borderId="38" xfId="4" applyNumberFormat="1" applyFont="1" applyBorder="1" applyAlignment="1" applyProtection="1"/>
    <xf numFmtId="0" fontId="105" fillId="0" borderId="0" xfId="4" applyFont="1" applyBorder="1" applyAlignment="1" applyProtection="1"/>
    <xf numFmtId="0" fontId="105" fillId="0" borderId="37" xfId="4" applyFont="1" applyBorder="1" applyAlignment="1" applyProtection="1"/>
    <xf numFmtId="0" fontId="113" fillId="0" borderId="38" xfId="4" applyNumberFormat="1" applyFont="1" applyBorder="1" applyAlignment="1" applyProtection="1"/>
    <xf numFmtId="0" fontId="113" fillId="0" borderId="0" xfId="4" applyFont="1" applyBorder="1" applyAlignment="1" applyProtection="1"/>
    <xf numFmtId="0" fontId="113" fillId="0" borderId="37" xfId="4" applyFont="1" applyBorder="1" applyAlignment="1" applyProtection="1"/>
    <xf numFmtId="0" fontId="105" fillId="0" borderId="33" xfId="4" applyNumberFormat="1" applyFont="1" applyBorder="1" applyAlignment="1" applyProtection="1">
      <alignment horizontal="left" indent="1"/>
      <protection locked="0"/>
    </xf>
    <xf numFmtId="0" fontId="105" fillId="0" borderId="33" xfId="4" applyFont="1" applyBorder="1" applyAlignment="1" applyProtection="1">
      <alignment horizontal="left" indent="1"/>
      <protection locked="0"/>
    </xf>
    <xf numFmtId="0" fontId="105" fillId="0" borderId="29" xfId="4" applyFont="1" applyBorder="1" applyAlignment="1" applyProtection="1">
      <alignment horizontal="left" indent="1"/>
      <protection locked="0"/>
    </xf>
    <xf numFmtId="0" fontId="105" fillId="0" borderId="0" xfId="4" applyNumberFormat="1" applyFont="1" applyFill="1" applyAlignment="1" applyProtection="1">
      <alignment horizontal="center" vertical="center"/>
      <protection hidden="1"/>
    </xf>
    <xf numFmtId="0" fontId="96" fillId="0" borderId="0" xfId="4" applyFont="1" applyFill="1" applyAlignment="1" applyProtection="1">
      <alignment horizontal="center" vertical="center"/>
      <protection hidden="1"/>
    </xf>
    <xf numFmtId="0" fontId="105" fillId="0" borderId="36" xfId="4" applyNumberFormat="1" applyFont="1" applyBorder="1" applyAlignment="1" applyProtection="1">
      <alignment horizontal="left" indent="1"/>
    </xf>
    <xf numFmtId="0" fontId="105" fillId="0" borderId="28" xfId="4" applyFont="1" applyBorder="1" applyAlignment="1" applyProtection="1">
      <alignment horizontal="left" indent="1"/>
    </xf>
    <xf numFmtId="0" fontId="105" fillId="0" borderId="34" xfId="4" applyFont="1" applyBorder="1" applyAlignment="1" applyProtection="1">
      <alignment horizontal="left" indent="1"/>
    </xf>
    <xf numFmtId="165" fontId="105" fillId="0" borderId="36" xfId="4" applyNumberFormat="1" applyFont="1" applyBorder="1" applyAlignment="1" applyProtection="1">
      <alignment horizontal="left" indent="1"/>
    </xf>
    <xf numFmtId="165" fontId="105" fillId="0" borderId="34" xfId="4" applyNumberFormat="1" applyFont="1" applyBorder="1" applyAlignment="1" applyProtection="1">
      <alignment horizontal="left" indent="1"/>
    </xf>
    <xf numFmtId="0" fontId="105" fillId="0" borderId="36" xfId="4" applyNumberFormat="1" applyFont="1" applyBorder="1" applyAlignment="1" applyProtection="1"/>
    <xf numFmtId="0" fontId="105" fillId="0" borderId="28" xfId="4" applyFont="1" applyBorder="1" applyAlignment="1" applyProtection="1"/>
    <xf numFmtId="0" fontId="105" fillId="0" borderId="34" xfId="4" applyFont="1" applyBorder="1" applyAlignment="1" applyProtection="1"/>
    <xf numFmtId="0" fontId="105" fillId="0" borderId="34" xfId="4" applyNumberFormat="1" applyFont="1" applyBorder="1" applyAlignment="1" applyProtection="1">
      <alignment horizontal="left" indent="1"/>
    </xf>
    <xf numFmtId="0" fontId="105" fillId="0" borderId="38" xfId="4" applyFont="1" applyBorder="1" applyAlignment="1" applyProtection="1"/>
    <xf numFmtId="0" fontId="105" fillId="0" borderId="0" xfId="4" applyNumberFormat="1" applyFont="1" applyAlignment="1" applyProtection="1">
      <alignment horizontal="center" vertical="center"/>
    </xf>
    <xf numFmtId="0" fontId="90" fillId="0" borderId="32" xfId="4" applyNumberFormat="1" applyFont="1" applyBorder="1" applyProtection="1"/>
    <xf numFmtId="0" fontId="90" fillId="0" borderId="33" xfId="4" applyNumberFormat="1" applyFont="1" applyBorder="1" applyProtection="1"/>
    <xf numFmtId="0" fontId="105" fillId="0" borderId="38" xfId="4" applyNumberFormat="1" applyFont="1" applyBorder="1" applyAlignment="1" applyProtection="1">
      <alignment horizontal="left" vertical="center" indent="1"/>
    </xf>
    <xf numFmtId="0" fontId="105" fillId="0" borderId="0" xfId="4" applyNumberFormat="1" applyFont="1" applyBorder="1" applyAlignment="1" applyProtection="1">
      <alignment horizontal="left" vertical="center" indent="1"/>
    </xf>
    <xf numFmtId="0" fontId="105" fillId="0" borderId="37" xfId="4" applyNumberFormat="1" applyFont="1" applyBorder="1" applyAlignment="1" applyProtection="1">
      <alignment horizontal="left" vertical="center" indent="1"/>
    </xf>
    <xf numFmtId="0" fontId="105" fillId="0" borderId="0" xfId="4" applyNumberFormat="1" applyFont="1" applyBorder="1" applyAlignment="1" applyProtection="1">
      <alignment horizontal="left" indent="1"/>
    </xf>
    <xf numFmtId="0" fontId="105" fillId="0" borderId="37" xfId="4" applyNumberFormat="1" applyFont="1" applyBorder="1" applyAlignment="1" applyProtection="1">
      <alignment horizontal="left" indent="1"/>
    </xf>
    <xf numFmtId="0" fontId="96" fillId="0" borderId="36" xfId="4" applyNumberFormat="1" applyFont="1" applyBorder="1" applyProtection="1"/>
    <xf numFmtId="0" fontId="96" fillId="0" borderId="28" xfId="4" applyNumberFormat="1" applyFont="1" applyBorder="1" applyProtection="1"/>
    <xf numFmtId="0" fontId="96" fillId="0" borderId="34" xfId="4" applyNumberFormat="1" applyFont="1" applyBorder="1" applyProtection="1"/>
    <xf numFmtId="0" fontId="89" fillId="0" borderId="0" xfId="4" applyFont="1" applyAlignment="1">
      <alignment horizontal="center" vertical="center"/>
    </xf>
    <xf numFmtId="0" fontId="96" fillId="0" borderId="0" xfId="4" applyFont="1" applyAlignment="1">
      <alignment horizontal="center" vertical="center"/>
    </xf>
    <xf numFmtId="174" fontId="89" fillId="0" borderId="0" xfId="4" applyNumberFormat="1" applyFont="1" applyAlignment="1">
      <alignment horizontal="center" vertical="center"/>
    </xf>
    <xf numFmtId="174" fontId="96" fillId="0" borderId="0" xfId="4" applyNumberFormat="1" applyFont="1" applyAlignment="1">
      <alignment horizontal="center" vertical="center"/>
    </xf>
    <xf numFmtId="0" fontId="96" fillId="0" borderId="49" xfId="4" applyFont="1" applyBorder="1" applyAlignment="1" applyProtection="1">
      <protection locked="0"/>
    </xf>
    <xf numFmtId="0" fontId="105" fillId="0" borderId="0" xfId="4" applyFont="1" applyAlignment="1" applyProtection="1">
      <alignment horizontal="center" vertical="center"/>
    </xf>
    <xf numFmtId="174" fontId="105" fillId="0" borderId="0" xfId="4" applyNumberFormat="1" applyFont="1" applyAlignment="1" applyProtection="1">
      <alignment horizontal="center" vertical="center"/>
    </xf>
    <xf numFmtId="0" fontId="96" fillId="0" borderId="49" xfId="4" applyFont="1" applyBorder="1" applyAlignment="1" applyProtection="1">
      <alignment horizontal="left"/>
      <protection locked="0"/>
    </xf>
    <xf numFmtId="0" fontId="105" fillId="0" borderId="0" xfId="4" quotePrefix="1" applyFont="1" applyAlignment="1" applyProtection="1">
      <alignment horizontal="center" vertical="center"/>
    </xf>
    <xf numFmtId="0" fontId="105" fillId="0" borderId="0" xfId="4" applyNumberFormat="1" applyFont="1" applyAlignment="1">
      <alignment horizontal="center"/>
    </xf>
    <xf numFmtId="165" fontId="105" fillId="0" borderId="0" xfId="4" applyNumberFormat="1" applyFont="1" applyAlignment="1" applyProtection="1">
      <alignment horizontal="center" vertical="center"/>
    </xf>
    <xf numFmtId="165" fontId="89" fillId="0" borderId="0" xfId="4" applyNumberFormat="1" applyFont="1" applyAlignment="1" applyProtection="1">
      <alignment horizontal="center" vertical="center"/>
    </xf>
    <xf numFmtId="0" fontId="89" fillId="0" borderId="0" xfId="4" applyNumberFormat="1" applyFont="1" applyAlignment="1" applyProtection="1">
      <alignment horizontal="center" vertical="center"/>
    </xf>
    <xf numFmtId="3" fontId="90" fillId="0" borderId="57" xfId="4" applyNumberFormat="1" applyFont="1" applyBorder="1" applyAlignment="1" applyProtection="1">
      <alignment horizontal="right" indent="1"/>
      <protection locked="0"/>
    </xf>
    <xf numFmtId="0" fontId="90" fillId="0" borderId="0" xfId="4" applyFont="1" applyAlignment="1" applyProtection="1">
      <alignment horizontal="left" vertical="center" wrapText="1"/>
      <protection locked="0"/>
    </xf>
    <xf numFmtId="0" fontId="105" fillId="0" borderId="0" xfId="4" applyNumberFormat="1" applyFont="1" applyBorder="1" applyAlignment="1" applyProtection="1">
      <alignment horizontal="center"/>
    </xf>
    <xf numFmtId="0" fontId="89" fillId="0" borderId="0" xfId="4" applyFont="1" applyAlignment="1" applyProtection="1">
      <alignment horizontal="center" vertical="center" readingOrder="1"/>
    </xf>
    <xf numFmtId="0" fontId="89" fillId="0" borderId="0" xfId="4" applyFont="1" applyAlignment="1" applyProtection="1">
      <alignment horizontal="center" vertical="center"/>
    </xf>
    <xf numFmtId="0" fontId="89" fillId="0" borderId="0" xfId="4" applyFont="1" applyAlignment="1" applyProtection="1">
      <alignment horizontal="center"/>
    </xf>
    <xf numFmtId="0" fontId="89" fillId="0" borderId="15" xfId="4" applyFont="1" applyBorder="1" applyAlignment="1" applyProtection="1">
      <alignment horizontal="center"/>
    </xf>
    <xf numFmtId="0" fontId="94" fillId="0" borderId="0" xfId="4" applyFont="1" applyAlignment="1" applyProtection="1">
      <alignment horizontal="left" vertical="center" wrapText="1"/>
    </xf>
    <xf numFmtId="0" fontId="90" fillId="0" borderId="0" xfId="4" applyFont="1" applyBorder="1" applyAlignment="1" applyProtection="1">
      <alignment vertical="center" wrapText="1"/>
      <protection locked="0"/>
    </xf>
    <xf numFmtId="5" fontId="105" fillId="0" borderId="56" xfId="4" applyNumberFormat="1" applyFont="1" applyBorder="1" applyAlignment="1" applyProtection="1">
      <protection locked="0"/>
    </xf>
    <xf numFmtId="0" fontId="105" fillId="0" borderId="130" xfId="4" applyFont="1" applyBorder="1" applyAlignment="1" applyProtection="1">
      <protection locked="0"/>
    </xf>
    <xf numFmtId="0" fontId="94" fillId="0" borderId="0" xfId="4" applyFont="1" applyBorder="1" applyAlignment="1" applyProtection="1">
      <alignment horizontal="left" vertical="top" wrapText="1"/>
    </xf>
    <xf numFmtId="0" fontId="94" fillId="0" borderId="56" xfId="4" applyFont="1" applyBorder="1" applyAlignment="1" applyProtection="1">
      <alignment horizontal="center"/>
    </xf>
    <xf numFmtId="0" fontId="94" fillId="0" borderId="51" xfId="4" applyFont="1" applyBorder="1" applyAlignment="1" applyProtection="1">
      <alignment horizontal="center"/>
    </xf>
    <xf numFmtId="0" fontId="94" fillId="0" borderId="130" xfId="4" applyFont="1" applyBorder="1" applyAlignment="1" applyProtection="1">
      <alignment horizontal="center"/>
    </xf>
    <xf numFmtId="0" fontId="94" fillId="0" borderId="56" xfId="4" applyFont="1" applyBorder="1" applyAlignment="1" applyProtection="1">
      <alignment horizontal="left" vertical="center"/>
      <protection locked="0"/>
    </xf>
    <xf numFmtId="0" fontId="94" fillId="0" borderId="51" xfId="4" applyFont="1" applyBorder="1" applyAlignment="1" applyProtection="1">
      <alignment horizontal="left" vertical="center"/>
      <protection locked="0"/>
    </xf>
    <xf numFmtId="0" fontId="94" fillId="0" borderId="130" xfId="4" applyFont="1" applyBorder="1" applyAlignment="1" applyProtection="1">
      <alignment horizontal="left" vertical="center"/>
      <protection locked="0"/>
    </xf>
    <xf numFmtId="38" fontId="94" fillId="0" borderId="56" xfId="4" applyNumberFormat="1" applyFont="1" applyBorder="1" applyAlignment="1" applyProtection="1">
      <alignment horizontal="right" vertical="center"/>
      <protection locked="0"/>
    </xf>
    <xf numFmtId="38" fontId="94" fillId="0" borderId="51" xfId="4" applyNumberFormat="1" applyFont="1" applyBorder="1" applyAlignment="1" applyProtection="1">
      <alignment horizontal="right" vertical="center"/>
      <protection locked="0"/>
    </xf>
    <xf numFmtId="38" fontId="94" fillId="0" borderId="130" xfId="4" applyNumberFormat="1" applyFont="1" applyBorder="1" applyAlignment="1" applyProtection="1">
      <alignment horizontal="right" vertical="center"/>
      <protection locked="0"/>
    </xf>
    <xf numFmtId="38" fontId="94" fillId="0" borderId="57" xfId="4" applyNumberFormat="1" applyFont="1" applyBorder="1" applyAlignment="1" applyProtection="1">
      <alignment horizontal="right" vertical="center"/>
      <protection locked="0"/>
    </xf>
    <xf numFmtId="0" fontId="105" fillId="0" borderId="0" xfId="4" applyNumberFormat="1" applyFont="1" applyBorder="1" applyAlignment="1" applyProtection="1">
      <alignment horizontal="center" vertical="center" wrapText="1"/>
    </xf>
    <xf numFmtId="0" fontId="96" fillId="0" borderId="0" xfId="4" applyNumberFormat="1" applyFont="1" applyAlignment="1">
      <alignment horizontal="center" vertical="center" wrapText="1"/>
    </xf>
    <xf numFmtId="165" fontId="105" fillId="0" borderId="0" xfId="4" applyNumberFormat="1" applyFont="1" applyBorder="1" applyAlignment="1" applyProtection="1">
      <alignment horizontal="center" vertical="center" wrapText="1"/>
    </xf>
    <xf numFmtId="0" fontId="96" fillId="0" borderId="0" xfId="4" applyFont="1" applyAlignment="1">
      <alignment horizontal="center" vertical="center" wrapText="1"/>
    </xf>
    <xf numFmtId="169" fontId="89" fillId="0" borderId="0" xfId="4" applyNumberFormat="1" applyFont="1" applyAlignment="1" applyProtection="1">
      <alignment horizontal="center" vertical="center" wrapText="1"/>
    </xf>
    <xf numFmtId="0" fontId="90" fillId="0" borderId="0" xfId="4" applyFont="1" applyAlignment="1">
      <alignment horizontal="center" vertical="center" wrapText="1"/>
    </xf>
    <xf numFmtId="0" fontId="96" fillId="0" borderId="28" xfId="4" applyFont="1" applyBorder="1" applyAlignment="1" applyProtection="1">
      <alignment horizontal="center"/>
      <protection locked="0"/>
    </xf>
    <xf numFmtId="0" fontId="96" fillId="0" borderId="58" xfId="4" applyFont="1" applyBorder="1" applyAlignment="1" applyProtection="1">
      <alignment horizontal="center"/>
      <protection locked="0"/>
    </xf>
    <xf numFmtId="0" fontId="95" fillId="0" borderId="56" xfId="4" applyFont="1" applyBorder="1" applyAlignment="1" applyProtection="1">
      <alignment horizontal="center" vertical="center"/>
      <protection locked="0"/>
    </xf>
    <xf numFmtId="0" fontId="95" fillId="0" borderId="51" xfId="4" applyFont="1" applyBorder="1" applyAlignment="1" applyProtection="1">
      <alignment horizontal="center" vertical="center"/>
      <protection locked="0"/>
    </xf>
    <xf numFmtId="0" fontId="95" fillId="0" borderId="130" xfId="4" applyFont="1" applyBorder="1" applyAlignment="1" applyProtection="1">
      <alignment horizontal="center" vertical="center"/>
      <protection locked="0"/>
    </xf>
    <xf numFmtId="6" fontId="94" fillId="0" borderId="57" xfId="4" applyNumberFormat="1" applyFont="1" applyBorder="1" applyAlignment="1" applyProtection="1">
      <alignment horizontal="right" vertical="center"/>
      <protection locked="0"/>
    </xf>
    <xf numFmtId="6" fontId="94" fillId="0" borderId="56" xfId="4" applyNumberFormat="1" applyFont="1" applyBorder="1" applyProtection="1">
      <protection locked="0"/>
    </xf>
    <xf numFmtId="6" fontId="94" fillId="0" borderId="130" xfId="4" applyNumberFormat="1" applyFont="1" applyBorder="1" applyProtection="1">
      <protection locked="0"/>
    </xf>
    <xf numFmtId="170" fontId="96" fillId="0" borderId="28" xfId="4" applyNumberFormat="1" applyFont="1" applyBorder="1" applyAlignment="1" applyProtection="1">
      <alignment horizontal="center"/>
      <protection locked="0"/>
    </xf>
    <xf numFmtId="0" fontId="96" fillId="0" borderId="0" xfId="4" applyFont="1" applyAlignment="1" applyProtection="1">
      <alignment horizontal="left" vertical="top" wrapText="1"/>
      <protection locked="0"/>
    </xf>
    <xf numFmtId="0" fontId="96" fillId="0" borderId="0" xfId="4" applyFont="1" applyBorder="1" applyAlignment="1" applyProtection="1">
      <alignment horizontal="left" vertical="top" wrapText="1"/>
      <protection locked="0"/>
    </xf>
    <xf numFmtId="0" fontId="89" fillId="0" borderId="0" xfId="4" applyFont="1" applyAlignment="1" applyProtection="1">
      <alignment horizontal="center" vertical="center" wrapText="1"/>
    </xf>
    <xf numFmtId="0" fontId="89" fillId="0" borderId="0" xfId="4" applyFont="1" applyBorder="1" applyAlignment="1" applyProtection="1">
      <alignment horizontal="center" vertical="center" wrapText="1"/>
    </xf>
    <xf numFmtId="0" fontId="96" fillId="0" borderId="0" xfId="4" applyFont="1" applyBorder="1" applyAlignment="1">
      <alignment horizontal="center" vertical="center" wrapText="1"/>
    </xf>
    <xf numFmtId="8" fontId="96" fillId="0" borderId="0" xfId="4" applyNumberFormat="1" applyFont="1" applyAlignment="1" applyProtection="1">
      <alignment horizontal="left" vertical="top" wrapText="1"/>
      <protection locked="0"/>
    </xf>
    <xf numFmtId="0" fontId="89" fillId="0" borderId="0" xfId="4" applyNumberFormat="1" applyFont="1" applyBorder="1" applyAlignment="1" applyProtection="1">
      <alignment horizontal="center" vertical="center" wrapText="1"/>
    </xf>
    <xf numFmtId="165" fontId="89" fillId="0" borderId="0" xfId="4" applyNumberFormat="1" applyFont="1" applyBorder="1" applyAlignment="1" applyProtection="1">
      <alignment horizontal="center" vertical="center" wrapText="1"/>
    </xf>
    <xf numFmtId="0" fontId="89" fillId="0" borderId="16" xfId="4" applyFont="1" applyBorder="1" applyAlignment="1" applyProtection="1">
      <alignment horizontal="center" vertical="center" wrapText="1"/>
    </xf>
    <xf numFmtId="0" fontId="105" fillId="0" borderId="58" xfId="4" applyNumberFormat="1" applyFont="1" applyBorder="1" applyAlignment="1" applyProtection="1">
      <alignment horizontal="center"/>
      <protection locked="0"/>
    </xf>
    <xf numFmtId="0" fontId="105" fillId="0" borderId="58" xfId="4" applyFont="1" applyBorder="1" applyAlignment="1" applyProtection="1">
      <alignment horizontal="center"/>
      <protection locked="0"/>
    </xf>
    <xf numFmtId="0" fontId="105" fillId="0" borderId="58" xfId="4" applyFont="1" applyBorder="1" applyAlignment="1" applyProtection="1">
      <alignment horizontal="center" vertical="center"/>
      <protection locked="0"/>
    </xf>
    <xf numFmtId="0" fontId="89" fillId="0" borderId="0" xfId="4" applyNumberFormat="1" applyFont="1" applyAlignment="1" applyProtection="1">
      <alignment horizontal="center" vertical="center" wrapText="1"/>
    </xf>
  </cellXfs>
  <cellStyles count="21">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 5 2" xfId="10"/>
    <cellStyle name="Normal 6" xfId="11"/>
    <cellStyle name="Normal_AFRPG3" xfId="12"/>
    <cellStyle name="Normal_AFRPG41" xfId="13"/>
    <cellStyle name="Normal_AFRPG47" xfId="14"/>
    <cellStyle name="Normal_AFRPG56" xfId="15"/>
    <cellStyle name="Normal_AFRPG59" xfId="16"/>
    <cellStyle name="Normal_AFRPG63" xfId="17"/>
    <cellStyle name="Normal_AFRPG64" xfId="18"/>
    <cellStyle name="Normal_COVER" xfId="19"/>
    <cellStyle name="Normal_THRESHOLD CALCULATOR v3"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63C7527B-5061-4A02-A0C0-678770916CEF}"/>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301EF93F-8922-43CA-A08D-25240100BC8C}"/>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9D3DD8DF-F438-4AD4-8AA2-D35A3CBF797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4EDAF9B4-AD3C-4AEF-8B64-D4549457E6FE}"/>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7E8B8278-E071-4CC1-B590-D78156C33A48}"/>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C9317681-5498-428E-8FBA-2223E16FC3CF}"/>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DF1727-3DA0-4989-A9EE-70573619468F}"/>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24C4A52E-9EAB-4992-B878-88CBA67726BD}"/>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762000</xdr:colOff>
          <xdr:row>3</xdr:row>
          <xdr:rowOff>28575</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618DCF8E-1DE8-47C9-B846-7DEE2801095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40973" name="Text 1">
          <a:extLst>
            <a:ext uri="{FF2B5EF4-FFF2-40B4-BE49-F238E27FC236}">
              <a16:creationId xmlns:a16="http://schemas.microsoft.com/office/drawing/2014/main" id="{84AA6D9A-D0B0-42C8-8205-ECB83F96E10C}"/>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40974" name="Rectangle 2">
          <a:extLst>
            <a:ext uri="{FF2B5EF4-FFF2-40B4-BE49-F238E27FC236}">
              <a16:creationId xmlns:a16="http://schemas.microsoft.com/office/drawing/2014/main" id="{8F46E666-C7E1-4BD5-A5B3-CF662A913FF2}"/>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41997" name="Text 1">
          <a:extLst>
            <a:ext uri="{FF2B5EF4-FFF2-40B4-BE49-F238E27FC236}">
              <a16:creationId xmlns:a16="http://schemas.microsoft.com/office/drawing/2014/main" id="{733C430C-A329-400B-A20F-9696D3746A9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41998" name="Rectangle 2">
          <a:extLst>
            <a:ext uri="{FF2B5EF4-FFF2-40B4-BE49-F238E27FC236}">
              <a16:creationId xmlns:a16="http://schemas.microsoft.com/office/drawing/2014/main" id="{D271E2F2-C2D8-48CA-9AAB-67729066C8B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43021" name="Text 1">
          <a:extLst>
            <a:ext uri="{FF2B5EF4-FFF2-40B4-BE49-F238E27FC236}">
              <a16:creationId xmlns:a16="http://schemas.microsoft.com/office/drawing/2014/main" id="{10928E81-805A-487F-ABAA-63B2B46948EE}"/>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43022" name="Rectangle 2">
          <a:extLst>
            <a:ext uri="{FF2B5EF4-FFF2-40B4-BE49-F238E27FC236}">
              <a16:creationId xmlns:a16="http://schemas.microsoft.com/office/drawing/2014/main" id="{2888E8AE-0E7F-44E6-995E-02F78D0829E7}"/>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44045" name="Text 1">
          <a:extLst>
            <a:ext uri="{FF2B5EF4-FFF2-40B4-BE49-F238E27FC236}">
              <a16:creationId xmlns:a16="http://schemas.microsoft.com/office/drawing/2014/main" id="{C00674BC-32D0-4662-920F-86DBD4A2C96F}"/>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44046" name="Rectangle 2">
          <a:extLst>
            <a:ext uri="{FF2B5EF4-FFF2-40B4-BE49-F238E27FC236}">
              <a16:creationId xmlns:a16="http://schemas.microsoft.com/office/drawing/2014/main" id="{BEACE3D0-DB01-4BF4-A312-BAAFF199D65B}"/>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48"/>
  <sheetViews>
    <sheetView showGridLines="0" tabSelected="1" zoomScaleNormal="100" workbookViewId="0">
      <selection activeCell="K16" sqref="K1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4">
        <f>+'AFR20'!E4</f>
        <v>44119</v>
      </c>
      <c r="C1" s="2134"/>
      <c r="D1" s="2135"/>
      <c r="I1" s="2080" t="s">
        <v>402</v>
      </c>
      <c r="J1" s="2081"/>
      <c r="K1" s="2081"/>
      <c r="L1" s="2081"/>
      <c r="M1" s="2081"/>
      <c r="N1" s="2081"/>
      <c r="O1" s="2081"/>
      <c r="P1" s="2081"/>
      <c r="Q1" s="2081"/>
      <c r="R1" s="2081"/>
      <c r="S1" s="2081"/>
    </row>
    <row r="2" spans="1:32" ht="12" customHeight="1" x14ac:dyDescent="0.2">
      <c r="A2" s="1830" t="str">
        <f>"Due to ISBE on "</f>
        <v xml:space="preserve">Due to ISBE on </v>
      </c>
      <c r="B2" s="2136">
        <f>+'AFR20'!F4</f>
        <v>44151</v>
      </c>
      <c r="C2" s="2136"/>
      <c r="D2" s="2137"/>
      <c r="I2" s="2082" t="s">
        <v>2006</v>
      </c>
      <c r="J2" s="2081"/>
      <c r="K2" s="2081"/>
      <c r="L2" s="2081"/>
      <c r="M2" s="2081"/>
      <c r="N2" s="2081"/>
      <c r="O2" s="2081"/>
      <c r="P2" s="2081"/>
      <c r="Q2" s="2081"/>
      <c r="R2" s="2081"/>
      <c r="S2" s="2081"/>
    </row>
    <row r="3" spans="1:32" ht="12" customHeight="1" x14ac:dyDescent="0.2">
      <c r="A3" s="1833"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2030</v>
      </c>
      <c r="C5" s="26" t="s">
        <v>904</v>
      </c>
      <c r="D5" s="81"/>
      <c r="E5" s="81"/>
      <c r="H5" s="38"/>
      <c r="I5" s="2090" t="s">
        <v>675</v>
      </c>
      <c r="J5" s="2089"/>
      <c r="K5" s="2089"/>
      <c r="L5" s="2089"/>
      <c r="M5" s="2089"/>
      <c r="N5" s="2089"/>
      <c r="O5" s="2089"/>
      <c r="P5" s="2089"/>
      <c r="Q5" s="2089"/>
      <c r="R5" s="2089"/>
      <c r="S5" s="2089"/>
      <c r="AF5" s="1826"/>
    </row>
    <row r="6" spans="1:32" ht="14.1" customHeight="1" x14ac:dyDescent="0.2">
      <c r="B6" s="101"/>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11" t="s">
        <v>530</v>
      </c>
      <c r="U9" s="2112"/>
      <c r="V9" s="2112"/>
      <c r="W9" s="2112"/>
      <c r="X9" s="2112"/>
      <c r="Y9" s="2112"/>
      <c r="Z9" s="2112"/>
      <c r="AA9" s="2113"/>
    </row>
    <row r="10" spans="1:32" ht="13.5" customHeight="1" x14ac:dyDescent="0.2">
      <c r="A10" s="2118" t="s">
        <v>670</v>
      </c>
      <c r="B10" s="2119"/>
      <c r="C10" s="2119"/>
      <c r="D10" s="2119"/>
      <c r="E10" s="2119"/>
      <c r="F10" s="2119"/>
      <c r="G10" s="2119"/>
      <c r="H10" s="2120"/>
      <c r="I10" s="29"/>
      <c r="J10" s="30"/>
      <c r="K10" s="28"/>
      <c r="R10" s="30"/>
      <c r="S10" s="30"/>
      <c r="T10" s="2114"/>
      <c r="U10" s="2089"/>
      <c r="V10" s="2089"/>
      <c r="W10" s="2089"/>
      <c r="X10" s="2089"/>
      <c r="Y10" s="2089"/>
      <c r="Z10" s="2089"/>
      <c r="AA10" s="2103"/>
    </row>
    <row r="11" spans="1:32" ht="14.25" customHeight="1" x14ac:dyDescent="0.2">
      <c r="A11" s="2121" t="s">
        <v>949</v>
      </c>
      <c r="B11" s="2122"/>
      <c r="C11" s="2122"/>
      <c r="D11" s="2122"/>
      <c r="E11" s="2122"/>
      <c r="F11" s="2122"/>
      <c r="G11" s="2122"/>
      <c r="H11" s="2123"/>
      <c r="I11" s="27"/>
      <c r="J11" s="71"/>
      <c r="K11" s="27"/>
      <c r="O11" s="144" t="s">
        <v>2021</v>
      </c>
      <c r="P11" s="97" t="s">
        <v>199</v>
      </c>
      <c r="Q11" s="30"/>
      <c r="R11" s="28"/>
      <c r="S11" s="27"/>
      <c r="T11" s="2115"/>
      <c r="U11" s="2116"/>
      <c r="V11" s="2116"/>
      <c r="W11" s="2116"/>
      <c r="X11" s="2116"/>
      <c r="Y11" s="2116"/>
      <c r="Z11" s="2116"/>
      <c r="AA11" s="211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5" t="s">
        <v>2031</v>
      </c>
      <c r="B13" s="2126"/>
      <c r="C13" s="2126"/>
      <c r="D13" s="2126"/>
      <c r="E13" s="2126"/>
      <c r="F13" s="2126"/>
      <c r="G13" s="2126"/>
      <c r="H13" s="2127"/>
      <c r="I13" s="31"/>
      <c r="J13" s="30"/>
      <c r="K13" s="28"/>
      <c r="L13" s="30"/>
      <c r="M13" s="30"/>
      <c r="N13" s="30"/>
      <c r="O13" s="30"/>
      <c r="P13" s="30"/>
      <c r="Q13" s="30"/>
      <c r="R13" s="30"/>
      <c r="S13" s="30"/>
      <c r="T13" s="2130" t="s">
        <v>2022</v>
      </c>
      <c r="U13" s="2131"/>
      <c r="V13" s="2131"/>
      <c r="W13" s="2131"/>
      <c r="X13" s="2131"/>
      <c r="Y13" s="2132"/>
      <c r="Z13" s="2132"/>
      <c r="AA13" s="213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24" t="s">
        <v>2032</v>
      </c>
      <c r="B15" s="2128"/>
      <c r="C15" s="2128"/>
      <c r="D15" s="2128"/>
      <c r="E15" s="2128"/>
      <c r="F15" s="2128"/>
      <c r="G15" s="2128"/>
      <c r="H15" s="2129"/>
      <c r="T15" s="2091" t="s">
        <v>2023</v>
      </c>
      <c r="U15" s="2068"/>
      <c r="V15" s="2068"/>
      <c r="W15" s="2068"/>
      <c r="X15" s="2068"/>
      <c r="Y15" s="2092"/>
      <c r="Z15" s="2092"/>
      <c r="AA15" s="209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2033</v>
      </c>
      <c r="B17" s="2075"/>
      <c r="C17" s="2075"/>
      <c r="D17" s="2075"/>
      <c r="E17" s="2075"/>
      <c r="F17" s="2075"/>
      <c r="G17" s="2075"/>
      <c r="H17" s="2108"/>
      <c r="T17" s="2096" t="s">
        <v>2024</v>
      </c>
      <c r="U17" s="2097"/>
      <c r="V17" s="2097"/>
      <c r="W17" s="2097"/>
      <c r="X17" s="2097"/>
      <c r="Y17" s="2097"/>
      <c r="Z17" s="2097"/>
      <c r="AA17" s="2098"/>
    </row>
    <row r="18" spans="1:27" ht="13.5" customHeight="1" x14ac:dyDescent="0.2">
      <c r="A18" s="82" t="s">
        <v>527</v>
      </c>
      <c r="B18" s="73"/>
      <c r="C18" s="69"/>
      <c r="D18" s="73"/>
      <c r="E18" s="73"/>
      <c r="F18" s="73"/>
      <c r="G18" s="73"/>
      <c r="H18" s="53"/>
      <c r="I18" s="2107"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24" t="s">
        <v>2034</v>
      </c>
      <c r="B19" s="2060"/>
      <c r="C19" s="2060"/>
      <c r="D19" s="2060"/>
      <c r="E19" s="2060"/>
      <c r="F19" s="2060"/>
      <c r="G19" s="2060"/>
      <c r="H19" s="2040"/>
      <c r="I19" s="30"/>
      <c r="J19" s="96"/>
      <c r="K19" s="40"/>
      <c r="L19" s="38"/>
      <c r="M19" s="109" t="s">
        <v>312</v>
      </c>
      <c r="P19" s="27"/>
      <c r="Q19" s="27"/>
      <c r="R19" s="27"/>
      <c r="S19" s="31"/>
      <c r="T19" s="2124" t="s">
        <v>2025</v>
      </c>
      <c r="U19" s="2039"/>
      <c r="V19" s="2039"/>
      <c r="W19" s="2040"/>
      <c r="X19" s="2095" t="s">
        <v>2026</v>
      </c>
      <c r="Y19" s="2039"/>
      <c r="Z19" s="2094">
        <v>61761</v>
      </c>
      <c r="AA19" s="204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2035</v>
      </c>
      <c r="B21" s="2039"/>
      <c r="C21" s="2039"/>
      <c r="D21" s="2039"/>
      <c r="E21" s="2039"/>
      <c r="F21" s="2039"/>
      <c r="G21" s="2039"/>
      <c r="H21" s="2040"/>
      <c r="I21" s="2102" t="s">
        <v>673</v>
      </c>
      <c r="J21" s="2089"/>
      <c r="K21" s="2089"/>
      <c r="L21" s="2089"/>
      <c r="M21" s="2089"/>
      <c r="N21" s="2089"/>
      <c r="O21" s="2089"/>
      <c r="P21" s="2089"/>
      <c r="Q21" s="2089"/>
      <c r="R21" s="2089"/>
      <c r="S21" s="2103"/>
      <c r="T21" s="2142">
        <v>3094522417</v>
      </c>
      <c r="U21" s="2143"/>
      <c r="V21" s="2143"/>
      <c r="W21" s="2143"/>
      <c r="X21" s="2066">
        <v>3098889261</v>
      </c>
      <c r="Y21" s="2109"/>
      <c r="Z21" s="2109"/>
      <c r="AA21" s="2110"/>
    </row>
    <row r="22" spans="1:27" ht="13.5" customHeight="1" x14ac:dyDescent="0.2">
      <c r="A22" s="84" t="s">
        <v>528</v>
      </c>
      <c r="B22" s="56"/>
      <c r="C22" s="56"/>
      <c r="D22" s="56"/>
      <c r="E22" s="56"/>
      <c r="F22" s="56"/>
      <c r="G22" s="56"/>
      <c r="H22" s="57"/>
      <c r="I22" s="2104" t="s">
        <v>1415</v>
      </c>
      <c r="J22" s="2105"/>
      <c r="K22" s="2105"/>
      <c r="L22" s="2105"/>
      <c r="M22" s="2105"/>
      <c r="N22" s="2105"/>
      <c r="O22" s="2105"/>
      <c r="P22" s="2105"/>
      <c r="Q22" s="2105"/>
      <c r="R22" s="2105"/>
      <c r="S22" s="2106"/>
      <c r="T22" s="82" t="s">
        <v>1502</v>
      </c>
      <c r="U22" s="48"/>
      <c r="V22" s="69"/>
      <c r="W22" s="48"/>
      <c r="X22" s="155" t="s">
        <v>1309</v>
      </c>
      <c r="Z22" s="43"/>
      <c r="AA22" s="44"/>
    </row>
    <row r="23" spans="1:27" ht="13.5" customHeight="1" x14ac:dyDescent="0.2">
      <c r="A23" s="2099" t="s">
        <v>2036</v>
      </c>
      <c r="B23" s="2100"/>
      <c r="C23" s="2100"/>
      <c r="D23" s="2100"/>
      <c r="E23" s="2100"/>
      <c r="F23" s="2100"/>
      <c r="G23" s="2100"/>
      <c r="H23" s="2101"/>
      <c r="T23" s="2074" t="s">
        <v>2028</v>
      </c>
      <c r="U23" s="2141"/>
      <c r="V23" s="2141"/>
      <c r="W23" s="2141"/>
      <c r="X23" s="2145">
        <v>44530</v>
      </c>
      <c r="Y23" s="2128"/>
      <c r="Z23" s="2128"/>
      <c r="AA23" s="2129"/>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v>61764</v>
      </c>
      <c r="B25" s="2039"/>
      <c r="C25" s="2039"/>
      <c r="D25" s="2039"/>
      <c r="E25" s="2039"/>
      <c r="F25" s="2039"/>
      <c r="G25" s="2039"/>
      <c r="H25" s="2040"/>
      <c r="I25" s="110"/>
      <c r="J25" s="2063"/>
      <c r="K25" s="2063"/>
      <c r="L25" s="2063"/>
      <c r="M25" s="2063"/>
      <c r="N25" s="2063"/>
      <c r="O25" s="2063"/>
      <c r="P25" s="2063"/>
      <c r="Q25" s="2063"/>
      <c r="R25" s="2063"/>
      <c r="S25" s="2064"/>
      <c r="T25" s="2138" t="s">
        <v>2027</v>
      </c>
      <c r="U25" s="2139"/>
      <c r="V25" s="2139"/>
      <c r="W25" s="2139"/>
      <c r="X25" s="2139"/>
      <c r="Y25" s="2139"/>
      <c r="Z25" s="2139"/>
      <c r="AA25" s="214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9" t="s">
        <v>1497</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99"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99"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2037</v>
      </c>
      <c r="B38" s="2075"/>
      <c r="C38" s="2075"/>
      <c r="D38" s="2075"/>
      <c r="E38" s="2075"/>
      <c r="F38" s="2039"/>
      <c r="G38" s="2039"/>
      <c r="H38" s="2040"/>
      <c r="I38" s="2067"/>
      <c r="J38" s="2068"/>
      <c r="K38" s="2068"/>
      <c r="L38" s="2068"/>
      <c r="M38" s="2068"/>
      <c r="N38" s="2068"/>
      <c r="O38" s="2068"/>
      <c r="P38" s="2069"/>
      <c r="Q38" s="2069"/>
      <c r="R38" s="2069"/>
      <c r="S38" s="2070"/>
      <c r="T38" s="209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2036</v>
      </c>
      <c r="B40" s="2053"/>
      <c r="C40" s="2054"/>
      <c r="D40" s="2054"/>
      <c r="E40" s="2054"/>
      <c r="F40" s="2055"/>
      <c r="G40" s="2055"/>
      <c r="H40" s="2056"/>
      <c r="I40" s="2077"/>
      <c r="J40" s="2078"/>
      <c r="K40" s="2078"/>
      <c r="L40" s="2078"/>
      <c r="M40" s="2078"/>
      <c r="N40" s="2078"/>
      <c r="O40" s="2078"/>
      <c r="P40" s="2078"/>
      <c r="Q40" s="2078"/>
      <c r="R40" s="2078"/>
      <c r="S40" s="2079"/>
      <c r="T40" s="2077"/>
      <c r="U40" s="2144"/>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2038</v>
      </c>
      <c r="B42" s="2058"/>
      <c r="C42" s="2059"/>
      <c r="D42" s="2057"/>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sheet="1" objects="1" scenarios="1"/>
  <mergeCells count="54">
    <mergeCell ref="B1:D1"/>
    <mergeCell ref="B2:D2"/>
    <mergeCell ref="T25:AA25"/>
    <mergeCell ref="T23:W23"/>
    <mergeCell ref="X42:AA42"/>
    <mergeCell ref="T21:W21"/>
    <mergeCell ref="T42:W42"/>
    <mergeCell ref="T38:AA38"/>
    <mergeCell ref="T40:AA40"/>
    <mergeCell ref="X23:AA23"/>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X21:AA21"/>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7" sqref="B7"/>
    </sheetView>
  </sheetViews>
  <sheetFormatPr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9" t="s">
        <v>1058</v>
      </c>
      <c r="B35" s="2149"/>
      <c r="C35" s="2149"/>
      <c r="D35" s="2149"/>
      <c r="E35" s="214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6" t="s">
        <v>686</v>
      </c>
      <c r="B40" s="2146"/>
      <c r="C40" s="2146"/>
      <c r="D40" s="2146"/>
      <c r="E40" s="2146"/>
    </row>
    <row r="41" spans="1:5" x14ac:dyDescent="0.2">
      <c r="A41" s="2147" t="s">
        <v>1594</v>
      </c>
      <c r="B41" s="2147"/>
      <c r="C41" s="2147"/>
      <c r="D41" s="2147"/>
      <c r="E41" s="2147"/>
    </row>
    <row r="42" spans="1:5" ht="12.75" customHeight="1" x14ac:dyDescent="0.2">
      <c r="A42" s="2148" t="s">
        <v>1015</v>
      </c>
      <c r="B42" s="2148"/>
      <c r="C42" s="2148"/>
      <c r="D42" s="2148"/>
      <c r="E42" s="2148"/>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 ref="A42:E42" r:id="rId4" display="23, Illinois Administrative Code 100, Subtitle A, Chapter I, Subchapter C (Part 1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4" colorId="8" zoomScaleNormal="100" workbookViewId="0">
      <selection activeCell="H94" sqref="H94"/>
    </sheetView>
  </sheetViews>
  <sheetFormatPr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1160</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7" t="s">
        <v>1619</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1314</v>
      </c>
      <c r="B70" s="2170"/>
      <c r="C70" s="2170"/>
      <c r="D70" s="2170"/>
      <c r="E70" s="2171"/>
      <c r="F70" s="2171"/>
      <c r="G70" s="2171"/>
      <c r="H70" s="2171"/>
      <c r="I70" s="217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1311</v>
      </c>
      <c r="B83" s="2172"/>
      <c r="C83" s="2172"/>
      <c r="D83" s="217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3" t="s">
        <v>1992</v>
      </c>
      <c r="B85" s="2183"/>
      <c r="C85" s="2183"/>
      <c r="D85" s="2184"/>
      <c r="E85" s="1544"/>
      <c r="F85" s="1544"/>
      <c r="G85" s="1544"/>
      <c r="H85" s="1544"/>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50" t="s">
        <v>1992</v>
      </c>
      <c r="B88" s="2151"/>
      <c r="C88" s="2151"/>
      <c r="D88" s="2152"/>
      <c r="E88" s="1544"/>
      <c r="F88" s="1544"/>
      <c r="G88" s="1544"/>
      <c r="H88" s="1544"/>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5"/>
      <c r="F90" s="1545"/>
      <c r="G90" s="1545"/>
      <c r="H90" s="1545"/>
      <c r="I90" s="1903"/>
      <c r="J90" s="172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2029</v>
      </c>
      <c r="D114" s="216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1321</v>
      </c>
      <c r="D117" s="2165"/>
      <c r="E117" s="2166"/>
      <c r="F117" s="2166"/>
      <c r="G117" s="2166"/>
      <c r="H117" s="2166"/>
      <c r="I117" s="282"/>
    </row>
    <row r="118" spans="1:9" s="176" customFormat="1" ht="24" customHeight="1" x14ac:dyDescent="0.2">
      <c r="A118" s="294"/>
      <c r="B118" s="294"/>
      <c r="C118" s="294"/>
      <c r="D118" s="301" t="s">
        <v>2029</v>
      </c>
      <c r="E118" s="300"/>
      <c r="F118" s="1924">
        <v>44096</v>
      </c>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sheet="1" objects="1" scenarios="1"/>
  <mergeCells count="11">
    <mergeCell ref="A85:D85"/>
    <mergeCell ref="A88:D88"/>
    <mergeCell ref="A2:J2"/>
    <mergeCell ref="B102:I112"/>
    <mergeCell ref="C114:D114"/>
    <mergeCell ref="C117:H117"/>
    <mergeCell ref="A35:I35"/>
    <mergeCell ref="A47:I47"/>
    <mergeCell ref="A70:I70"/>
    <mergeCell ref="A83:D83"/>
    <mergeCell ref="B57:J67"/>
  </mergeCells>
  <phoneticPr fontId="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7" sqref="J7"/>
    </sheetView>
  </sheetViews>
  <sheetFormatPr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5" t="s">
        <v>383</v>
      </c>
      <c r="B1" s="2185"/>
      <c r="C1" s="2185"/>
      <c r="D1" s="2185"/>
      <c r="E1" s="2185"/>
      <c r="F1" s="2185"/>
      <c r="G1" s="2185"/>
      <c r="H1" s="2185"/>
      <c r="I1" s="2185"/>
      <c r="J1" s="2185"/>
      <c r="K1" s="2185"/>
      <c r="L1" s="2185"/>
      <c r="M1" s="218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thickBot="1" x14ac:dyDescent="0.25">
      <c r="C6" s="217"/>
      <c r="D6" s="217"/>
      <c r="E6" s="217"/>
      <c r="F6" s="217"/>
      <c r="G6" s="217"/>
      <c r="H6" s="217"/>
      <c r="I6" s="217"/>
      <c r="J6" s="217"/>
      <c r="K6" s="217"/>
      <c r="L6" s="217"/>
      <c r="M6" s="217"/>
    </row>
    <row r="7" spans="1:14" ht="13.35" customHeight="1" thickBot="1" x14ac:dyDescent="0.25">
      <c r="B7" s="217"/>
      <c r="C7" s="217"/>
      <c r="D7" s="1840" t="str">
        <f>"Tax Year "&amp;'AFR20'!E2-1</f>
        <v>Tax Year 2019</v>
      </c>
      <c r="E7" s="217"/>
      <c r="F7" s="329" t="s">
        <v>270</v>
      </c>
      <c r="G7" s="217"/>
      <c r="H7" s="217"/>
      <c r="I7" s="217"/>
      <c r="J7" s="1922">
        <v>244370044</v>
      </c>
      <c r="K7" s="217"/>
      <c r="L7" s="217"/>
      <c r="M7" s="217"/>
    </row>
    <row r="8" spans="1:14" ht="10.9" customHeight="1" thickTop="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1.4713199999999999E-2</v>
      </c>
      <c r="E10" s="333" t="s">
        <v>998</v>
      </c>
      <c r="F10" s="332">
        <v>2.9761000000000002E-3</v>
      </c>
      <c r="G10" s="333" t="s">
        <v>998</v>
      </c>
      <c r="H10" s="332">
        <v>2.4997999999999999E-3</v>
      </c>
      <c r="I10" s="333" t="s">
        <v>999</v>
      </c>
      <c r="J10" s="1424">
        <f>ROUND(D10+F10+H10,5)</f>
        <v>2.019E-2</v>
      </c>
      <c r="K10" s="217"/>
      <c r="L10" s="332">
        <v>0</v>
      </c>
      <c r="M10" s="217"/>
    </row>
    <row r="11" spans="1:14" ht="7.5" customHeight="1" x14ac:dyDescent="0.2">
      <c r="B11" s="217"/>
      <c r="C11" s="217"/>
      <c r="D11" s="2195" t="str">
        <f>IF(SUM(J10)&lt;=0.0999999,"","Enter the Tax Rates by moving the decimal two places to the left.")</f>
        <v/>
      </c>
      <c r="E11" s="2196"/>
      <c r="F11" s="2196"/>
      <c r="G11" s="2196"/>
      <c r="H11" s="2196"/>
      <c r="I11" s="2196"/>
      <c r="J11" s="219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10547491</v>
      </c>
      <c r="E16" s="1547"/>
      <c r="F16" s="1546">
        <f>SUM('Acct Summary 7-8'!C17,'Acct Summary 7-8'!D17,'Acct Summary 7-8'!F17)</f>
        <v>8818344</v>
      </c>
      <c r="G16" s="1547"/>
      <c r="H16" s="1546">
        <f>SUM(D16-F16)</f>
        <v>1729147</v>
      </c>
      <c r="I16" s="1548"/>
      <c r="J16" s="1546">
        <f>SUM('Acct Summary 7-8'!C81,'Acct Summary 7-8'!D81,'Acct Summary 7-8'!F81,'Acct Summary 7-8'!I81)</f>
        <v>4014353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2030</v>
      </c>
      <c r="C31" s="344" t="s">
        <v>582</v>
      </c>
      <c r="D31" s="232" t="s">
        <v>1065</v>
      </c>
      <c r="E31" s="217"/>
      <c r="F31" s="217"/>
      <c r="G31" s="340"/>
      <c r="H31" s="1425">
        <f>IF(B31="X",(J7*0.069),IF(B32="X",(J7*0.138),"Enter x in a.or b."))</f>
        <v>16861533.036000002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2675000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6"/>
      <c r="C54" s="2187"/>
      <c r="D54" s="2187"/>
      <c r="E54" s="2187"/>
      <c r="F54" s="2187"/>
      <c r="G54" s="2187"/>
      <c r="H54" s="2187"/>
      <c r="I54" s="2187"/>
      <c r="J54" s="2187"/>
      <c r="K54" s="2187"/>
      <c r="L54" s="2188"/>
      <c r="M54" s="357"/>
    </row>
    <row r="55" spans="1:13" ht="12.75" customHeight="1" x14ac:dyDescent="0.2">
      <c r="B55" s="2189"/>
      <c r="C55" s="2190"/>
      <c r="D55" s="2190"/>
      <c r="E55" s="2190"/>
      <c r="F55" s="2190"/>
      <c r="G55" s="2190"/>
      <c r="H55" s="2190"/>
      <c r="I55" s="2190"/>
      <c r="J55" s="2190"/>
      <c r="K55" s="2190"/>
      <c r="L55" s="2191"/>
      <c r="M55" s="357"/>
    </row>
    <row r="56" spans="1:13" ht="12.75" customHeight="1" x14ac:dyDescent="0.2">
      <c r="B56" s="2189"/>
      <c r="C56" s="2190"/>
      <c r="D56" s="2190"/>
      <c r="E56" s="2190"/>
      <c r="F56" s="2190"/>
      <c r="G56" s="2190"/>
      <c r="H56" s="2190"/>
      <c r="I56" s="2190"/>
      <c r="J56" s="2190"/>
      <c r="K56" s="2190"/>
      <c r="L56" s="2191"/>
      <c r="M56" s="217"/>
    </row>
    <row r="57" spans="1:13" ht="12.75" customHeight="1" x14ac:dyDescent="0.2">
      <c r="B57" s="2189"/>
      <c r="C57" s="2190"/>
      <c r="D57" s="2190"/>
      <c r="E57" s="2190"/>
      <c r="F57" s="2190"/>
      <c r="G57" s="2190"/>
      <c r="H57" s="2190"/>
      <c r="I57" s="2190"/>
      <c r="J57" s="2190"/>
      <c r="K57" s="2190"/>
      <c r="L57" s="2191"/>
      <c r="M57" s="217"/>
    </row>
    <row r="58" spans="1:13" x14ac:dyDescent="0.2">
      <c r="B58" s="2192"/>
      <c r="C58" s="2193"/>
      <c r="D58" s="2193"/>
      <c r="E58" s="2193"/>
      <c r="F58" s="2193"/>
      <c r="G58" s="2193"/>
      <c r="H58" s="2193"/>
      <c r="I58" s="2193"/>
      <c r="J58" s="2193"/>
      <c r="K58" s="2193"/>
      <c r="L58" s="219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7"/>
      <c r="D61" s="219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sheet="1" objects="1" scenarios="1"/>
  <mergeCells count="4">
    <mergeCell ref="A1:M1"/>
    <mergeCell ref="B54:L58"/>
    <mergeCell ref="D11:J11"/>
    <mergeCell ref="C61:D61"/>
  </mergeCells>
  <phoneticPr fontId="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12" sqref="H12"/>
    </sheetView>
  </sheetViews>
  <sheetFormatPr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0"/>
      <c r="B1" s="2201"/>
      <c r="C1" s="2201"/>
      <c r="D1" s="361"/>
      <c r="E1" s="361"/>
      <c r="F1" s="361"/>
      <c r="G1" s="361"/>
      <c r="H1" s="361"/>
      <c r="I1" s="361"/>
      <c r="J1" s="361"/>
      <c r="K1" s="361"/>
      <c r="L1" s="361"/>
      <c r="M1" s="361"/>
      <c r="N1" s="361"/>
      <c r="O1" s="2200"/>
      <c r="P1" s="2201"/>
      <c r="Q1" s="2201"/>
    </row>
    <row r="2" spans="1:18" ht="15" x14ac:dyDescent="0.2">
      <c r="A2" s="2204" t="s">
        <v>552</v>
      </c>
      <c r="B2" s="2204"/>
      <c r="C2" s="2204"/>
      <c r="D2" s="2204"/>
      <c r="E2" s="2204"/>
      <c r="F2" s="2204"/>
      <c r="G2" s="2204"/>
      <c r="H2" s="2204"/>
      <c r="I2" s="2204"/>
      <c r="J2" s="2204"/>
      <c r="K2" s="2204"/>
      <c r="L2" s="2204"/>
      <c r="M2" s="2204"/>
      <c r="N2" s="2204"/>
      <c r="O2" s="2204"/>
      <c r="P2" s="2204"/>
      <c r="Q2" s="2204"/>
      <c r="R2" s="2204"/>
    </row>
    <row r="3" spans="1:18" ht="12.75" x14ac:dyDescent="0.2">
      <c r="A3" s="2205" t="s">
        <v>1399</v>
      </c>
      <c r="B3" s="2205"/>
      <c r="C3" s="2205"/>
      <c r="D3" s="2205"/>
      <c r="E3" s="2205"/>
      <c r="F3" s="2205"/>
      <c r="G3" s="2205"/>
      <c r="H3" s="2205"/>
      <c r="I3" s="2205"/>
      <c r="J3" s="2205"/>
      <c r="K3" s="2205"/>
      <c r="L3" s="2205"/>
      <c r="M3" s="2205"/>
      <c r="N3" s="2205"/>
      <c r="O3" s="2205"/>
      <c r="P3" s="2205"/>
      <c r="Q3" s="2205"/>
      <c r="R3" s="2205"/>
    </row>
    <row r="4" spans="1:18" x14ac:dyDescent="0.2">
      <c r="A4" s="2206" t="s">
        <v>1540</v>
      </c>
      <c r="B4" s="2206"/>
      <c r="C4" s="2206"/>
      <c r="D4" s="2206"/>
      <c r="E4" s="2206"/>
      <c r="F4" s="2206"/>
      <c r="G4" s="2206"/>
      <c r="H4" s="2206"/>
      <c r="I4" s="2206"/>
      <c r="J4" s="2206"/>
      <c r="K4" s="2206"/>
      <c r="L4" s="2206"/>
      <c r="M4" s="2206"/>
      <c r="N4" s="2206"/>
      <c r="O4" s="2206"/>
      <c r="P4" s="2206"/>
      <c r="Q4" s="2206"/>
      <c r="R4" s="220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Pontiac Township High School District #90</v>
      </c>
      <c r="E7" s="368"/>
      <c r="G7" s="247"/>
      <c r="H7" s="364"/>
      <c r="I7" s="364"/>
      <c r="J7" s="364"/>
      <c r="K7" s="364"/>
      <c r="L7" s="307"/>
      <c r="M7" s="307"/>
      <c r="N7" s="307"/>
      <c r="O7" s="307"/>
      <c r="P7" s="307"/>
    </row>
    <row r="8" spans="1:18" ht="12.75" x14ac:dyDescent="0.2">
      <c r="A8" s="307"/>
      <c r="B8" s="307"/>
      <c r="C8" s="366" t="s">
        <v>1117</v>
      </c>
      <c r="D8" s="369" t="str">
        <f>COVER!A13</f>
        <v>17-053-0900-17</v>
      </c>
      <c r="E8" s="370"/>
      <c r="G8" s="307"/>
      <c r="H8" s="307"/>
      <c r="I8" s="307"/>
      <c r="J8" s="307"/>
      <c r="K8" s="307"/>
      <c r="L8" s="307"/>
      <c r="M8" s="307"/>
      <c r="N8" s="307"/>
      <c r="O8" s="307"/>
      <c r="P8" s="307"/>
    </row>
    <row r="9" spans="1:18" ht="12.75" x14ac:dyDescent="0.2">
      <c r="A9" s="307"/>
      <c r="B9" s="307"/>
      <c r="C9" s="366" t="s">
        <v>708</v>
      </c>
      <c r="D9" s="371" t="str">
        <f>COVER!A15</f>
        <v>Livingston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7-8'!C81+'Acct Summary 7-8'!D81+'Acct Summary 7-8'!F81+'Acct Summary 7-8'!I81+IF('Acct Summary 7-8'!G81&lt;0,'Acct Summary 7-8'!G81,"0")+IF('Acct Summary 7-8'!J81&lt;0,'Acct Summary 7-8'!J81,"0"))</f>
        <v>4014353</v>
      </c>
      <c r="I12" s="380"/>
      <c r="J12" s="380"/>
      <c r="K12" s="1558">
        <f>TRUNC((H12/H13*100000),5)/100000</f>
        <v>0.38059790710000002</v>
      </c>
      <c r="L12" s="381"/>
      <c r="M12" s="337" t="s">
        <v>1136</v>
      </c>
      <c r="N12" s="337"/>
      <c r="O12" s="1561">
        <v>0.35</v>
      </c>
      <c r="P12" s="213"/>
      <c r="Q12" s="213"/>
    </row>
    <row r="13" spans="1:18" s="382" customFormat="1" ht="12.75" x14ac:dyDescent="0.2">
      <c r="A13" s="213"/>
      <c r="B13" s="377"/>
      <c r="C13" s="2202" t="s">
        <v>1315</v>
      </c>
      <c r="D13" s="2203"/>
      <c r="E13" s="213"/>
      <c r="F13" s="383" t="s">
        <v>788</v>
      </c>
      <c r="G13" s="378"/>
      <c r="H13" s="1550">
        <f>SUM('Acct Summary 7-8'!C8+'Acct Summary 7-8'!D8+'Acct Summary 7-8'!F8+'Acct Summary 7-8'!I8)+H14</f>
        <v>10547491</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8818344</v>
      </c>
      <c r="I17" s="380"/>
      <c r="J17" s="389"/>
      <c r="K17" s="1558">
        <f>TRUNC((H17/H18*100000),5)/100000</f>
        <v>0.83606082240000001</v>
      </c>
      <c r="L17" s="381"/>
      <c r="M17" s="390" t="s">
        <v>1163</v>
      </c>
      <c r="O17" s="1564" t="str">
        <f>IF(AND(O16="2", J20 &gt; 2),"1",IF(AND(O16 = "1", J20 &gt; 2),"2",IF(AND(O16="1", J20 &gt;1),"1","0")))</f>
        <v>0</v>
      </c>
      <c r="P17" s="213"/>
    </row>
    <row r="18" spans="1:18" s="382" customFormat="1" ht="11.25" x14ac:dyDescent="0.2">
      <c r="A18" s="213"/>
      <c r="B18" s="377"/>
      <c r="C18" s="2202" t="s">
        <v>1308</v>
      </c>
      <c r="D18" s="2203"/>
      <c r="E18" s="213"/>
      <c r="F18" s="391" t="s">
        <v>789</v>
      </c>
      <c r="G18" s="378"/>
      <c r="H18" s="1550">
        <f>SUM('Acct Summary 7-8'!C8+'Acct Summary 7-8'!D8+'Acct Summary 7-8'!F8+'Acct Summary 7-8'!I8)+H19</f>
        <v>10547491</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1137</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4</v>
      </c>
      <c r="P23" s="211"/>
      <c r="R23" s="361"/>
    </row>
    <row r="24" spans="1:18" s="382" customFormat="1" ht="11.25" x14ac:dyDescent="0.2">
      <c r="A24" s="213"/>
      <c r="B24" s="377"/>
      <c r="C24" s="2199" t="s">
        <v>1398</v>
      </c>
      <c r="D24" s="2199"/>
      <c r="E24" s="213"/>
      <c r="F24" s="213" t="s">
        <v>442</v>
      </c>
      <c r="G24" s="378"/>
      <c r="H24" s="1550">
        <f>SUM('Assets-Liab 5-6'!C4+'Assets-Liab 5-6'!D4+'Assets-Liab 5-6'!F4+'Assets-Liab 5-6'!I4+'Assets-Liab 5-6'!C5+'Assets-Liab 5-6'!D5+'Assets-Liab 5-6'!F5+'Assets-Liab 5-6'!I5)</f>
        <v>6011877</v>
      </c>
      <c r="I24" s="394"/>
      <c r="J24" s="394"/>
      <c r="K24" s="1554">
        <f>TRUNC(((H24/H25*100000)/100000),2)</f>
        <v>245.42</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24495.4</v>
      </c>
      <c r="I25" s="396"/>
      <c r="J25" s="396"/>
      <c r="K25" s="1557"/>
      <c r="L25" s="213"/>
      <c r="M25" s="337" t="s">
        <v>1137</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1896</v>
      </c>
      <c r="D28" s="213"/>
      <c r="E28" s="213"/>
      <c r="F28" s="213" t="s">
        <v>441</v>
      </c>
      <c r="G28" s="378"/>
      <c r="H28" s="1555">
        <f>SUM('Short-Term Long-Term Debt 24'!F6,'Short-Term Long-Term Debt 24'!F7,'Short-Term Long-Term Debt 24'!F11)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3'!J7*'FP Info 3'!J10),5)</f>
        <v>4193756.5101100001</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4</v>
      </c>
      <c r="P31" s="211"/>
    </row>
    <row r="32" spans="1:18" s="382" customFormat="1" ht="11.25" x14ac:dyDescent="0.2">
      <c r="A32" s="213"/>
      <c r="B32" s="377"/>
      <c r="C32" s="213" t="s">
        <v>842</v>
      </c>
      <c r="D32" s="213"/>
      <c r="E32" s="213"/>
      <c r="F32" s="213"/>
      <c r="G32" s="378"/>
      <c r="H32" s="1550">
        <f>'FP Info 3'!H37</f>
        <v>2675000</v>
      </c>
      <c r="I32" s="392"/>
      <c r="J32" s="392"/>
      <c r="K32" s="1554">
        <f>TRUNC(100-((((H32/H33*100))*100)/100),2)</f>
        <v>84.13</v>
      </c>
      <c r="L32" s="381"/>
      <c r="M32" s="337" t="s">
        <v>1136</v>
      </c>
      <c r="N32" s="337"/>
      <c r="O32" s="1567">
        <v>0.1</v>
      </c>
    </row>
    <row r="33" spans="1:17" s="382" customFormat="1" ht="11.25" x14ac:dyDescent="0.2">
      <c r="A33" s="213"/>
      <c r="B33" s="377"/>
      <c r="C33" s="213" t="s">
        <v>794</v>
      </c>
      <c r="D33" s="213"/>
      <c r="E33" s="213"/>
      <c r="F33" s="213"/>
      <c r="G33" s="378"/>
      <c r="H33" s="379">
        <f>IF('FP Info 3'!H31="Enter X in a or b"," ",'FP Info 3'!H31)</f>
        <v>16861533.036000002</v>
      </c>
      <c r="I33" s="392"/>
      <c r="J33" s="392"/>
      <c r="K33" s="379"/>
      <c r="L33" s="213"/>
      <c r="M33" s="401" t="s">
        <v>1137</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sheet="1" objects="1" scenarios="1"/>
  <mergeCells count="8">
    <mergeCell ref="C24:D24"/>
    <mergeCell ref="A1:C1"/>
    <mergeCell ref="O1:Q1"/>
    <mergeCell ref="C18:D18"/>
    <mergeCell ref="C13:D13"/>
    <mergeCell ref="A2:R2"/>
    <mergeCell ref="A3:R3"/>
    <mergeCell ref="A4:R4"/>
  </mergeCells>
  <phoneticPr fontId="7" type="noConversion"/>
  <hyperlinks>
    <hyperlink ref="A4" r:id="rId1" display="www.isbe.net/sfms/p/profile.htm"/>
    <hyperlink ref="A4:R4" r:id="rId2" display="https://www.isbe.net/Pages/School-District-Financial-Profile.aspx"/>
  </hyperlinks>
  <printOptions headings="1"/>
  <pageMargins left="0.25" right="0.2" top="0.8" bottom="0.52" header="0.36"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5" activePane="bottomLeft" state="frozen"/>
      <selection pane="bottomLeft" activeCell="C12" sqref="C12"/>
    </sheetView>
  </sheetViews>
  <sheetFormatPr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9" t="s">
        <v>967</v>
      </c>
      <c r="B3" s="2210"/>
      <c r="C3" s="1306"/>
      <c r="D3" s="1307"/>
      <c r="E3" s="1307"/>
      <c r="F3" s="1307"/>
      <c r="G3" s="1307"/>
      <c r="H3" s="1307"/>
      <c r="I3" s="1307"/>
      <c r="J3" s="1307"/>
      <c r="K3" s="1307"/>
      <c r="L3" s="1307"/>
      <c r="M3" s="1308"/>
      <c r="N3" s="1309"/>
    </row>
    <row r="4" spans="1:14" ht="13.5" customHeight="1" x14ac:dyDescent="0.2">
      <c r="A4" s="427" t="s">
        <v>1635</v>
      </c>
      <c r="B4" s="428"/>
      <c r="C4" s="1571">
        <f>35+100+2396</f>
        <v>2531</v>
      </c>
      <c r="D4" s="1572">
        <f>461062-35+70681</f>
        <v>531708</v>
      </c>
      <c r="E4" s="1572">
        <v>5036</v>
      </c>
      <c r="F4" s="1572">
        <v>1332550</v>
      </c>
      <c r="G4" s="1572">
        <v>33230</v>
      </c>
      <c r="H4" s="1572">
        <v>638317</v>
      </c>
      <c r="I4" s="1572">
        <v>92464</v>
      </c>
      <c r="J4" s="1573">
        <v>21754</v>
      </c>
      <c r="K4" s="1572">
        <f>128629-12960</f>
        <v>115669</v>
      </c>
      <c r="L4" s="1572">
        <f>54680+367944</f>
        <v>422624</v>
      </c>
      <c r="M4" s="1574"/>
      <c r="N4" s="1575"/>
    </row>
    <row r="5" spans="1:14" x14ac:dyDescent="0.2">
      <c r="A5" s="427" t="s">
        <v>985</v>
      </c>
      <c r="B5" s="429">
        <v>120</v>
      </c>
      <c r="C5" s="1571">
        <f>2283805+507097+1250000+11722</f>
        <v>4052624</v>
      </c>
      <c r="D5" s="1572"/>
      <c r="E5" s="1572"/>
      <c r="F5" s="1572"/>
      <c r="G5" s="1572"/>
      <c r="H5" s="1572"/>
      <c r="I5" s="1572"/>
      <c r="J5" s="1573"/>
      <c r="K5" s="1576"/>
      <c r="L5" s="1577">
        <f>54680+27457</f>
        <v>82137</v>
      </c>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f>41545+26595+4319</f>
        <v>72459</v>
      </c>
      <c r="D12" s="1572"/>
      <c r="E12" s="1572"/>
      <c r="F12" s="1572"/>
      <c r="G12" s="1572">
        <f>2621-2540-81</f>
        <v>0</v>
      </c>
      <c r="H12" s="1572"/>
      <c r="I12" s="1572"/>
      <c r="J12" s="1573"/>
      <c r="K12" s="1572"/>
      <c r="L12" s="1572"/>
      <c r="M12" s="1575"/>
      <c r="N12" s="1575"/>
    </row>
    <row r="13" spans="1:14" ht="13.5" customHeight="1" thickBot="1" x14ac:dyDescent="0.25">
      <c r="A13" s="1426" t="s">
        <v>639</v>
      </c>
      <c r="B13" s="1407"/>
      <c r="C13" s="1586">
        <f>SUM(C4:C12)</f>
        <v>4127614</v>
      </c>
      <c r="D13" s="1586">
        <f t="shared" ref="D13:L13" si="0">SUM(D4:D12)</f>
        <v>531708</v>
      </c>
      <c r="E13" s="1586">
        <f t="shared" si="0"/>
        <v>5036</v>
      </c>
      <c r="F13" s="1586">
        <f t="shared" si="0"/>
        <v>1332550</v>
      </c>
      <c r="G13" s="1586">
        <f t="shared" si="0"/>
        <v>33230</v>
      </c>
      <c r="H13" s="1586">
        <f t="shared" si="0"/>
        <v>638317</v>
      </c>
      <c r="I13" s="1586">
        <f t="shared" si="0"/>
        <v>92464</v>
      </c>
      <c r="J13" s="1586">
        <f t="shared" si="0"/>
        <v>21754</v>
      </c>
      <c r="K13" s="1586">
        <f t="shared" si="0"/>
        <v>115669</v>
      </c>
      <c r="L13" s="1586">
        <f t="shared" si="0"/>
        <v>504761</v>
      </c>
      <c r="M13" s="1574"/>
      <c r="N13" s="1575"/>
    </row>
    <row r="14" spans="1:14" ht="18" customHeight="1" thickTop="1" x14ac:dyDescent="0.2">
      <c r="A14" s="2211" t="s">
        <v>146</v>
      </c>
      <c r="B14" s="2212"/>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c r="N15" s="1591"/>
    </row>
    <row r="16" spans="1:14" s="433" customFormat="1" ht="12.75" customHeight="1" x14ac:dyDescent="0.2">
      <c r="A16" s="431" t="s">
        <v>1388</v>
      </c>
      <c r="B16" s="432">
        <v>220</v>
      </c>
      <c r="C16" s="1581"/>
      <c r="D16" s="1581"/>
      <c r="E16" s="1581"/>
      <c r="F16" s="1581"/>
      <c r="G16" s="1581"/>
      <c r="H16" s="1581"/>
      <c r="I16" s="1581"/>
      <c r="J16" s="1581"/>
      <c r="K16" s="1581"/>
      <c r="L16" s="1581"/>
      <c r="M16" s="1573">
        <v>70404</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v>16876994</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v>1583308</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v>4189303</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v>5036</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24'!J49</f>
        <v>2669964</v>
      </c>
    </row>
    <row r="23" spans="1:14" ht="13.5" customHeight="1" thickBot="1" x14ac:dyDescent="0.25">
      <c r="A23" s="1426" t="s">
        <v>638</v>
      </c>
      <c r="B23" s="1429"/>
      <c r="C23" s="1574"/>
      <c r="D23" s="1574"/>
      <c r="E23" s="1574"/>
      <c r="F23" s="1574"/>
      <c r="G23" s="1574"/>
      <c r="H23" s="1574"/>
      <c r="I23" s="1574"/>
      <c r="J23" s="1574"/>
      <c r="K23" s="1574"/>
      <c r="L23" s="1574"/>
      <c r="M23" s="1593">
        <f>SUM(M15:M22)</f>
        <v>22720009</v>
      </c>
      <c r="N23" s="1593">
        <f>SUM(N21:N22)</f>
        <v>2675000</v>
      </c>
    </row>
    <row r="24" spans="1:14" ht="18" customHeight="1" thickTop="1" x14ac:dyDescent="0.2">
      <c r="A24" s="2213" t="s">
        <v>594</v>
      </c>
      <c r="B24" s="2214"/>
      <c r="C24" s="1594"/>
      <c r="D24" s="1589"/>
      <c r="E24" s="1589"/>
      <c r="F24" s="1589"/>
      <c r="G24" s="1589"/>
      <c r="H24" s="1589"/>
      <c r="I24" s="1589"/>
      <c r="J24" s="1589"/>
      <c r="K24" s="1589"/>
      <c r="L24" s="1589"/>
      <c r="M24" s="1588"/>
      <c r="N24" s="1595"/>
    </row>
    <row r="25" spans="1:14" x14ac:dyDescent="0.2">
      <c r="A25" s="430" t="s">
        <v>640</v>
      </c>
      <c r="B25" s="429">
        <v>410</v>
      </c>
      <c r="C25" s="1582">
        <f>1994764+70681</f>
        <v>2065445</v>
      </c>
      <c r="D25" s="1582"/>
      <c r="E25" s="1582"/>
      <c r="F25" s="1582"/>
      <c r="G25" s="1582"/>
      <c r="H25" s="1583"/>
      <c r="I25" s="1574"/>
      <c r="J25" s="1582"/>
      <c r="K25" s="1582"/>
      <c r="L25" s="1574"/>
      <c r="M25" s="1574"/>
      <c r="N25" s="1574"/>
    </row>
    <row r="26" spans="1:14" x14ac:dyDescent="0.2">
      <c r="A26" s="430" t="s">
        <v>641</v>
      </c>
      <c r="B26" s="429">
        <v>420</v>
      </c>
      <c r="C26" s="1573">
        <v>-754</v>
      </c>
      <c r="D26" s="1573"/>
      <c r="E26" s="1573"/>
      <c r="F26" s="1573"/>
      <c r="G26" s="1573">
        <f>13069+17533+170</f>
        <v>30772</v>
      </c>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f>906-278-10+3761-121+383-1481+2396+1</f>
        <v>5557</v>
      </c>
      <c r="D31" s="1573">
        <f>-12+2-262</f>
        <v>-272</v>
      </c>
      <c r="E31" s="1573"/>
      <c r="F31" s="1572">
        <v>7</v>
      </c>
      <c r="G31" s="1573">
        <v>-121</v>
      </c>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504761</v>
      </c>
      <c r="M33" s="1574"/>
      <c r="N33" s="1575"/>
    </row>
    <row r="34" spans="1:14" ht="13.5" customHeight="1" thickBot="1" x14ac:dyDescent="0.25">
      <c r="A34" s="1427" t="s">
        <v>649</v>
      </c>
      <c r="B34" s="1428"/>
      <c r="C34" s="1599">
        <f>SUM(C25:C33)</f>
        <v>2070248</v>
      </c>
      <c r="D34" s="1599">
        <f t="shared" ref="D34:K34" si="1">SUM(D25:D33)</f>
        <v>-272</v>
      </c>
      <c r="E34" s="1599">
        <f t="shared" si="1"/>
        <v>0</v>
      </c>
      <c r="F34" s="1599">
        <f t="shared" si="1"/>
        <v>7</v>
      </c>
      <c r="G34" s="1599">
        <f t="shared" si="1"/>
        <v>30651</v>
      </c>
      <c r="H34" s="1599">
        <f t="shared" si="1"/>
        <v>0</v>
      </c>
      <c r="I34" s="1599">
        <f t="shared" si="1"/>
        <v>0</v>
      </c>
      <c r="J34" s="1599">
        <f t="shared" si="1"/>
        <v>0</v>
      </c>
      <c r="K34" s="1599">
        <f t="shared" si="1"/>
        <v>0</v>
      </c>
      <c r="L34" s="1600">
        <f>SUM(L33)</f>
        <v>504761</v>
      </c>
      <c r="M34" s="1574"/>
      <c r="N34" s="1584"/>
    </row>
    <row r="35" spans="1:14" ht="18" customHeight="1" thickTop="1" x14ac:dyDescent="0.2">
      <c r="A35" s="2215" t="s">
        <v>526</v>
      </c>
      <c r="B35" s="2216"/>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2675000</v>
      </c>
    </row>
    <row r="37" spans="1:14" ht="13.5" thickBot="1" x14ac:dyDescent="0.25">
      <c r="A37" s="1426" t="s">
        <v>648</v>
      </c>
      <c r="B37" s="1429"/>
      <c r="C37" s="1581"/>
      <c r="D37" s="1581"/>
      <c r="E37" s="1581"/>
      <c r="F37" s="1581"/>
      <c r="G37" s="1581"/>
      <c r="H37" s="1581"/>
      <c r="I37" s="1581"/>
      <c r="J37" s="1581"/>
      <c r="K37" s="1581"/>
      <c r="L37" s="1584"/>
      <c r="M37" s="1574"/>
      <c r="N37" s="1593">
        <f>SUM(N36:N36)</f>
        <v>2675000</v>
      </c>
    </row>
    <row r="38" spans="1:14" s="307" customFormat="1" ht="13.5" customHeight="1" thickTop="1" x14ac:dyDescent="0.2">
      <c r="A38" s="438" t="s">
        <v>417</v>
      </c>
      <c r="B38" s="432">
        <v>714</v>
      </c>
      <c r="C38" s="1572"/>
      <c r="D38" s="1572"/>
      <c r="E38" s="1572"/>
      <c r="F38" s="1572"/>
      <c r="G38" s="1572"/>
      <c r="H38" s="1572"/>
      <c r="I38" s="1572"/>
      <c r="J38" s="1573"/>
      <c r="K38" s="1572"/>
      <c r="L38" s="1585"/>
      <c r="M38" s="1603"/>
      <c r="N38" s="1603"/>
    </row>
    <row r="39" spans="1:14" s="307" customFormat="1" ht="13.5" customHeight="1" x14ac:dyDescent="0.2">
      <c r="A39" s="438" t="s">
        <v>339</v>
      </c>
      <c r="B39" s="432">
        <v>730</v>
      </c>
      <c r="C39" s="1572">
        <v>2057366</v>
      </c>
      <c r="D39" s="1572">
        <v>531980</v>
      </c>
      <c r="E39" s="1572">
        <v>5036</v>
      </c>
      <c r="F39" s="1572">
        <v>1332543</v>
      </c>
      <c r="G39" s="1572">
        <v>2579</v>
      </c>
      <c r="H39" s="1572">
        <v>638317</v>
      </c>
      <c r="I39" s="1572">
        <v>92464</v>
      </c>
      <c r="J39" s="1573">
        <v>21754</v>
      </c>
      <c r="K39" s="1572">
        <v>115669</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22720009</v>
      </c>
      <c r="N40" s="1603"/>
    </row>
    <row r="41" spans="1:14" ht="13.5" customHeight="1" thickBot="1" x14ac:dyDescent="0.25">
      <c r="A41" s="1426" t="s">
        <v>650</v>
      </c>
      <c r="B41" s="1405"/>
      <c r="C41" s="1593">
        <f>(SUM(C34,C37,C38,C39))</f>
        <v>4127614</v>
      </c>
      <c r="D41" s="1593">
        <f t="shared" ref="D41:L41" si="2">SUM(D34,D37,D38:D39)</f>
        <v>531708</v>
      </c>
      <c r="E41" s="1593">
        <f t="shared" si="2"/>
        <v>5036</v>
      </c>
      <c r="F41" s="1593">
        <f t="shared" si="2"/>
        <v>1332550</v>
      </c>
      <c r="G41" s="1593">
        <f t="shared" si="2"/>
        <v>33230</v>
      </c>
      <c r="H41" s="1593">
        <f t="shared" si="2"/>
        <v>638317</v>
      </c>
      <c r="I41" s="1593">
        <f t="shared" si="2"/>
        <v>92464</v>
      </c>
      <c r="J41" s="1593">
        <f t="shared" si="2"/>
        <v>21754</v>
      </c>
      <c r="K41" s="1593">
        <f t="shared" si="2"/>
        <v>115669</v>
      </c>
      <c r="L41" s="1593">
        <f t="shared" si="2"/>
        <v>504761</v>
      </c>
      <c r="M41" s="1593">
        <f>SUM(M40)</f>
        <v>22720009</v>
      </c>
      <c r="N41" s="1593">
        <f>SUM(N37)</f>
        <v>2675000</v>
      </c>
    </row>
    <row r="42" spans="1:14" ht="13.5" thickTop="1" x14ac:dyDescent="0.2"/>
    <row r="43" spans="1:14" x14ac:dyDescent="0.2">
      <c r="A43" s="242"/>
      <c r="C43" s="443"/>
    </row>
    <row r="44" spans="1:14" x14ac:dyDescent="0.2">
      <c r="A44" s="242"/>
      <c r="C44" s="443"/>
    </row>
  </sheetData>
  <sheetProtection sheet="1" objects="1" scenarios="1"/>
  <mergeCells count="5">
    <mergeCell ref="A1:A2"/>
    <mergeCell ref="A3:B3"/>
    <mergeCell ref="A14:B14"/>
    <mergeCell ref="A24:B24"/>
    <mergeCell ref="A35:B35"/>
  </mergeCells>
  <phoneticPr fontId="7" type="noConversion"/>
  <printOptions headings="1" gridLinesSet="0"/>
  <pageMargins left="0.3" right="0.15" top="0.86" bottom="0" header="0.46"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 activePane="bottomLeft" state="frozen"/>
      <selection pane="bottomLeft" activeCell="G78" sqref="G78"/>
    </sheetView>
  </sheetViews>
  <sheetFormatPr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17" t="s">
        <v>1167</v>
      </c>
      <c r="B3" s="2218"/>
      <c r="C3" s="1311"/>
      <c r="D3" s="1312"/>
      <c r="E3" s="1312"/>
      <c r="F3" s="1312"/>
      <c r="G3" s="1312"/>
      <c r="H3" s="1312"/>
      <c r="I3" s="1312"/>
      <c r="J3" s="1312"/>
      <c r="K3" s="1313"/>
      <c r="L3" s="446"/>
    </row>
    <row r="4" spans="1:13" ht="15.75" customHeight="1" x14ac:dyDescent="0.2">
      <c r="A4" s="1537" t="s">
        <v>1485</v>
      </c>
      <c r="B4" s="1538">
        <v>1000</v>
      </c>
      <c r="C4" s="1605">
        <f>'Revenues 9-14'!C109</f>
        <v>5197699</v>
      </c>
      <c r="D4" s="1605">
        <f>'Revenues 9-14'!D109</f>
        <v>1252411</v>
      </c>
      <c r="E4" s="1605">
        <f>'Revenues 9-14'!E109</f>
        <v>0</v>
      </c>
      <c r="F4" s="1605">
        <f>'Revenues 9-14'!F109</f>
        <v>620604</v>
      </c>
      <c r="G4" s="1605">
        <f>'Revenues 9-14'!G109</f>
        <v>290461</v>
      </c>
      <c r="H4" s="1605">
        <f>'Revenues 9-14'!H109</f>
        <v>381119</v>
      </c>
      <c r="I4" s="1605">
        <f>'Revenues 9-14'!I109</f>
        <v>0</v>
      </c>
      <c r="J4" s="1605">
        <f>'Revenues 9-14'!J109</f>
        <v>93335</v>
      </c>
      <c r="K4" s="1605">
        <f>'Revenues 9-14'!K109</f>
        <v>20029</v>
      </c>
      <c r="L4" s="325"/>
    </row>
    <row r="5" spans="1:13" ht="15.75" customHeight="1" x14ac:dyDescent="0.2">
      <c r="A5" s="1314" t="s">
        <v>1486</v>
      </c>
      <c r="B5" s="1315">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4" t="s">
        <v>1487</v>
      </c>
      <c r="B6" s="1316">
        <v>3000</v>
      </c>
      <c r="C6" s="1606">
        <f>'Revenues 9-14'!C170</f>
        <v>2468017</v>
      </c>
      <c r="D6" s="1606">
        <f>'Revenues 9-14'!D170</f>
        <v>379114</v>
      </c>
      <c r="E6" s="1606">
        <f>'Revenues 9-14'!E170</f>
        <v>0</v>
      </c>
      <c r="F6" s="1606">
        <f>'Revenues 9-14'!F170</f>
        <v>290618</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1488</v>
      </c>
      <c r="B7" s="1316">
        <v>4000</v>
      </c>
      <c r="C7" s="1606">
        <f>'Revenues 9-14'!C267</f>
        <v>339028</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6" t="s">
        <v>1164</v>
      </c>
      <c r="B8" s="1407"/>
      <c r="C8" s="1593">
        <f>SUM(C4:C7)</f>
        <v>8004744</v>
      </c>
      <c r="D8" s="1593">
        <f t="shared" ref="D8:K8" si="0">SUM(D4:D7)</f>
        <v>1631525</v>
      </c>
      <c r="E8" s="1593">
        <f t="shared" si="0"/>
        <v>0</v>
      </c>
      <c r="F8" s="1593">
        <f t="shared" si="0"/>
        <v>911222</v>
      </c>
      <c r="G8" s="1593">
        <f t="shared" si="0"/>
        <v>290461</v>
      </c>
      <c r="H8" s="1593">
        <f t="shared" si="0"/>
        <v>381119</v>
      </c>
      <c r="I8" s="1593">
        <f t="shared" si="0"/>
        <v>0</v>
      </c>
      <c r="J8" s="1593">
        <f t="shared" si="0"/>
        <v>93335</v>
      </c>
      <c r="K8" s="1593">
        <f t="shared" si="0"/>
        <v>20029</v>
      </c>
      <c r="L8" s="325"/>
    </row>
    <row r="9" spans="1:13" ht="15.75" thickTop="1" x14ac:dyDescent="0.2">
      <c r="A9" s="449" t="s">
        <v>1637</v>
      </c>
      <c r="B9" s="450">
        <v>3998</v>
      </c>
      <c r="C9" s="1585">
        <f>3761416+59416</f>
        <v>3820832</v>
      </c>
      <c r="D9" s="1612"/>
      <c r="E9" s="1585"/>
      <c r="F9" s="1585"/>
      <c r="G9" s="1613"/>
      <c r="H9" s="1585"/>
      <c r="I9" s="1608" t="s">
        <v>1161</v>
      </c>
      <c r="J9" s="1582"/>
      <c r="K9" s="1585"/>
      <c r="L9" s="325"/>
    </row>
    <row r="10" spans="1:13" s="452" customFormat="1" ht="13.5" thickBot="1" x14ac:dyDescent="0.25">
      <c r="A10" s="1426" t="s">
        <v>1165</v>
      </c>
      <c r="B10" s="1407"/>
      <c r="C10" s="1593">
        <f>SUM(C8:C9)</f>
        <v>11825576</v>
      </c>
      <c r="D10" s="1593">
        <f t="shared" ref="D10:K10" si="1">SUM(D8:D9)</f>
        <v>1631525</v>
      </c>
      <c r="E10" s="1593">
        <f t="shared" si="1"/>
        <v>0</v>
      </c>
      <c r="F10" s="1593">
        <f t="shared" si="1"/>
        <v>911222</v>
      </c>
      <c r="G10" s="1593">
        <f t="shared" si="1"/>
        <v>290461</v>
      </c>
      <c r="H10" s="1593">
        <f t="shared" si="1"/>
        <v>381119</v>
      </c>
      <c r="I10" s="1593">
        <f t="shared" si="1"/>
        <v>0</v>
      </c>
      <c r="J10" s="1593">
        <f t="shared" si="1"/>
        <v>93335</v>
      </c>
      <c r="K10" s="1593">
        <f t="shared" si="1"/>
        <v>20029</v>
      </c>
      <c r="L10" s="451"/>
    </row>
    <row r="11" spans="1:13" s="452" customFormat="1" ht="16.7" customHeight="1" thickTop="1" x14ac:dyDescent="0.2">
      <c r="A11" s="2211" t="s">
        <v>1168</v>
      </c>
      <c r="B11" s="2212"/>
      <c r="C11" s="1601"/>
      <c r="D11" s="1602"/>
      <c r="E11" s="1602"/>
      <c r="F11" s="1602"/>
      <c r="G11" s="1602"/>
      <c r="H11" s="1602"/>
      <c r="I11" s="1602"/>
      <c r="J11" s="1602"/>
      <c r="K11" s="1614"/>
      <c r="L11" s="451"/>
    </row>
    <row r="12" spans="1:13" ht="15.75" customHeight="1" x14ac:dyDescent="0.2">
      <c r="A12" s="1314" t="s">
        <v>453</v>
      </c>
      <c r="B12" s="1316">
        <v>1000</v>
      </c>
      <c r="C12" s="1605">
        <f>'Expenditures 15-22'!K33</f>
        <v>4993490</v>
      </c>
      <c r="D12" s="1615" t="s">
        <v>1161</v>
      </c>
      <c r="E12" s="1574" t="s">
        <v>1161</v>
      </c>
      <c r="F12" s="1574" t="s">
        <v>1161</v>
      </c>
      <c r="G12" s="1605">
        <f>'Expenditures 15-22'!K229</f>
        <v>133659</v>
      </c>
      <c r="H12" s="1616"/>
      <c r="I12" s="1574" t="s">
        <v>1161</v>
      </c>
      <c r="J12" s="1574" t="s">
        <v>1161</v>
      </c>
      <c r="K12" s="1616" t="s">
        <v>1161</v>
      </c>
      <c r="L12" s="325"/>
    </row>
    <row r="13" spans="1:13" ht="15.75" customHeight="1" x14ac:dyDescent="0.2">
      <c r="A13" s="1314" t="s">
        <v>454</v>
      </c>
      <c r="B13" s="1316">
        <v>2000</v>
      </c>
      <c r="C13" s="1606">
        <f>'Expenditures 15-22'!K74</f>
        <v>1783634</v>
      </c>
      <c r="D13" s="1606">
        <f>'Expenditures 15-22'!K129</f>
        <v>762039</v>
      </c>
      <c r="E13" s="1575" t="s">
        <v>1161</v>
      </c>
      <c r="F13" s="1606">
        <f>'Expenditures 15-22'!K184</f>
        <v>565466</v>
      </c>
      <c r="G13" s="1606">
        <f>'Expenditures 15-22'!K279</f>
        <v>163080</v>
      </c>
      <c r="H13" s="1606">
        <f>'Expenditures 15-22'!K303</f>
        <v>1233280</v>
      </c>
      <c r="I13" s="1574" t="s">
        <v>1161</v>
      </c>
      <c r="J13" s="1606">
        <f>'Expenditures 15-22'!K330</f>
        <v>75127</v>
      </c>
      <c r="K13" s="1617">
        <f>'Expenditures 15-22'!K352</f>
        <v>9425</v>
      </c>
      <c r="L13" s="325"/>
    </row>
    <row r="14" spans="1:13" ht="15.75" customHeight="1" x14ac:dyDescent="0.2">
      <c r="A14" s="1314" t="s">
        <v>446</v>
      </c>
      <c r="B14" s="1316">
        <v>3000</v>
      </c>
      <c r="C14" s="1606">
        <f>'Expenditures 15-22'!K75</f>
        <v>0</v>
      </c>
      <c r="D14" s="1606">
        <f>'Expenditures 15-22'!K130</f>
        <v>0</v>
      </c>
      <c r="E14" s="1615" t="s">
        <v>1161</v>
      </c>
      <c r="F14" s="1606">
        <f>'Expenditures 15-22'!K185</f>
        <v>0</v>
      </c>
      <c r="G14" s="1606">
        <f>'Expenditures 15-22'!K280</f>
        <v>0</v>
      </c>
      <c r="H14" s="1611"/>
      <c r="I14" s="1574" t="s">
        <v>1161</v>
      </c>
      <c r="J14" s="1574" t="s">
        <v>1161</v>
      </c>
      <c r="K14" s="1611" t="s">
        <v>1161</v>
      </c>
      <c r="L14" s="325"/>
    </row>
    <row r="15" spans="1:13" ht="15.75" customHeight="1" x14ac:dyDescent="0.2">
      <c r="A15" s="1314" t="s">
        <v>107</v>
      </c>
      <c r="B15" s="1316">
        <v>4000</v>
      </c>
      <c r="C15" s="1606">
        <f>'Expenditures 15-22'!K102</f>
        <v>713715</v>
      </c>
      <c r="D15" s="1606">
        <f>'Expenditures 15-22'!K139</f>
        <v>0</v>
      </c>
      <c r="E15" s="1606">
        <f>'Expenditures 15-22'!K160</f>
        <v>0</v>
      </c>
      <c r="F15" s="1606">
        <f>'Expenditures 15-22'!K196</f>
        <v>0</v>
      </c>
      <c r="G15" s="1606">
        <f>'Expenditures 15-22'!K285</f>
        <v>0</v>
      </c>
      <c r="H15" s="1606">
        <f>'Expenditures 15-22'!K310</f>
        <v>0</v>
      </c>
      <c r="I15" s="1574" t="s">
        <v>1161</v>
      </c>
      <c r="J15" s="1618">
        <f>'Expenditures 15-22'!K334</f>
        <v>0</v>
      </c>
      <c r="K15" s="1606">
        <f>'Expenditures 15-22'!K357</f>
        <v>0</v>
      </c>
      <c r="L15" s="325"/>
    </row>
    <row r="16" spans="1:13" ht="15.75" customHeight="1" x14ac:dyDescent="0.2">
      <c r="A16" s="1314" t="s">
        <v>447</v>
      </c>
      <c r="B16" s="1316">
        <v>5000</v>
      </c>
      <c r="C16" s="1606">
        <f>'Expenditures 15-22'!K112</f>
        <v>0</v>
      </c>
      <c r="D16" s="1606">
        <f>'Expenditures 15-22'!K149</f>
        <v>0</v>
      </c>
      <c r="E16" s="1606">
        <f>'Expenditures 15-22'!K172</f>
        <v>603625</v>
      </c>
      <c r="F16" s="1606">
        <f>'Expenditures 15-22'!K208</f>
        <v>0</v>
      </c>
      <c r="G16" s="1606">
        <f>'Expenditures 15-22'!K293</f>
        <v>0</v>
      </c>
      <c r="H16" s="1619"/>
      <c r="I16" s="1574" t="s">
        <v>1161</v>
      </c>
      <c r="J16" s="1620">
        <f>'Expenditures 15-22'!K340</f>
        <v>0</v>
      </c>
      <c r="K16" s="1606">
        <f>'Expenditures 15-22'!K365</f>
        <v>0</v>
      </c>
      <c r="L16" s="325"/>
    </row>
    <row r="17" spans="1:12" ht="13.5" thickBot="1" x14ac:dyDescent="0.25">
      <c r="A17" s="1406" t="s">
        <v>48</v>
      </c>
      <c r="B17" s="1407"/>
      <c r="C17" s="1593">
        <f t="shared" ref="C17:H17" si="2">SUM(C12:C16)</f>
        <v>7490839</v>
      </c>
      <c r="D17" s="1593">
        <f t="shared" si="2"/>
        <v>762039</v>
      </c>
      <c r="E17" s="1593">
        <f t="shared" si="2"/>
        <v>603625</v>
      </c>
      <c r="F17" s="1593">
        <f t="shared" si="2"/>
        <v>565466</v>
      </c>
      <c r="G17" s="1593">
        <f t="shared" si="2"/>
        <v>296739</v>
      </c>
      <c r="H17" s="1593">
        <f t="shared" si="2"/>
        <v>1233280</v>
      </c>
      <c r="I17" s="1574"/>
      <c r="J17" s="1593">
        <f>SUM(J12:J16)</f>
        <v>75127</v>
      </c>
      <c r="K17" s="1593">
        <f>SUM(K12:K16)</f>
        <v>9425</v>
      </c>
      <c r="L17" s="325"/>
    </row>
    <row r="18" spans="1:12" ht="15" customHeight="1" thickTop="1" x14ac:dyDescent="0.2">
      <c r="A18" s="1430" t="s">
        <v>1638</v>
      </c>
      <c r="B18" s="1431">
        <v>4180</v>
      </c>
      <c r="C18" s="1605">
        <f t="shared" ref="C18:H18" si="3">C9</f>
        <v>3820832</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6" t="s">
        <v>502</v>
      </c>
      <c r="B19" s="1407"/>
      <c r="C19" s="1593">
        <f t="shared" ref="C19:H19" si="4">SUM(C17:C18)</f>
        <v>11311671</v>
      </c>
      <c r="D19" s="1593">
        <f t="shared" si="4"/>
        <v>762039</v>
      </c>
      <c r="E19" s="1593">
        <f t="shared" si="4"/>
        <v>603625</v>
      </c>
      <c r="F19" s="1593">
        <f t="shared" si="4"/>
        <v>565466</v>
      </c>
      <c r="G19" s="1593">
        <f t="shared" si="4"/>
        <v>296739</v>
      </c>
      <c r="H19" s="1593">
        <f t="shared" si="4"/>
        <v>1233280</v>
      </c>
      <c r="I19" s="1574"/>
      <c r="J19" s="1593">
        <f>SUM(J17:J18)</f>
        <v>75127</v>
      </c>
      <c r="K19" s="1593">
        <f>SUM(K17:K18)</f>
        <v>9425</v>
      </c>
      <c r="L19" s="325"/>
    </row>
    <row r="20" spans="1:12" ht="16.5" thickTop="1" thickBot="1" x14ac:dyDescent="0.25">
      <c r="A20" s="2237" t="s">
        <v>1639</v>
      </c>
      <c r="B20" s="2238"/>
      <c r="C20" s="1621">
        <f>C8-C17</f>
        <v>513905</v>
      </c>
      <c r="D20" s="1621">
        <f t="shared" ref="D20:K20" si="5">D8-D17</f>
        <v>869486</v>
      </c>
      <c r="E20" s="1621">
        <f t="shared" si="5"/>
        <v>-603625</v>
      </c>
      <c r="F20" s="1621">
        <f t="shared" si="5"/>
        <v>345756</v>
      </c>
      <c r="G20" s="1621">
        <f t="shared" si="5"/>
        <v>-6278</v>
      </c>
      <c r="H20" s="1621">
        <f t="shared" si="5"/>
        <v>-852161</v>
      </c>
      <c r="I20" s="1621">
        <f t="shared" si="5"/>
        <v>0</v>
      </c>
      <c r="J20" s="1621">
        <f t="shared" si="5"/>
        <v>18208</v>
      </c>
      <c r="K20" s="1621">
        <f t="shared" si="5"/>
        <v>10604</v>
      </c>
      <c r="L20" s="325"/>
    </row>
    <row r="21" spans="1:12" ht="16.7" customHeight="1" thickTop="1" x14ac:dyDescent="0.2">
      <c r="A21" s="2219" t="s">
        <v>591</v>
      </c>
      <c r="B21" s="2220"/>
      <c r="C21" s="1601"/>
      <c r="D21" s="1602"/>
      <c r="E21" s="1602"/>
      <c r="F21" s="1602"/>
      <c r="G21" s="1602"/>
      <c r="H21" s="1602"/>
      <c r="I21" s="1602"/>
      <c r="J21" s="1602"/>
      <c r="K21" s="1614"/>
      <c r="L21" s="453"/>
    </row>
    <row r="22" spans="1:12" ht="15.75" customHeight="1" collapsed="1" x14ac:dyDescent="0.2">
      <c r="A22" s="2223" t="s">
        <v>592</v>
      </c>
      <c r="B22" s="2224"/>
      <c r="C22" s="1581"/>
      <c r="D22" s="1581"/>
      <c r="E22" s="1581"/>
      <c r="F22" s="1581"/>
      <c r="G22" s="1581"/>
      <c r="H22" s="1581"/>
      <c r="I22" s="1581"/>
      <c r="J22" s="1581"/>
      <c r="K22" s="1581"/>
      <c r="L22" s="325"/>
    </row>
    <row r="23" spans="1:12" s="433" customFormat="1" ht="15.75" customHeight="1" x14ac:dyDescent="0.2">
      <c r="A23" s="2241" t="s">
        <v>290</v>
      </c>
      <c r="B23" s="2242"/>
      <c r="C23" s="1584"/>
      <c r="D23" s="1581"/>
      <c r="E23" s="1581"/>
      <c r="F23" s="1581"/>
      <c r="G23" s="1581"/>
      <c r="H23" s="1581"/>
      <c r="I23" s="1581"/>
      <c r="J23" s="1581"/>
      <c r="K23" s="1581"/>
      <c r="L23" s="453"/>
    </row>
    <row r="24" spans="1:12" s="433" customFormat="1" ht="13.5" customHeight="1" x14ac:dyDescent="0.2">
      <c r="A24" s="1260" t="s">
        <v>1640</v>
      </c>
      <c r="B24" s="454">
        <v>7110</v>
      </c>
      <c r="C24" s="1573"/>
      <c r="D24" s="1581"/>
      <c r="E24" s="1581"/>
      <c r="F24" s="1581"/>
      <c r="G24" s="1581"/>
      <c r="H24" s="1581"/>
      <c r="I24" s="1581"/>
      <c r="J24" s="1581"/>
      <c r="K24" s="1581"/>
      <c r="L24" s="453"/>
    </row>
    <row r="25" spans="1:12" s="433" customFormat="1" ht="13.5" customHeight="1" x14ac:dyDescent="0.2">
      <c r="A25" s="1260" t="s">
        <v>1641</v>
      </c>
      <c r="B25" s="454">
        <v>7110</v>
      </c>
      <c r="C25" s="1573"/>
      <c r="D25" s="1573"/>
      <c r="E25" s="1573"/>
      <c r="F25" s="1573"/>
      <c r="G25" s="1573"/>
      <c r="H25" s="1573"/>
      <c r="I25" s="1581"/>
      <c r="J25" s="1573"/>
      <c r="K25" s="1573"/>
      <c r="L25" s="453"/>
    </row>
    <row r="26" spans="1:12" s="433" customFormat="1" ht="13.5" customHeight="1" x14ac:dyDescent="0.2">
      <c r="A26" s="1260" t="s">
        <v>183</v>
      </c>
      <c r="B26" s="432">
        <v>7120</v>
      </c>
      <c r="C26" s="1573"/>
      <c r="D26" s="1573"/>
      <c r="E26" s="1573"/>
      <c r="F26" s="1573"/>
      <c r="G26" s="1573"/>
      <c r="H26" s="1573"/>
      <c r="I26" s="1581"/>
      <c r="J26" s="1573"/>
      <c r="K26" s="1573"/>
      <c r="L26" s="453"/>
    </row>
    <row r="27" spans="1:12" s="433" customFormat="1" ht="13.5" customHeight="1" x14ac:dyDescent="0.2">
      <c r="A27" s="1260" t="s">
        <v>184</v>
      </c>
      <c r="B27" s="432">
        <v>7130</v>
      </c>
      <c r="C27" s="1573"/>
      <c r="D27" s="1573"/>
      <c r="E27" s="1622"/>
      <c r="F27" s="1573"/>
      <c r="G27" s="1584"/>
      <c r="H27" s="1584"/>
      <c r="I27" s="1584"/>
      <c r="J27" s="1584"/>
      <c r="K27" s="1584"/>
      <c r="L27" s="453"/>
    </row>
    <row r="28" spans="1:12" s="433" customFormat="1" ht="13.5" customHeight="1" x14ac:dyDescent="0.2">
      <c r="A28" s="1260" t="s">
        <v>1384</v>
      </c>
      <c r="B28" s="432">
        <v>7140</v>
      </c>
      <c r="C28" s="1573"/>
      <c r="D28" s="1573"/>
      <c r="E28" s="1573"/>
      <c r="F28" s="1573"/>
      <c r="G28" s="1573"/>
      <c r="H28" s="1573"/>
      <c r="I28" s="1573"/>
      <c r="J28" s="1573"/>
      <c r="K28" s="1573"/>
      <c r="L28" s="453"/>
    </row>
    <row r="29" spans="1:12" s="433" customFormat="1" ht="13.5" customHeight="1" x14ac:dyDescent="0.2">
      <c r="A29" s="1260" t="s">
        <v>291</v>
      </c>
      <c r="B29" s="432">
        <v>7150</v>
      </c>
      <c r="C29" s="1579"/>
      <c r="D29" s="1573"/>
      <c r="E29" s="1579"/>
      <c r="F29" s="1579"/>
      <c r="G29" s="1579"/>
      <c r="H29" s="1579"/>
      <c r="I29" s="1579"/>
      <c r="J29" s="1579"/>
      <c r="K29" s="1579"/>
      <c r="L29" s="453"/>
    </row>
    <row r="30" spans="1:12" s="433" customFormat="1" ht="26.25" x14ac:dyDescent="0.2">
      <c r="A30" s="1260" t="s">
        <v>1774</v>
      </c>
      <c r="B30" s="455">
        <v>7160</v>
      </c>
      <c r="C30" s="1581"/>
      <c r="D30" s="1573"/>
      <c r="E30" s="1581"/>
      <c r="F30" s="1581"/>
      <c r="G30" s="1581"/>
      <c r="H30" s="1581"/>
      <c r="I30" s="1581"/>
      <c r="J30" s="1581"/>
      <c r="K30" s="1581"/>
      <c r="L30" s="453"/>
    </row>
    <row r="31" spans="1:12" s="433" customFormat="1" ht="26.25" x14ac:dyDescent="0.2">
      <c r="A31" s="1260" t="s">
        <v>1778</v>
      </c>
      <c r="B31" s="455">
        <v>7170</v>
      </c>
      <c r="C31" s="1581"/>
      <c r="D31" s="1581"/>
      <c r="E31" s="1578"/>
      <c r="F31" s="1581"/>
      <c r="G31" s="1581"/>
      <c r="H31" s="1581"/>
      <c r="I31" s="1581"/>
      <c r="J31" s="1581"/>
      <c r="K31" s="1581"/>
      <c r="L31" s="453"/>
    </row>
    <row r="32" spans="1:12" s="433" customFormat="1" ht="15.75" customHeight="1" x14ac:dyDescent="0.2">
      <c r="A32" s="2243" t="s">
        <v>974</v>
      </c>
      <c r="B32" s="2244"/>
      <c r="C32" s="1581"/>
      <c r="D32" s="1581"/>
      <c r="E32" s="1579"/>
      <c r="F32" s="1581"/>
      <c r="G32" s="1581"/>
      <c r="H32" s="1581"/>
      <c r="I32" s="1581"/>
      <c r="J32" s="1581"/>
      <c r="K32" s="1581"/>
      <c r="L32" s="453"/>
    </row>
    <row r="33" spans="1:12" s="433" customFormat="1" x14ac:dyDescent="0.2">
      <c r="A33" s="1260" t="s">
        <v>409</v>
      </c>
      <c r="B33" s="454">
        <v>7210</v>
      </c>
      <c r="C33" s="1573"/>
      <c r="D33" s="1573"/>
      <c r="E33" s="1573"/>
      <c r="F33" s="1573"/>
      <c r="G33" s="1581"/>
      <c r="H33" s="1573">
        <v>1500000</v>
      </c>
      <c r="I33" s="1573"/>
      <c r="J33" s="1573"/>
      <c r="K33" s="1573"/>
      <c r="L33" s="453"/>
    </row>
    <row r="34" spans="1:12" s="433" customFormat="1" x14ac:dyDescent="0.2">
      <c r="A34" s="1260" t="s">
        <v>994</v>
      </c>
      <c r="B34" s="454">
        <v>7220</v>
      </c>
      <c r="C34" s="1573"/>
      <c r="D34" s="1573"/>
      <c r="E34" s="1573"/>
      <c r="F34" s="1573"/>
      <c r="G34" s="1581"/>
      <c r="H34" s="1582">
        <v>821</v>
      </c>
      <c r="I34" s="1582"/>
      <c r="J34" s="1582"/>
      <c r="K34" s="1582"/>
      <c r="L34" s="453"/>
    </row>
    <row r="35" spans="1:12" s="433" customFormat="1" x14ac:dyDescent="0.2">
      <c r="A35" s="1260" t="s">
        <v>983</v>
      </c>
      <c r="B35" s="454">
        <v>7230</v>
      </c>
      <c r="C35" s="1573"/>
      <c r="D35" s="1573"/>
      <c r="E35" s="1573"/>
      <c r="F35" s="1573"/>
      <c r="G35" s="1584"/>
      <c r="H35" s="1573"/>
      <c r="I35" s="1573"/>
      <c r="J35" s="1573"/>
      <c r="K35" s="1573"/>
      <c r="L35" s="453"/>
    </row>
    <row r="36" spans="1:12" s="433" customFormat="1" ht="15" x14ac:dyDescent="0.2">
      <c r="A36" s="1260" t="s">
        <v>1642</v>
      </c>
      <c r="B36" s="454">
        <v>7300</v>
      </c>
      <c r="C36" s="1573"/>
      <c r="D36" s="1573"/>
      <c r="E36" s="1573"/>
      <c r="F36" s="1573"/>
      <c r="G36" s="1573"/>
      <c r="H36" s="1573"/>
      <c r="I36" s="1579"/>
      <c r="J36" s="1573"/>
      <c r="K36" s="1573"/>
      <c r="L36" s="453"/>
    </row>
    <row r="37" spans="1:12" s="433" customFormat="1" x14ac:dyDescent="0.2">
      <c r="A37" s="1260" t="s">
        <v>438</v>
      </c>
      <c r="B37" s="454">
        <v>7400</v>
      </c>
      <c r="C37" s="1579"/>
      <c r="D37" s="1579"/>
      <c r="E37" s="1606">
        <f>SUM(C54:D57,H54:H57)</f>
        <v>0</v>
      </c>
      <c r="F37" s="1579"/>
      <c r="G37" s="1579"/>
      <c r="H37" s="1579"/>
      <c r="I37" s="1581"/>
      <c r="J37" s="1579"/>
      <c r="K37" s="1579"/>
      <c r="L37" s="453"/>
    </row>
    <row r="38" spans="1:12" s="433" customFormat="1" x14ac:dyDescent="0.2">
      <c r="A38" s="1260" t="s">
        <v>439</v>
      </c>
      <c r="B38" s="454">
        <v>7500</v>
      </c>
      <c r="C38" s="1581"/>
      <c r="D38" s="1581"/>
      <c r="E38" s="1606">
        <f>SUM(C58:D61,H58:H61)</f>
        <v>0</v>
      </c>
      <c r="F38" s="1581"/>
      <c r="G38" s="1581"/>
      <c r="H38" s="1581"/>
      <c r="I38" s="1581"/>
      <c r="J38" s="1581"/>
      <c r="K38" s="1581"/>
      <c r="L38" s="453"/>
    </row>
    <row r="39" spans="1:12" s="433" customFormat="1" x14ac:dyDescent="0.2">
      <c r="A39" s="1260" t="s">
        <v>440</v>
      </c>
      <c r="B39" s="454">
        <v>7600</v>
      </c>
      <c r="C39" s="1581"/>
      <c r="D39" s="1581"/>
      <c r="E39" s="1606">
        <f>SUM(C62:D65)</f>
        <v>0</v>
      </c>
      <c r="F39" s="1581"/>
      <c r="G39" s="1581"/>
      <c r="H39" s="1581"/>
      <c r="I39" s="1581"/>
      <c r="J39" s="1581"/>
      <c r="K39" s="1581"/>
      <c r="L39" s="453"/>
    </row>
    <row r="40" spans="1:12" s="433" customFormat="1" ht="13.5" customHeight="1" x14ac:dyDescent="0.2">
      <c r="A40" s="1260" t="s">
        <v>637</v>
      </c>
      <c r="B40" s="432">
        <v>7700</v>
      </c>
      <c r="C40" s="1581"/>
      <c r="D40" s="1581"/>
      <c r="E40" s="1606">
        <f>SUM(C66:D69)</f>
        <v>0</v>
      </c>
      <c r="F40" s="1581"/>
      <c r="G40" s="1581"/>
      <c r="H40" s="1584"/>
      <c r="I40" s="1581"/>
      <c r="J40" s="1581"/>
      <c r="K40" s="1581"/>
      <c r="L40" s="453"/>
    </row>
    <row r="41" spans="1:12" s="433" customFormat="1" ht="13.5" customHeight="1" x14ac:dyDescent="0.2">
      <c r="A41" s="1260" t="s">
        <v>635</v>
      </c>
      <c r="B41" s="432">
        <v>7800</v>
      </c>
      <c r="C41" s="1584"/>
      <c r="D41" s="1584"/>
      <c r="E41" s="1622"/>
      <c r="F41" s="1584"/>
      <c r="G41" s="1584"/>
      <c r="H41" s="1606">
        <f>SUM(C70:D73)</f>
        <v>0</v>
      </c>
      <c r="I41" s="1581"/>
      <c r="J41" s="1581"/>
      <c r="K41" s="1584"/>
      <c r="L41" s="453"/>
    </row>
    <row r="42" spans="1:12" s="433" customFormat="1" ht="13.5" customHeight="1" x14ac:dyDescent="0.2">
      <c r="A42" s="1260" t="s">
        <v>636</v>
      </c>
      <c r="B42" s="432">
        <v>7900</v>
      </c>
      <c r="C42" s="1573"/>
      <c r="D42" s="1573"/>
      <c r="E42" s="1573"/>
      <c r="F42" s="1573"/>
      <c r="G42" s="1573"/>
      <c r="H42" s="1573"/>
      <c r="I42" s="1584"/>
      <c r="J42" s="1584"/>
      <c r="K42" s="1573"/>
      <c r="L42" s="453"/>
    </row>
    <row r="43" spans="1:12" s="433" customFormat="1" ht="13.5" customHeight="1" x14ac:dyDescent="0.2">
      <c r="A43" s="1260" t="s">
        <v>370</v>
      </c>
      <c r="B43" s="432">
        <v>7990</v>
      </c>
      <c r="C43" s="1573"/>
      <c r="D43" s="1573"/>
      <c r="E43" s="1573">
        <v>592000</v>
      </c>
      <c r="F43" s="1573"/>
      <c r="G43" s="1573"/>
      <c r="H43" s="1573"/>
      <c r="I43" s="1573"/>
      <c r="J43" s="1573"/>
      <c r="K43" s="1573"/>
      <c r="L43" s="453"/>
    </row>
    <row r="44" spans="1:12" s="433" customFormat="1" ht="13.5" customHeight="1" thickBot="1" x14ac:dyDescent="0.25">
      <c r="A44" s="2221" t="s">
        <v>371</v>
      </c>
      <c r="B44" s="2222"/>
      <c r="C44" s="1623">
        <f>SUM(C24:C43)</f>
        <v>0</v>
      </c>
      <c r="D44" s="1623">
        <f t="shared" ref="D44:K44" si="6">SUM(D24:D43)</f>
        <v>0</v>
      </c>
      <c r="E44" s="1623">
        <f t="shared" si="6"/>
        <v>592000</v>
      </c>
      <c r="F44" s="1623">
        <f t="shared" si="6"/>
        <v>0</v>
      </c>
      <c r="G44" s="1623">
        <f t="shared" si="6"/>
        <v>0</v>
      </c>
      <c r="H44" s="1623">
        <f t="shared" si="6"/>
        <v>1500821</v>
      </c>
      <c r="I44" s="1623">
        <f t="shared" si="6"/>
        <v>0</v>
      </c>
      <c r="J44" s="1623">
        <f t="shared" si="6"/>
        <v>0</v>
      </c>
      <c r="K44" s="1623">
        <f t="shared" si="6"/>
        <v>0</v>
      </c>
      <c r="L44" s="453"/>
    </row>
    <row r="45" spans="1:12" ht="15.75" customHeight="1" thickTop="1" x14ac:dyDescent="0.2">
      <c r="A45" s="2223" t="s">
        <v>108</v>
      </c>
      <c r="B45" s="2224"/>
      <c r="C45" s="1624"/>
      <c r="D45" s="1624"/>
      <c r="E45" s="1624"/>
      <c r="F45" s="1624"/>
      <c r="G45" s="1624"/>
      <c r="H45" s="1624"/>
      <c r="I45" s="1624"/>
      <c r="J45" s="1624"/>
      <c r="K45" s="1624"/>
      <c r="L45" s="325"/>
    </row>
    <row r="46" spans="1:12" s="433" customFormat="1" ht="15.75" customHeight="1" x14ac:dyDescent="0.2">
      <c r="A46" s="2225" t="s">
        <v>109</v>
      </c>
      <c r="B46" s="2226"/>
      <c r="C46" s="1581"/>
      <c r="D46" s="1581"/>
      <c r="E46" s="1581"/>
      <c r="F46" s="1581"/>
      <c r="G46" s="1581"/>
      <c r="H46" s="1581"/>
      <c r="I46" s="1584"/>
      <c r="J46" s="1581"/>
      <c r="K46" s="1581"/>
      <c r="L46" s="456"/>
    </row>
    <row r="47" spans="1:12" s="433" customFormat="1" ht="15" x14ac:dyDescent="0.2">
      <c r="A47" s="1261" t="s">
        <v>1643</v>
      </c>
      <c r="B47" s="432">
        <v>8110</v>
      </c>
      <c r="C47" s="1581"/>
      <c r="D47" s="1581"/>
      <c r="E47" s="1581"/>
      <c r="F47" s="1581"/>
      <c r="G47" s="1581"/>
      <c r="H47" s="1581"/>
      <c r="I47" s="1606">
        <f>SUM(C24,C25:H25,J25:K25)</f>
        <v>0</v>
      </c>
      <c r="J47" s="1581"/>
      <c r="K47" s="1581"/>
      <c r="L47" s="456"/>
    </row>
    <row r="48" spans="1:12" s="433" customFormat="1" ht="15" x14ac:dyDescent="0.2">
      <c r="A48" s="1261" t="s">
        <v>1644</v>
      </c>
      <c r="B48" s="432">
        <v>8120</v>
      </c>
      <c r="C48" s="1584"/>
      <c r="D48" s="1584"/>
      <c r="E48" s="1581"/>
      <c r="F48" s="1584"/>
      <c r="G48" s="1581"/>
      <c r="H48" s="1581"/>
      <c r="I48" s="1606">
        <f>SUM(C26:H26,J26,K26)</f>
        <v>0</v>
      </c>
      <c r="J48" s="1581"/>
      <c r="K48" s="1581"/>
      <c r="L48" s="456"/>
    </row>
    <row r="49" spans="1:12" s="433" customFormat="1" x14ac:dyDescent="0.2">
      <c r="A49" s="1261" t="s">
        <v>184</v>
      </c>
      <c r="B49" s="432">
        <v>8130</v>
      </c>
      <c r="C49" s="1573"/>
      <c r="D49" s="1573"/>
      <c r="E49" s="1584"/>
      <c r="F49" s="1573"/>
      <c r="G49" s="1584"/>
      <c r="H49" s="1584"/>
      <c r="I49" s="1581"/>
      <c r="J49" s="1584"/>
      <c r="K49" s="1581"/>
      <c r="L49" s="453"/>
    </row>
    <row r="50" spans="1:12" s="433" customFormat="1" x14ac:dyDescent="0.2">
      <c r="A50" s="1261" t="s">
        <v>1384</v>
      </c>
      <c r="B50" s="432">
        <v>8140</v>
      </c>
      <c r="C50" s="1573"/>
      <c r="D50" s="1573"/>
      <c r="E50" s="1573"/>
      <c r="F50" s="1573"/>
      <c r="G50" s="1573"/>
      <c r="H50" s="1573"/>
      <c r="I50" s="1581"/>
      <c r="J50" s="1573"/>
      <c r="K50" s="1581"/>
      <c r="L50" s="453"/>
    </row>
    <row r="51" spans="1:12" s="433" customFormat="1" x14ac:dyDescent="0.2">
      <c r="A51" s="1261" t="s">
        <v>291</v>
      </c>
      <c r="B51" s="432">
        <v>8150</v>
      </c>
      <c r="C51" s="1579"/>
      <c r="D51" s="1579"/>
      <c r="E51" s="1579"/>
      <c r="F51" s="1579"/>
      <c r="G51" s="1579"/>
      <c r="H51" s="1606">
        <f>SUM(D29)</f>
        <v>0</v>
      </c>
      <c r="I51" s="1581"/>
      <c r="J51" s="1579"/>
      <c r="K51" s="1584"/>
      <c r="L51" s="453"/>
    </row>
    <row r="52" spans="1:12" s="433" customFormat="1" ht="26.25" x14ac:dyDescent="0.2">
      <c r="A52" s="1261" t="s">
        <v>1777</v>
      </c>
      <c r="B52" s="432">
        <v>8160</v>
      </c>
      <c r="C52" s="1581"/>
      <c r="D52" s="1581"/>
      <c r="E52" s="1581"/>
      <c r="F52" s="1581"/>
      <c r="G52" s="1581"/>
      <c r="H52" s="1581"/>
      <c r="I52" s="1581"/>
      <c r="J52" s="1581"/>
      <c r="K52" s="1606">
        <f>D30</f>
        <v>0</v>
      </c>
      <c r="L52" s="453"/>
    </row>
    <row r="53" spans="1:12" s="433" customFormat="1" ht="26.25" x14ac:dyDescent="0.2">
      <c r="A53" s="1261" t="s">
        <v>1776</v>
      </c>
      <c r="B53" s="432">
        <v>8170</v>
      </c>
      <c r="C53" s="1584"/>
      <c r="D53" s="1584"/>
      <c r="E53" s="1581"/>
      <c r="F53" s="1581"/>
      <c r="G53" s="1581"/>
      <c r="H53" s="1584"/>
      <c r="I53" s="1581"/>
      <c r="J53" s="1581"/>
      <c r="K53" s="1606">
        <f>E31</f>
        <v>0</v>
      </c>
      <c r="L53" s="453"/>
    </row>
    <row r="54" spans="1:12" s="433" customFormat="1" ht="13.5" thickBot="1" x14ac:dyDescent="0.25">
      <c r="A54" s="1261" t="s">
        <v>687</v>
      </c>
      <c r="B54" s="432">
        <v>8410</v>
      </c>
      <c r="C54" s="1625"/>
      <c r="D54" s="1625"/>
      <c r="E54" s="1581"/>
      <c r="F54" s="1581"/>
      <c r="G54" s="1581"/>
      <c r="H54" s="1625"/>
      <c r="I54" s="1581"/>
      <c r="J54" s="1581"/>
      <c r="K54" s="1579"/>
      <c r="L54" s="453"/>
    </row>
    <row r="55" spans="1:12" s="433" customFormat="1" ht="14.25" thickTop="1" thickBot="1" x14ac:dyDescent="0.25">
      <c r="A55" s="1262" t="s">
        <v>688</v>
      </c>
      <c r="B55" s="432">
        <v>8420</v>
      </c>
      <c r="C55" s="1626"/>
      <c r="D55" s="1626"/>
      <c r="E55" s="1581"/>
      <c r="F55" s="1581"/>
      <c r="G55" s="1581"/>
      <c r="H55" s="1625"/>
      <c r="I55" s="1581"/>
      <c r="J55" s="1581"/>
      <c r="K55" s="1581"/>
      <c r="L55" s="453"/>
    </row>
    <row r="56" spans="1:12" s="433" customFormat="1" ht="14.25" thickTop="1" thickBot="1" x14ac:dyDescent="0.25">
      <c r="A56" s="1261" t="s">
        <v>577</v>
      </c>
      <c r="B56" s="432">
        <v>8430</v>
      </c>
      <c r="C56" s="1626"/>
      <c r="D56" s="1626"/>
      <c r="E56" s="1581"/>
      <c r="F56" s="1581"/>
      <c r="G56" s="1581"/>
      <c r="H56" s="1625"/>
      <c r="I56" s="1581"/>
      <c r="J56" s="1581"/>
      <c r="K56" s="1581"/>
      <c r="L56" s="453"/>
    </row>
    <row r="57" spans="1:12" s="433" customFormat="1" ht="14.25" thickTop="1" thickBot="1" x14ac:dyDescent="0.25">
      <c r="A57" s="1262" t="s">
        <v>574</v>
      </c>
      <c r="B57" s="432">
        <v>8440</v>
      </c>
      <c r="C57" s="1626"/>
      <c r="D57" s="1626"/>
      <c r="E57" s="1581"/>
      <c r="F57" s="1581"/>
      <c r="G57" s="1581"/>
      <c r="H57" s="1625"/>
      <c r="I57" s="1581"/>
      <c r="J57" s="1581"/>
      <c r="K57" s="1581"/>
      <c r="L57" s="453"/>
    </row>
    <row r="58" spans="1:12" s="433" customFormat="1" ht="14.25" thickTop="1" thickBot="1" x14ac:dyDescent="0.25">
      <c r="A58" s="1261" t="s">
        <v>575</v>
      </c>
      <c r="B58" s="432">
        <v>8510</v>
      </c>
      <c r="C58" s="1626"/>
      <c r="D58" s="1626"/>
      <c r="E58" s="1581"/>
      <c r="F58" s="1581"/>
      <c r="G58" s="1581"/>
      <c r="H58" s="1625"/>
      <c r="I58" s="1581"/>
      <c r="J58" s="1581"/>
      <c r="K58" s="1581"/>
      <c r="L58" s="453"/>
    </row>
    <row r="59" spans="1:12" s="433" customFormat="1" ht="14.25" thickTop="1" thickBot="1" x14ac:dyDescent="0.25">
      <c r="A59" s="1263" t="s">
        <v>689</v>
      </c>
      <c r="B59" s="432">
        <v>8520</v>
      </c>
      <c r="C59" s="1626"/>
      <c r="D59" s="1626"/>
      <c r="E59" s="1581"/>
      <c r="F59" s="1581"/>
      <c r="G59" s="1581"/>
      <c r="H59" s="1625"/>
      <c r="I59" s="1581"/>
      <c r="J59" s="1581"/>
      <c r="K59" s="1581"/>
      <c r="L59" s="453"/>
    </row>
    <row r="60" spans="1:12" s="433" customFormat="1" ht="14.25" thickTop="1" thickBot="1" x14ac:dyDescent="0.25">
      <c r="A60" s="1261" t="s">
        <v>576</v>
      </c>
      <c r="B60" s="432">
        <v>8530</v>
      </c>
      <c r="C60" s="1626"/>
      <c r="D60" s="1626"/>
      <c r="E60" s="1581"/>
      <c r="F60" s="1581"/>
      <c r="G60" s="1581"/>
      <c r="H60" s="1625"/>
      <c r="I60" s="1581"/>
      <c r="J60" s="1581"/>
      <c r="K60" s="1581"/>
      <c r="L60" s="453"/>
    </row>
    <row r="61" spans="1:12" s="433" customFormat="1" ht="14.25" thickTop="1" thickBot="1" x14ac:dyDescent="0.25">
      <c r="A61" s="1262" t="s">
        <v>738</v>
      </c>
      <c r="B61" s="432">
        <v>8540</v>
      </c>
      <c r="C61" s="1626"/>
      <c r="D61" s="1626"/>
      <c r="E61" s="1581"/>
      <c r="F61" s="1581"/>
      <c r="G61" s="1581"/>
      <c r="H61" s="1625"/>
      <c r="I61" s="1581"/>
      <c r="J61" s="1581"/>
      <c r="K61" s="1581"/>
      <c r="L61" s="453"/>
    </row>
    <row r="62" spans="1:12" s="433" customFormat="1" ht="13.5" customHeight="1" thickTop="1" thickBot="1" x14ac:dyDescent="0.25">
      <c r="A62" s="1261" t="s">
        <v>739</v>
      </c>
      <c r="B62" s="432">
        <v>8610</v>
      </c>
      <c r="C62" s="1626"/>
      <c r="D62" s="1626"/>
      <c r="E62" s="1581"/>
      <c r="F62" s="1581"/>
      <c r="G62" s="1581"/>
      <c r="H62" s="1581"/>
      <c r="I62" s="1581"/>
      <c r="J62" s="1581"/>
      <c r="K62" s="1581"/>
      <c r="L62" s="453"/>
    </row>
    <row r="63" spans="1:12" s="433" customFormat="1" ht="14.25" thickTop="1" thickBot="1" x14ac:dyDescent="0.25">
      <c r="A63" s="1262" t="s">
        <v>690</v>
      </c>
      <c r="B63" s="432">
        <v>8620</v>
      </c>
      <c r="C63" s="1626"/>
      <c r="D63" s="1626"/>
      <c r="E63" s="1581"/>
      <c r="F63" s="1581"/>
      <c r="G63" s="1581"/>
      <c r="H63" s="1581"/>
      <c r="I63" s="1581"/>
      <c r="J63" s="1581"/>
      <c r="K63" s="1581"/>
      <c r="L63" s="453"/>
    </row>
    <row r="64" spans="1:12" s="433" customFormat="1" ht="13.5" customHeight="1" thickTop="1" thickBot="1" x14ac:dyDescent="0.25">
      <c r="A64" s="1261" t="s">
        <v>740</v>
      </c>
      <c r="B64" s="432">
        <v>8630</v>
      </c>
      <c r="C64" s="1626"/>
      <c r="D64" s="1626"/>
      <c r="E64" s="1581"/>
      <c r="F64" s="1581"/>
      <c r="G64" s="1581"/>
      <c r="H64" s="1581"/>
      <c r="I64" s="1581"/>
      <c r="J64" s="1581"/>
      <c r="K64" s="1581"/>
      <c r="L64" s="453"/>
    </row>
    <row r="65" spans="1:12" s="433" customFormat="1" ht="14.25" thickTop="1" thickBot="1" x14ac:dyDescent="0.25">
      <c r="A65" s="1262" t="s">
        <v>741</v>
      </c>
      <c r="B65" s="432">
        <v>8640</v>
      </c>
      <c r="C65" s="1626"/>
      <c r="D65" s="1626"/>
      <c r="E65" s="1581"/>
      <c r="F65" s="1581"/>
      <c r="G65" s="1581"/>
      <c r="H65" s="1581"/>
      <c r="I65" s="1581"/>
      <c r="J65" s="1581"/>
      <c r="K65" s="1581"/>
      <c r="L65" s="453"/>
    </row>
    <row r="66" spans="1:12" s="433" customFormat="1" ht="14.25" thickTop="1" thickBot="1" x14ac:dyDescent="0.25">
      <c r="A66" s="1261" t="s">
        <v>742</v>
      </c>
      <c r="B66" s="432">
        <v>8710</v>
      </c>
      <c r="C66" s="1626"/>
      <c r="D66" s="1626"/>
      <c r="E66" s="1581"/>
      <c r="F66" s="1581"/>
      <c r="G66" s="1581"/>
      <c r="H66" s="1581"/>
      <c r="I66" s="1581"/>
      <c r="J66" s="1581"/>
      <c r="K66" s="1581"/>
      <c r="L66" s="453"/>
    </row>
    <row r="67" spans="1:12" s="433" customFormat="1" ht="14.25" thickTop="1" thickBot="1" x14ac:dyDescent="0.25">
      <c r="A67" s="1262" t="s">
        <v>691</v>
      </c>
      <c r="B67" s="432">
        <v>8720</v>
      </c>
      <c r="C67" s="1626"/>
      <c r="D67" s="1626"/>
      <c r="E67" s="1581"/>
      <c r="F67" s="1581"/>
      <c r="G67" s="1581"/>
      <c r="H67" s="1581"/>
      <c r="I67" s="1581"/>
      <c r="J67" s="1581"/>
      <c r="K67" s="1581"/>
      <c r="L67" s="453"/>
    </row>
    <row r="68" spans="1:12" s="433" customFormat="1" ht="14.25" thickTop="1" thickBot="1" x14ac:dyDescent="0.25">
      <c r="A68" s="1263" t="s">
        <v>743</v>
      </c>
      <c r="B68" s="432">
        <v>8730</v>
      </c>
      <c r="C68" s="1626"/>
      <c r="D68" s="1626"/>
      <c r="E68" s="1581"/>
      <c r="F68" s="1581"/>
      <c r="G68" s="1581"/>
      <c r="H68" s="1581"/>
      <c r="I68" s="1581"/>
      <c r="J68" s="1581"/>
      <c r="K68" s="1581"/>
      <c r="L68" s="453"/>
    </row>
    <row r="69" spans="1:12" s="433" customFormat="1" ht="14.25" thickTop="1" thickBot="1" x14ac:dyDescent="0.25">
      <c r="A69" s="1262" t="s">
        <v>744</v>
      </c>
      <c r="B69" s="432">
        <v>8740</v>
      </c>
      <c r="C69" s="1626"/>
      <c r="D69" s="1626"/>
      <c r="E69" s="1581"/>
      <c r="F69" s="1581"/>
      <c r="G69" s="1581"/>
      <c r="H69" s="1581"/>
      <c r="I69" s="1581"/>
      <c r="J69" s="1581"/>
      <c r="K69" s="1581"/>
      <c r="L69" s="453"/>
    </row>
    <row r="70" spans="1:12" s="433" customFormat="1" ht="14.25" thickTop="1" thickBot="1" x14ac:dyDescent="0.25">
      <c r="A70" s="1261" t="s">
        <v>745</v>
      </c>
      <c r="B70" s="432">
        <v>8810</v>
      </c>
      <c r="C70" s="1626"/>
      <c r="D70" s="1626"/>
      <c r="E70" s="1581"/>
      <c r="F70" s="1581"/>
      <c r="G70" s="1581"/>
      <c r="H70" s="1581"/>
      <c r="I70" s="1581"/>
      <c r="J70" s="1581"/>
      <c r="K70" s="1581"/>
      <c r="L70" s="453"/>
    </row>
    <row r="71" spans="1:12" s="433" customFormat="1" ht="14.25" thickTop="1" thickBot="1" x14ac:dyDescent="0.25">
      <c r="A71" s="1261" t="s">
        <v>749</v>
      </c>
      <c r="B71" s="432">
        <v>8820</v>
      </c>
      <c r="C71" s="1626"/>
      <c r="D71" s="1626"/>
      <c r="E71" s="1581"/>
      <c r="F71" s="1581"/>
      <c r="G71" s="1581"/>
      <c r="H71" s="1581"/>
      <c r="I71" s="1581"/>
      <c r="J71" s="1581"/>
      <c r="K71" s="1581"/>
      <c r="L71" s="453"/>
    </row>
    <row r="72" spans="1:12" s="433" customFormat="1" ht="14.25" thickTop="1" thickBot="1" x14ac:dyDescent="0.25">
      <c r="A72" s="1261" t="s">
        <v>746</v>
      </c>
      <c r="B72" s="432">
        <v>8830</v>
      </c>
      <c r="C72" s="1626"/>
      <c r="D72" s="1626"/>
      <c r="E72" s="1581"/>
      <c r="F72" s="1581"/>
      <c r="G72" s="1581"/>
      <c r="H72" s="1581"/>
      <c r="I72" s="1581"/>
      <c r="J72" s="1581"/>
      <c r="K72" s="1581"/>
      <c r="L72" s="453"/>
    </row>
    <row r="73" spans="1:12" s="433" customFormat="1" ht="14.25" thickTop="1" thickBot="1" x14ac:dyDescent="0.25">
      <c r="A73" s="1261" t="s">
        <v>747</v>
      </c>
      <c r="B73" s="432">
        <v>8840</v>
      </c>
      <c r="C73" s="1626"/>
      <c r="D73" s="1626"/>
      <c r="E73" s="1581"/>
      <c r="F73" s="1581"/>
      <c r="G73" s="1581"/>
      <c r="H73" s="1581"/>
      <c r="I73" s="1581"/>
      <c r="J73" s="1581"/>
      <c r="K73" s="1584"/>
      <c r="L73" s="453"/>
    </row>
    <row r="74" spans="1:12" s="433" customFormat="1" ht="14.25" thickTop="1" thickBot="1" x14ac:dyDescent="0.25">
      <c r="A74" s="1261" t="s">
        <v>372</v>
      </c>
      <c r="B74" s="432">
        <v>8910</v>
      </c>
      <c r="C74" s="1626"/>
      <c r="D74" s="1626"/>
      <c r="E74" s="1584"/>
      <c r="F74" s="1625"/>
      <c r="G74" s="1625"/>
      <c r="H74" s="1625"/>
      <c r="I74" s="1584"/>
      <c r="J74" s="1584"/>
      <c r="K74" s="1625"/>
      <c r="L74" s="453"/>
    </row>
    <row r="75" spans="1:12" s="433" customFormat="1" ht="14.25" thickTop="1" thickBot="1" x14ac:dyDescent="0.25">
      <c r="A75" s="1264" t="s">
        <v>436</v>
      </c>
      <c r="B75" s="432">
        <v>8990</v>
      </c>
      <c r="C75" s="1626"/>
      <c r="D75" s="1626">
        <v>592000</v>
      </c>
      <c r="E75" s="1625"/>
      <c r="F75" s="1627"/>
      <c r="G75" s="1627"/>
      <c r="H75" s="1627"/>
      <c r="I75" s="1625"/>
      <c r="J75" s="1625"/>
      <c r="K75" s="1627"/>
      <c r="L75" s="453"/>
    </row>
    <row r="76" spans="1:12" s="433" customFormat="1" ht="14.25" thickTop="1" thickBot="1" x14ac:dyDescent="0.25">
      <c r="A76" s="2227" t="s">
        <v>437</v>
      </c>
      <c r="B76" s="2228"/>
      <c r="C76" s="1623">
        <f t="shared" ref="C76:K76" si="7">SUM(C47:C75)</f>
        <v>0</v>
      </c>
      <c r="D76" s="1623">
        <f t="shared" si="7"/>
        <v>592000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9" t="s">
        <v>1169</v>
      </c>
      <c r="B77" s="2230"/>
      <c r="C77" s="1623">
        <f t="shared" ref="C77:K77" si="8">C44-C76</f>
        <v>0</v>
      </c>
      <c r="D77" s="1623">
        <f t="shared" si="8"/>
        <v>-592000</v>
      </c>
      <c r="E77" s="1623">
        <f t="shared" si="8"/>
        <v>592000</v>
      </c>
      <c r="F77" s="1623">
        <f t="shared" si="8"/>
        <v>0</v>
      </c>
      <c r="G77" s="1623">
        <f t="shared" si="8"/>
        <v>0</v>
      </c>
      <c r="H77" s="1623">
        <f t="shared" si="8"/>
        <v>1500821</v>
      </c>
      <c r="I77" s="1623">
        <f t="shared" si="8"/>
        <v>0</v>
      </c>
      <c r="J77" s="1623">
        <f t="shared" si="8"/>
        <v>0</v>
      </c>
      <c r="K77" s="1623">
        <f t="shared" si="8"/>
        <v>0</v>
      </c>
      <c r="L77" s="325"/>
    </row>
    <row r="78" spans="1:12" ht="21.75" customHeight="1" thickTop="1" thickBot="1" x14ac:dyDescent="0.25">
      <c r="A78" s="2233" t="s">
        <v>593</v>
      </c>
      <c r="B78" s="2234"/>
      <c r="C78" s="1628">
        <f t="shared" ref="C78:K78" si="9">C20+C77</f>
        <v>513905</v>
      </c>
      <c r="D78" s="1628">
        <f t="shared" si="9"/>
        <v>277486</v>
      </c>
      <c r="E78" s="1628">
        <f t="shared" si="9"/>
        <v>-11625</v>
      </c>
      <c r="F78" s="1628">
        <f t="shared" si="9"/>
        <v>345756</v>
      </c>
      <c r="G78" s="1628">
        <f t="shared" si="9"/>
        <v>-6278</v>
      </c>
      <c r="H78" s="1628">
        <f t="shared" si="9"/>
        <v>648660</v>
      </c>
      <c r="I78" s="1628">
        <f t="shared" si="9"/>
        <v>0</v>
      </c>
      <c r="J78" s="1628">
        <f t="shared" si="9"/>
        <v>18208</v>
      </c>
      <c r="K78" s="1628">
        <f t="shared" si="9"/>
        <v>10604</v>
      </c>
      <c r="L78" s="457"/>
    </row>
    <row r="79" spans="1:12" ht="13.5" thickTop="1" x14ac:dyDescent="0.2">
      <c r="A79" s="1843" t="str">
        <f>"Fund Balances - July 1, "&amp;'AFR20'!E2-1</f>
        <v>Fund Balances - July 1, 2019</v>
      </c>
      <c r="B79" s="458"/>
      <c r="C79" s="1582">
        <f>1515065+12960+13345-3159+4710+540</f>
        <v>1543461</v>
      </c>
      <c r="D79" s="1629">
        <v>254494</v>
      </c>
      <c r="E79" s="1629">
        <v>16661</v>
      </c>
      <c r="F79" s="1629">
        <f>986870-83</f>
        <v>986787</v>
      </c>
      <c r="G79" s="1629">
        <f>19385-13377+227+2622</f>
        <v>8857</v>
      </c>
      <c r="H79" s="1629">
        <v>-10343</v>
      </c>
      <c r="I79" s="1629">
        <v>92464</v>
      </c>
      <c r="J79" s="1629">
        <v>3546</v>
      </c>
      <c r="K79" s="1629">
        <f>118025-12960</f>
        <v>105065</v>
      </c>
      <c r="L79" s="325"/>
    </row>
    <row r="80" spans="1:12" x14ac:dyDescent="0.2">
      <c r="A80" s="2239" t="s">
        <v>1775</v>
      </c>
      <c r="B80" s="2240"/>
      <c r="C80" s="1573"/>
      <c r="D80" s="1573"/>
      <c r="E80" s="1573"/>
      <c r="F80" s="1573"/>
      <c r="G80" s="1573"/>
      <c r="H80" s="1573"/>
      <c r="I80" s="1573"/>
      <c r="J80" s="1573"/>
      <c r="K80" s="1573"/>
      <c r="L80" s="325"/>
    </row>
    <row r="81" spans="1:12" ht="13.5" thickBot="1" x14ac:dyDescent="0.25">
      <c r="A81" s="2231" t="str">
        <f>"Fund Balances - June 30, "&amp;'AFR20'!E2</f>
        <v>Fund Balances - June 30, 2020</v>
      </c>
      <c r="B81" s="2232"/>
      <c r="C81" s="1593">
        <f>(SUM(C78:C80))</f>
        <v>2057366</v>
      </c>
      <c r="D81" s="1593">
        <f>SUM(D78:D80)</f>
        <v>531980</v>
      </c>
      <c r="E81" s="1593">
        <f t="shared" ref="E81:K81" si="10">SUM(E78:E80)</f>
        <v>5036</v>
      </c>
      <c r="F81" s="1593">
        <f t="shared" si="10"/>
        <v>1332543</v>
      </c>
      <c r="G81" s="1593">
        <f t="shared" si="10"/>
        <v>2579</v>
      </c>
      <c r="H81" s="1593">
        <f t="shared" si="10"/>
        <v>638317</v>
      </c>
      <c r="I81" s="1593">
        <f t="shared" si="10"/>
        <v>92464</v>
      </c>
      <c r="J81" s="1593">
        <f t="shared" si="10"/>
        <v>21754</v>
      </c>
      <c r="K81" s="1593">
        <f t="shared" si="10"/>
        <v>115669</v>
      </c>
      <c r="L81" s="325"/>
    </row>
    <row r="82" spans="1:12" ht="0.75" customHeight="1" thickTop="1" thickBot="1" x14ac:dyDescent="0.25">
      <c r="A82" s="459" t="s">
        <v>340</v>
      </c>
      <c r="B82" s="460"/>
      <c r="C82" s="461">
        <f>(C81-C79)</f>
        <v>513905</v>
      </c>
      <c r="D82" s="461">
        <f t="shared" ref="D82:K82" si="11">(D81-D79)</f>
        <v>277486</v>
      </c>
      <c r="E82" s="461">
        <f t="shared" si="11"/>
        <v>-11625</v>
      </c>
      <c r="F82" s="461">
        <f t="shared" si="11"/>
        <v>345756</v>
      </c>
      <c r="G82" s="461">
        <f t="shared" si="11"/>
        <v>-6278</v>
      </c>
      <c r="H82" s="461">
        <f t="shared" si="11"/>
        <v>648660</v>
      </c>
      <c r="I82" s="461">
        <f t="shared" si="11"/>
        <v>0</v>
      </c>
      <c r="J82" s="461">
        <f t="shared" si="11"/>
        <v>18208</v>
      </c>
      <c r="K82" s="461">
        <f t="shared" si="11"/>
        <v>10604</v>
      </c>
    </row>
    <row r="83" spans="1:12" ht="14.25" hidden="1" thickTop="1" thickBot="1" x14ac:dyDescent="0.25">
      <c r="A83" s="462" t="s">
        <v>341</v>
      </c>
      <c r="B83" s="428"/>
      <c r="C83" s="463">
        <f>C82/C81</f>
        <v>0.24978783551395328</v>
      </c>
      <c r="D83" s="463">
        <f t="shared" ref="D83:K83" si="12">D82/D81</f>
        <v>0.52160983495620139</v>
      </c>
      <c r="E83" s="463">
        <f t="shared" si="12"/>
        <v>-2.3083796664019061</v>
      </c>
      <c r="F83" s="463">
        <f t="shared" si="12"/>
        <v>0.25947080131748096</v>
      </c>
      <c r="G83" s="463">
        <f t="shared" si="12"/>
        <v>-2.4342768514928266</v>
      </c>
      <c r="H83" s="463">
        <f t="shared" si="12"/>
        <v>1.0162035477670186</v>
      </c>
      <c r="I83" s="463">
        <f t="shared" si="12"/>
        <v>0</v>
      </c>
      <c r="J83" s="463">
        <f t="shared" si="12"/>
        <v>0.83699549508136439</v>
      </c>
      <c r="K83" s="463">
        <f t="shared" si="12"/>
        <v>9.1675384070061983E-2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7" type="noConversion"/>
  <printOptions headings="1"/>
  <pageMargins left="0.21" right="0" top="0.8" bottom="0.48" header="0.31"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2" activePane="bottomLeft" state="frozen"/>
      <selection pane="bottomLeft" activeCell="C259" sqref="C259"/>
    </sheetView>
  </sheetViews>
  <sheetFormatPr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1782</v>
      </c>
      <c r="B1" s="416"/>
      <c r="C1" s="417" t="s">
        <v>422</v>
      </c>
      <c r="D1" s="417" t="s">
        <v>423</v>
      </c>
      <c r="E1" s="417" t="s">
        <v>424</v>
      </c>
      <c r="F1" s="417" t="s">
        <v>425</v>
      </c>
      <c r="G1" s="417" t="s">
        <v>426</v>
      </c>
      <c r="H1" s="417" t="s">
        <v>427</v>
      </c>
      <c r="I1" s="417" t="s">
        <v>428</v>
      </c>
      <c r="J1" s="417" t="s">
        <v>429</v>
      </c>
      <c r="K1" s="417" t="s">
        <v>751</v>
      </c>
    </row>
    <row r="2" spans="1:12" ht="36" x14ac:dyDescent="0.2">
      <c r="A2" s="223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5">
        <v>3480991</v>
      </c>
      <c r="D5" s="1585">
        <v>650946</v>
      </c>
      <c r="E5" s="1572"/>
      <c r="F5" s="1630">
        <v>620375</v>
      </c>
      <c r="G5" s="1572">
        <f>290354-145177</f>
        <v>145177</v>
      </c>
      <c r="H5" s="1572"/>
      <c r="I5" s="1572"/>
      <c r="J5" s="1573">
        <v>93301</v>
      </c>
      <c r="K5" s="1572">
        <v>20022</v>
      </c>
    </row>
    <row r="6" spans="1:12" ht="15" x14ac:dyDescent="0.2">
      <c r="A6" s="427" t="s">
        <v>1646</v>
      </c>
      <c r="B6" s="429">
        <v>1130</v>
      </c>
      <c r="C6" s="1572"/>
      <c r="D6" s="1572"/>
      <c r="E6" s="1579"/>
      <c r="F6" s="1579"/>
      <c r="G6" s="1574"/>
      <c r="H6" s="1574"/>
      <c r="I6" s="1574"/>
      <c r="J6" s="1574"/>
      <c r="K6" s="1574"/>
    </row>
    <row r="7" spans="1:12" x14ac:dyDescent="0.2">
      <c r="A7" s="427" t="s">
        <v>110</v>
      </c>
      <c r="B7" s="471">
        <v>1140</v>
      </c>
      <c r="C7" s="1572">
        <v>701679</v>
      </c>
      <c r="D7" s="1572"/>
      <c r="E7" s="1574"/>
      <c r="F7" s="1573"/>
      <c r="G7" s="1573"/>
      <c r="H7" s="1573"/>
      <c r="I7" s="1574"/>
      <c r="J7" s="1574"/>
      <c r="K7" s="1574"/>
    </row>
    <row r="8" spans="1:12" x14ac:dyDescent="0.2">
      <c r="A8" s="427" t="s">
        <v>410</v>
      </c>
      <c r="B8" s="429">
        <v>1150</v>
      </c>
      <c r="C8" s="1579"/>
      <c r="D8" s="1579"/>
      <c r="E8" s="1581"/>
      <c r="F8" s="1581"/>
      <c r="G8" s="1585">
        <v>145177</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4" t="s">
        <v>29</v>
      </c>
      <c r="B12" s="1405"/>
      <c r="C12" s="1632">
        <f t="shared" ref="C12:K12" si="0">SUM(C5:C11)</f>
        <v>4182670</v>
      </c>
      <c r="D12" s="1632">
        <f t="shared" si="0"/>
        <v>650946</v>
      </c>
      <c r="E12" s="1632">
        <f t="shared" si="0"/>
        <v>0</v>
      </c>
      <c r="F12" s="1632">
        <f t="shared" si="0"/>
        <v>620375</v>
      </c>
      <c r="G12" s="1632">
        <f t="shared" si="0"/>
        <v>290354</v>
      </c>
      <c r="H12" s="1632">
        <f t="shared" si="0"/>
        <v>0</v>
      </c>
      <c r="I12" s="1632">
        <f t="shared" si="0"/>
        <v>0</v>
      </c>
      <c r="J12" s="1632">
        <f t="shared" si="0"/>
        <v>93301</v>
      </c>
      <c r="K12" s="1593">
        <f t="shared" si="0"/>
        <v>20022</v>
      </c>
    </row>
    <row r="13" spans="1:12" ht="15.75" customHeight="1" thickTop="1" x14ac:dyDescent="0.2">
      <c r="A13" s="1330" t="s">
        <v>448</v>
      </c>
      <c r="B13" s="1331">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1647</v>
      </c>
      <c r="B16" s="471">
        <v>1230</v>
      </c>
      <c r="C16" s="1631">
        <v>480602</v>
      </c>
      <c r="D16" s="1572"/>
      <c r="E16" s="1572"/>
      <c r="F16" s="1572"/>
      <c r="G16" s="1572"/>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6" t="s">
        <v>534</v>
      </c>
      <c r="B18" s="1407"/>
      <c r="C18" s="1634">
        <f>SUM(C14:C17)</f>
        <v>480602</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30" t="s">
        <v>449</v>
      </c>
      <c r="B19" s="1331">
        <v>1300</v>
      </c>
      <c r="C19" s="1636"/>
      <c r="D19" s="1636"/>
      <c r="E19" s="1636"/>
      <c r="F19" s="1636"/>
      <c r="G19" s="1633"/>
      <c r="H19" s="1636"/>
      <c r="I19" s="1636"/>
      <c r="J19" s="1636"/>
      <c r="K19" s="1637"/>
    </row>
    <row r="20" spans="1:11" x14ac:dyDescent="0.2">
      <c r="A20" s="427" t="s">
        <v>1066</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1067</v>
      </c>
      <c r="B22" s="429">
        <v>1313</v>
      </c>
      <c r="C22" s="1631"/>
      <c r="D22" s="1574"/>
      <c r="E22" s="1574"/>
      <c r="F22" s="1574"/>
      <c r="G22" s="1574"/>
      <c r="H22" s="1574"/>
      <c r="I22" s="1574"/>
      <c r="J22" s="1574"/>
      <c r="K22" s="1574"/>
    </row>
    <row r="23" spans="1:11" ht="12.75" customHeight="1" x14ac:dyDescent="0.2">
      <c r="A23" s="427" t="s">
        <v>1068</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1094</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5" t="s">
        <v>590</v>
      </c>
      <c r="B39" s="474">
        <v>1354</v>
      </c>
      <c r="C39" s="1597"/>
      <c r="D39" s="1574"/>
      <c r="E39" s="1574"/>
      <c r="F39" s="1574"/>
      <c r="G39" s="1574"/>
      <c r="H39" s="1574"/>
      <c r="I39" s="1574"/>
      <c r="J39" s="1574"/>
      <c r="K39" s="1574"/>
    </row>
    <row r="40" spans="1:11" ht="12.75" customHeight="1" thickBot="1" x14ac:dyDescent="0.25">
      <c r="A40" s="1406" t="s">
        <v>535</v>
      </c>
      <c r="B40" s="1407"/>
      <c r="C40" s="1593">
        <f>SUM(C20:C39)</f>
        <v>0</v>
      </c>
      <c r="D40" s="1574"/>
      <c r="E40" s="1574"/>
      <c r="F40" s="1574"/>
      <c r="G40" s="1574"/>
      <c r="H40" s="1574"/>
      <c r="I40" s="1574"/>
      <c r="J40" s="1574"/>
      <c r="K40" s="1574"/>
    </row>
    <row r="41" spans="1:11" ht="15.75" customHeight="1" thickTop="1" x14ac:dyDescent="0.2">
      <c r="A41" s="1330" t="s">
        <v>272</v>
      </c>
      <c r="B41" s="1331">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1166</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6" t="s">
        <v>60</v>
      </c>
      <c r="B51" s="475">
        <v>1431</v>
      </c>
      <c r="C51" s="1574"/>
      <c r="D51" s="1574"/>
      <c r="E51" s="1574"/>
      <c r="F51" s="1572"/>
      <c r="G51" s="1574"/>
      <c r="H51" s="1574"/>
      <c r="I51" s="1574"/>
      <c r="J51" s="1574"/>
      <c r="K51" s="1574"/>
    </row>
    <row r="52" spans="1:11" ht="12.75" customHeight="1" x14ac:dyDescent="0.2">
      <c r="A52" s="1266" t="s">
        <v>1099</v>
      </c>
      <c r="B52" s="475">
        <v>1432</v>
      </c>
      <c r="C52" s="1574"/>
      <c r="D52" s="1574"/>
      <c r="E52" s="1574"/>
      <c r="F52" s="1572"/>
      <c r="G52" s="1574"/>
      <c r="H52" s="1574"/>
      <c r="I52" s="1574"/>
      <c r="J52" s="1574"/>
      <c r="K52" s="1574"/>
    </row>
    <row r="53" spans="1:11" ht="12.75" customHeight="1" x14ac:dyDescent="0.2">
      <c r="A53" s="1266" t="s">
        <v>61</v>
      </c>
      <c r="B53" s="475">
        <v>1433</v>
      </c>
      <c r="C53" s="1574"/>
      <c r="D53" s="1574"/>
      <c r="E53" s="1574"/>
      <c r="F53" s="1572"/>
      <c r="G53" s="1574"/>
      <c r="H53" s="1574"/>
      <c r="I53" s="1574"/>
      <c r="J53" s="1574"/>
      <c r="K53" s="1574"/>
    </row>
    <row r="54" spans="1:11" ht="12.75" customHeight="1" x14ac:dyDescent="0.2">
      <c r="A54" s="1266" t="s">
        <v>62</v>
      </c>
      <c r="B54" s="475">
        <v>1434</v>
      </c>
      <c r="C54" s="1574"/>
      <c r="D54" s="1574"/>
      <c r="E54" s="1574"/>
      <c r="F54" s="1573"/>
      <c r="G54" s="1574"/>
      <c r="H54" s="1574"/>
      <c r="I54" s="1574"/>
      <c r="J54" s="1574"/>
      <c r="K54" s="1574"/>
    </row>
    <row r="55" spans="1:11" ht="12.75" customHeight="1" x14ac:dyDescent="0.2">
      <c r="A55" s="1266" t="s">
        <v>63</v>
      </c>
      <c r="B55" s="475">
        <v>1441</v>
      </c>
      <c r="C55" s="1574"/>
      <c r="D55" s="1574"/>
      <c r="E55" s="1574"/>
      <c r="F55" s="1572"/>
      <c r="G55" s="1574"/>
      <c r="H55" s="1574"/>
      <c r="I55" s="1574"/>
      <c r="J55" s="1574"/>
      <c r="K55" s="1574"/>
    </row>
    <row r="56" spans="1:11" ht="12.75" customHeight="1" x14ac:dyDescent="0.2">
      <c r="A56" s="1266" t="s">
        <v>1100</v>
      </c>
      <c r="B56" s="475">
        <v>1442</v>
      </c>
      <c r="C56" s="1574"/>
      <c r="D56" s="1574"/>
      <c r="E56" s="1574"/>
      <c r="F56" s="1572"/>
      <c r="G56" s="1574"/>
      <c r="H56" s="1574"/>
      <c r="I56" s="1574"/>
      <c r="J56" s="1574"/>
      <c r="K56" s="1574"/>
    </row>
    <row r="57" spans="1:11" ht="12.75" customHeight="1" x14ac:dyDescent="0.2">
      <c r="A57" s="1266" t="s">
        <v>486</v>
      </c>
      <c r="B57" s="475">
        <v>1443</v>
      </c>
      <c r="C57" s="1574"/>
      <c r="D57" s="1574"/>
      <c r="E57" s="1574"/>
      <c r="F57" s="1572"/>
      <c r="G57" s="1574"/>
      <c r="H57" s="1574"/>
      <c r="I57" s="1574"/>
      <c r="J57" s="1574"/>
      <c r="K57" s="1574"/>
    </row>
    <row r="58" spans="1:11" ht="12.75" customHeight="1" x14ac:dyDescent="0.2">
      <c r="A58" s="1266" t="s">
        <v>65</v>
      </c>
      <c r="B58" s="475">
        <v>1444</v>
      </c>
      <c r="C58" s="1574"/>
      <c r="D58" s="1574"/>
      <c r="E58" s="1574"/>
      <c r="F58" s="1572"/>
      <c r="G58" s="1574"/>
      <c r="H58" s="1574"/>
      <c r="I58" s="1574"/>
      <c r="J58" s="1574"/>
      <c r="K58" s="1574"/>
    </row>
    <row r="59" spans="1:11" ht="12.75" customHeight="1" x14ac:dyDescent="0.2">
      <c r="A59" s="1266" t="s">
        <v>873</v>
      </c>
      <c r="B59" s="475">
        <v>1451</v>
      </c>
      <c r="C59" s="1574"/>
      <c r="D59" s="1574"/>
      <c r="E59" s="1574"/>
      <c r="F59" s="1572"/>
      <c r="G59" s="1574"/>
      <c r="H59" s="1574"/>
      <c r="I59" s="1574"/>
      <c r="J59" s="1574"/>
      <c r="K59" s="1574"/>
    </row>
    <row r="60" spans="1:11" ht="12.75" customHeight="1" x14ac:dyDescent="0.2">
      <c r="A60" s="1266" t="s">
        <v>1101</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7" t="s">
        <v>875</v>
      </c>
      <c r="B62" s="476">
        <v>1454</v>
      </c>
      <c r="C62" s="1574"/>
      <c r="D62" s="1574"/>
      <c r="E62" s="1574"/>
      <c r="F62" s="1573"/>
      <c r="G62" s="1574"/>
      <c r="H62" s="1574"/>
      <c r="I62" s="1574"/>
      <c r="J62" s="1574"/>
      <c r="K62" s="1574"/>
    </row>
    <row r="63" spans="1:11" ht="12.75" customHeight="1" thickBot="1" x14ac:dyDescent="0.25">
      <c r="A63" s="1406" t="s">
        <v>482</v>
      </c>
      <c r="B63" s="1407"/>
      <c r="C63" s="1574"/>
      <c r="D63" s="1574"/>
      <c r="E63" s="1574"/>
      <c r="F63" s="1593">
        <f>SUM(F42:F62)</f>
        <v>0</v>
      </c>
      <c r="G63" s="1574"/>
      <c r="H63" s="1574"/>
      <c r="I63" s="1574"/>
      <c r="J63" s="1574"/>
      <c r="K63" s="1574"/>
    </row>
    <row r="64" spans="1:11" ht="15.75" customHeight="1" thickTop="1" x14ac:dyDescent="0.2">
      <c r="A64" s="1330" t="s">
        <v>451</v>
      </c>
      <c r="B64" s="1331">
        <v>1500</v>
      </c>
      <c r="C64" s="1574"/>
      <c r="D64" s="1574"/>
      <c r="E64" s="1574"/>
      <c r="F64" s="1574"/>
      <c r="G64" s="1574"/>
      <c r="H64" s="1574"/>
      <c r="I64" s="1574"/>
      <c r="J64" s="1574"/>
      <c r="K64" s="1574"/>
    </row>
    <row r="65" spans="1:11" ht="12.75" customHeight="1" x14ac:dyDescent="0.2">
      <c r="A65" s="427" t="s">
        <v>543</v>
      </c>
      <c r="B65" s="429">
        <v>1510</v>
      </c>
      <c r="C65" s="1572">
        <f>38114+11722</f>
        <v>49836</v>
      </c>
      <c r="D65" s="1572">
        <v>240</v>
      </c>
      <c r="E65" s="1572"/>
      <c r="F65" s="1573">
        <v>229</v>
      </c>
      <c r="G65" s="1572">
        <v>107</v>
      </c>
      <c r="H65" s="1572"/>
      <c r="I65" s="1572"/>
      <c r="J65" s="1573">
        <v>34</v>
      </c>
      <c r="K65" s="1572">
        <v>7</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6" t="s">
        <v>483</v>
      </c>
      <c r="B67" s="1407"/>
      <c r="C67" s="1593">
        <f>SUM(C65:C66)</f>
        <v>49836</v>
      </c>
      <c r="D67" s="1593">
        <f t="shared" ref="D67:K67" si="2">SUM(D65:D66)</f>
        <v>240</v>
      </c>
      <c r="E67" s="1593">
        <f t="shared" si="2"/>
        <v>0</v>
      </c>
      <c r="F67" s="1593">
        <f t="shared" si="2"/>
        <v>229</v>
      </c>
      <c r="G67" s="1593">
        <f t="shared" si="2"/>
        <v>107</v>
      </c>
      <c r="H67" s="1593">
        <f t="shared" si="2"/>
        <v>0</v>
      </c>
      <c r="I67" s="1593">
        <f t="shared" si="2"/>
        <v>0</v>
      </c>
      <c r="J67" s="1593">
        <f t="shared" si="2"/>
        <v>34</v>
      </c>
      <c r="K67" s="1593">
        <f t="shared" si="2"/>
        <v>7</v>
      </c>
    </row>
    <row r="68" spans="1:11" ht="15.75" customHeight="1" thickTop="1" x14ac:dyDescent="0.2">
      <c r="A68" s="1330" t="s">
        <v>452</v>
      </c>
      <c r="B68" s="1332">
        <v>1600</v>
      </c>
      <c r="C68" s="1633"/>
      <c r="D68" s="1574"/>
      <c r="E68" s="1574"/>
      <c r="F68" s="1574"/>
      <c r="G68" s="1574"/>
      <c r="H68" s="1574"/>
      <c r="I68" s="1574"/>
      <c r="J68" s="1574"/>
      <c r="K68" s="1574"/>
    </row>
    <row r="69" spans="1:11" ht="12.75" customHeight="1" x14ac:dyDescent="0.2">
      <c r="A69" s="427" t="s">
        <v>661</v>
      </c>
      <c r="B69" s="429">
        <v>1611</v>
      </c>
      <c r="C69" s="1572">
        <v>212676</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c r="D73" s="1574"/>
      <c r="E73" s="1574"/>
      <c r="F73" s="1574"/>
      <c r="G73" s="1574"/>
      <c r="H73" s="1574"/>
      <c r="I73" s="1574"/>
      <c r="J73" s="1574"/>
      <c r="K73" s="1574"/>
    </row>
    <row r="74" spans="1:11" ht="12.75" customHeight="1" x14ac:dyDescent="0.2">
      <c r="A74" s="427" t="s">
        <v>25</v>
      </c>
      <c r="B74" s="429">
        <v>1690</v>
      </c>
      <c r="C74" s="1631">
        <v>47176</v>
      </c>
      <c r="D74" s="1574"/>
      <c r="E74" s="1574"/>
      <c r="F74" s="1574"/>
      <c r="G74" s="1574"/>
      <c r="H74" s="1574"/>
      <c r="I74" s="1574"/>
      <c r="J74" s="1574"/>
      <c r="K74" s="1574"/>
    </row>
    <row r="75" spans="1:11" ht="12.75" customHeight="1" thickBot="1" x14ac:dyDescent="0.25">
      <c r="A75" s="1406" t="s">
        <v>544</v>
      </c>
      <c r="B75" s="1407"/>
      <c r="C75" s="1593">
        <f>SUM(C69:C74)</f>
        <v>259852</v>
      </c>
      <c r="D75" s="1574"/>
      <c r="E75" s="1574"/>
      <c r="F75" s="1574"/>
      <c r="G75" s="1574"/>
      <c r="H75" s="1574"/>
      <c r="I75" s="1574"/>
      <c r="J75" s="1574"/>
      <c r="K75" s="1574"/>
    </row>
    <row r="76" spans="1:11" ht="15.75" customHeight="1" thickTop="1" x14ac:dyDescent="0.2">
      <c r="A76" s="1330" t="s">
        <v>876</v>
      </c>
      <c r="B76" s="1332">
        <v>1700</v>
      </c>
      <c r="C76" s="1633"/>
      <c r="D76" s="1574"/>
      <c r="E76" s="1574"/>
      <c r="F76" s="1574"/>
      <c r="G76" s="1574"/>
      <c r="H76" s="1574"/>
      <c r="I76" s="1574"/>
      <c r="J76" s="1574"/>
      <c r="K76" s="1574"/>
    </row>
    <row r="77" spans="1:11" ht="12.75" customHeight="1" x14ac:dyDescent="0.2">
      <c r="A77" s="427" t="s">
        <v>545</v>
      </c>
      <c r="B77" s="429">
        <v>1711</v>
      </c>
      <c r="C77" s="1612">
        <v>29375</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6" t="s">
        <v>239</v>
      </c>
      <c r="B82" s="1407"/>
      <c r="C82" s="1632">
        <f>SUM(C77:C81)</f>
        <v>29375</v>
      </c>
      <c r="D82" s="1593">
        <f>SUM(D77:D81)</f>
        <v>0</v>
      </c>
      <c r="E82" s="1574"/>
      <c r="F82" s="1574"/>
      <c r="G82" s="1574"/>
      <c r="H82" s="1574"/>
      <c r="I82" s="1574"/>
      <c r="J82" s="1574"/>
      <c r="K82" s="1574"/>
    </row>
    <row r="83" spans="1:11" ht="15.75" customHeight="1" thickTop="1" x14ac:dyDescent="0.2">
      <c r="A83" s="1330" t="s">
        <v>240</v>
      </c>
      <c r="B83" s="1332">
        <v>1800</v>
      </c>
      <c r="C83" s="1633"/>
      <c r="D83" s="1574"/>
      <c r="E83" s="1574"/>
      <c r="F83" s="1574"/>
      <c r="G83" s="1574"/>
      <c r="H83" s="1574"/>
      <c r="I83" s="1574"/>
      <c r="J83" s="1574"/>
      <c r="K83" s="1574"/>
    </row>
    <row r="84" spans="1:11" ht="12.75" customHeight="1" x14ac:dyDescent="0.2">
      <c r="A84" s="427" t="s">
        <v>548</v>
      </c>
      <c r="B84" s="429">
        <v>1811</v>
      </c>
      <c r="C84" s="1572">
        <v>71065</v>
      </c>
      <c r="D84" s="1574"/>
      <c r="E84" s="1574"/>
      <c r="F84" s="1574"/>
      <c r="G84" s="1574"/>
      <c r="H84" s="1574"/>
      <c r="I84" s="1574"/>
      <c r="J84" s="1574"/>
      <c r="K84" s="1574"/>
    </row>
    <row r="85" spans="1:11" ht="12.75" customHeight="1" x14ac:dyDescent="0.2">
      <c r="A85" s="427" t="s">
        <v>549</v>
      </c>
      <c r="B85" s="429">
        <v>1812</v>
      </c>
      <c r="C85" s="1631">
        <v>4172</v>
      </c>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6" t="s">
        <v>241</v>
      </c>
      <c r="B93" s="1407"/>
      <c r="C93" s="1593">
        <f>SUM(C84:C92)</f>
        <v>75237</v>
      </c>
      <c r="D93" s="1574"/>
      <c r="E93" s="1574"/>
      <c r="F93" s="1574"/>
      <c r="G93" s="1574"/>
      <c r="H93" s="1574"/>
      <c r="I93" s="1574"/>
      <c r="J93" s="1574"/>
      <c r="K93" s="1574"/>
    </row>
    <row r="94" spans="1:11" ht="15.75" customHeight="1" thickTop="1" x14ac:dyDescent="0.2">
      <c r="A94" s="1330" t="s">
        <v>1129</v>
      </c>
      <c r="B94" s="1332">
        <v>1900</v>
      </c>
      <c r="C94" s="1633"/>
      <c r="D94" s="1616"/>
      <c r="E94" s="1574"/>
      <c r="F94" s="1574"/>
      <c r="G94" s="1574"/>
      <c r="H94" s="1574"/>
      <c r="I94" s="1574"/>
      <c r="J94" s="1574"/>
      <c r="K94" s="1574"/>
    </row>
    <row r="95" spans="1:11" ht="12.75" customHeight="1" x14ac:dyDescent="0.2">
      <c r="A95" s="427" t="s">
        <v>1057</v>
      </c>
      <c r="B95" s="429">
        <v>1910</v>
      </c>
      <c r="C95" s="1572"/>
      <c r="D95" s="1631">
        <v>700</v>
      </c>
      <c r="E95" s="1616"/>
      <c r="F95" s="1616"/>
      <c r="G95" s="1616"/>
      <c r="H95" s="1616"/>
      <c r="I95" s="1616"/>
      <c r="J95" s="1616"/>
      <c r="K95" s="1616"/>
    </row>
    <row r="96" spans="1:11" ht="12.75" customHeight="1" x14ac:dyDescent="0.2">
      <c r="A96" s="427" t="s">
        <v>388</v>
      </c>
      <c r="B96" s="429">
        <v>1920</v>
      </c>
      <c r="C96" s="1631"/>
      <c r="D96" s="1631">
        <v>3465</v>
      </c>
      <c r="E96" s="1583"/>
      <c r="F96" s="1582"/>
      <c r="G96" s="1582"/>
      <c r="H96" s="1582">
        <v>7213</v>
      </c>
      <c r="I96" s="1582"/>
      <c r="J96" s="1582"/>
      <c r="K96" s="1582"/>
    </row>
    <row r="97" spans="1:12" ht="12.75" customHeight="1" x14ac:dyDescent="0.2">
      <c r="A97" s="1265"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48731</v>
      </c>
      <c r="D99" s="1572">
        <v>1016</v>
      </c>
      <c r="E99" s="1572"/>
      <c r="F99" s="1572"/>
      <c r="G99" s="1572"/>
      <c r="H99" s="1572"/>
      <c r="I99" s="1574"/>
      <c r="J99" s="1573"/>
      <c r="K99" s="1572"/>
    </row>
    <row r="100" spans="1:12" ht="12.75" customHeight="1" x14ac:dyDescent="0.2">
      <c r="A100" s="427" t="s">
        <v>243</v>
      </c>
      <c r="B100" s="429">
        <v>1960</v>
      </c>
      <c r="C100" s="1597"/>
      <c r="D100" s="1597">
        <v>270158</v>
      </c>
      <c r="E100" s="1597"/>
      <c r="F100" s="1597"/>
      <c r="G100" s="1597"/>
      <c r="H100" s="1597"/>
      <c r="I100" s="1573"/>
      <c r="J100" s="1597"/>
      <c r="K100" s="1573"/>
    </row>
    <row r="101" spans="1:12" ht="12.75" customHeight="1" x14ac:dyDescent="0.2">
      <c r="A101" s="427" t="s">
        <v>244</v>
      </c>
      <c r="B101" s="429">
        <v>1970</v>
      </c>
      <c r="C101" s="1597">
        <v>22271</v>
      </c>
      <c r="D101" s="1622"/>
      <c r="E101" s="1584"/>
      <c r="F101" s="1622"/>
      <c r="G101" s="1579"/>
      <c r="H101" s="1622"/>
      <c r="I101" s="1574"/>
      <c r="J101" s="1579"/>
      <c r="K101" s="1579"/>
    </row>
    <row r="102" spans="1:12" ht="12.75" customHeight="1" x14ac:dyDescent="0.2">
      <c r="A102" s="427" t="s">
        <v>245</v>
      </c>
      <c r="B102" s="429">
        <v>1980</v>
      </c>
      <c r="C102" s="1597"/>
      <c r="D102" s="1597">
        <v>5150</v>
      </c>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v>373906</v>
      </c>
      <c r="I103" s="1574"/>
      <c r="J103" s="1609"/>
      <c r="K103" s="1609"/>
    </row>
    <row r="104" spans="1:12" ht="12.75" customHeight="1" x14ac:dyDescent="0.2">
      <c r="A104" s="427" t="s">
        <v>825</v>
      </c>
      <c r="B104" s="429">
        <v>1991</v>
      </c>
      <c r="C104" s="1597"/>
      <c r="D104" s="1572">
        <v>54800</v>
      </c>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1416</v>
      </c>
      <c r="B106" s="429">
        <v>1993</v>
      </c>
      <c r="C106" s="1572"/>
      <c r="D106" s="1597"/>
      <c r="E106" s="1573"/>
      <c r="F106" s="1573"/>
      <c r="G106" s="1573"/>
      <c r="H106" s="1573"/>
      <c r="I106" s="1616"/>
      <c r="J106" s="1573"/>
      <c r="K106" s="1573"/>
    </row>
    <row r="107" spans="1:12" ht="12.75" customHeight="1" x14ac:dyDescent="0.2">
      <c r="A107" s="427" t="s">
        <v>78</v>
      </c>
      <c r="B107" s="429">
        <v>1999</v>
      </c>
      <c r="C107" s="1631">
        <f>45324+3801</f>
        <v>49125</v>
      </c>
      <c r="D107" s="1572">
        <f>215796+50140</f>
        <v>265936</v>
      </c>
      <c r="E107" s="1572"/>
      <c r="F107" s="1572"/>
      <c r="G107" s="1572"/>
      <c r="H107" s="1572"/>
      <c r="I107" s="1572"/>
      <c r="J107" s="1573"/>
      <c r="K107" s="1572"/>
    </row>
    <row r="108" spans="1:12" ht="12.75" customHeight="1" thickBot="1" x14ac:dyDescent="0.25">
      <c r="A108" s="1406" t="s">
        <v>484</v>
      </c>
      <c r="B108" s="1408"/>
      <c r="C108" s="1632">
        <f>SUM(C95:C107)</f>
        <v>120127</v>
      </c>
      <c r="D108" s="1632">
        <f t="shared" ref="D108:K108" si="3">SUM(D95:D107)</f>
        <v>601225</v>
      </c>
      <c r="E108" s="1632">
        <f t="shared" si="3"/>
        <v>0</v>
      </c>
      <c r="F108" s="1632">
        <f t="shared" si="3"/>
        <v>0</v>
      </c>
      <c r="G108" s="1632">
        <f t="shared" si="3"/>
        <v>0</v>
      </c>
      <c r="H108" s="1632">
        <f t="shared" si="3"/>
        <v>381119</v>
      </c>
      <c r="I108" s="1632">
        <f t="shared" si="3"/>
        <v>0</v>
      </c>
      <c r="J108" s="1632">
        <f t="shared" si="3"/>
        <v>0</v>
      </c>
      <c r="K108" s="1593">
        <f t="shared" si="3"/>
        <v>0</v>
      </c>
    </row>
    <row r="109" spans="1:12" ht="14.25" thickTop="1" thickBot="1" x14ac:dyDescent="0.25">
      <c r="A109" s="1409" t="s">
        <v>246</v>
      </c>
      <c r="B109" s="1410" t="s">
        <v>566</v>
      </c>
      <c r="C109" s="1640">
        <f t="shared" ref="C109:K109" si="4">SUM(C12,C18,C40,C63,C67,C75,C82,C93,C108,)</f>
        <v>5197699</v>
      </c>
      <c r="D109" s="1640">
        <f t="shared" si="4"/>
        <v>1252411</v>
      </c>
      <c r="E109" s="1640">
        <f t="shared" si="4"/>
        <v>0</v>
      </c>
      <c r="F109" s="1640">
        <f t="shared" si="4"/>
        <v>620604</v>
      </c>
      <c r="G109" s="1640">
        <f t="shared" si="4"/>
        <v>290461</v>
      </c>
      <c r="H109" s="1640">
        <f t="shared" si="4"/>
        <v>381119</v>
      </c>
      <c r="I109" s="1640">
        <f t="shared" si="4"/>
        <v>0</v>
      </c>
      <c r="J109" s="1640">
        <f t="shared" si="4"/>
        <v>93335</v>
      </c>
      <c r="K109" s="1628">
        <f t="shared" si="4"/>
        <v>20029</v>
      </c>
    </row>
    <row r="110" spans="1:12" ht="30" customHeight="1" thickTop="1" x14ac:dyDescent="0.2">
      <c r="A110" s="1323" t="s">
        <v>343</v>
      </c>
      <c r="B110" s="1324"/>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1" t="s">
        <v>801</v>
      </c>
      <c r="B114" s="1412"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5" t="s">
        <v>798</v>
      </c>
      <c r="B115" s="1326"/>
      <c r="C115" s="1601"/>
      <c r="D115" s="1602"/>
      <c r="E115" s="1602"/>
      <c r="F115" s="1602"/>
      <c r="G115" s="1602"/>
      <c r="H115" s="1602"/>
      <c r="I115" s="1602"/>
      <c r="J115" s="1602"/>
      <c r="K115" s="1614"/>
    </row>
    <row r="116" spans="1:11" ht="18" customHeight="1" x14ac:dyDescent="0.2">
      <c r="A116" s="1333" t="s">
        <v>1477</v>
      </c>
      <c r="B116" s="1334"/>
      <c r="C116" s="1642"/>
      <c r="D116" s="1616"/>
      <c r="E116" s="1639"/>
      <c r="F116" s="1616"/>
      <c r="G116" s="1616"/>
      <c r="H116" s="1639"/>
      <c r="I116" s="1574"/>
      <c r="J116" s="1616"/>
      <c r="K116" s="1616"/>
    </row>
    <row r="117" spans="1:11" ht="12.75" customHeight="1" x14ac:dyDescent="0.2">
      <c r="A117" s="427" t="s">
        <v>1651</v>
      </c>
      <c r="B117" s="478">
        <v>3001</v>
      </c>
      <c r="C117" s="1612">
        <v>2347794</v>
      </c>
      <c r="D117" s="1585">
        <v>325000</v>
      </c>
      <c r="E117" s="1572"/>
      <c r="F117" s="1585"/>
      <c r="G117" s="1585"/>
      <c r="H117" s="1572"/>
      <c r="I117" s="1574"/>
      <c r="J117" s="1573"/>
      <c r="K117" s="1572"/>
    </row>
    <row r="118" spans="1:11" ht="12.75" customHeight="1" x14ac:dyDescent="0.2">
      <c r="A118" s="427" t="s">
        <v>1779</v>
      </c>
      <c r="B118" s="478">
        <v>3002</v>
      </c>
      <c r="C118" s="1631"/>
      <c r="D118" s="1572"/>
      <c r="E118" s="1572"/>
      <c r="F118" s="1572"/>
      <c r="G118" s="1572"/>
      <c r="H118" s="1572"/>
      <c r="I118" s="1574"/>
      <c r="J118" s="1573"/>
      <c r="K118" s="1572"/>
    </row>
    <row r="119" spans="1:11" ht="12.75" customHeight="1" x14ac:dyDescent="0.2">
      <c r="A119" s="427" t="s">
        <v>1780</v>
      </c>
      <c r="B119" s="478">
        <v>3005</v>
      </c>
      <c r="C119" s="1631"/>
      <c r="D119" s="1572"/>
      <c r="E119" s="1572"/>
      <c r="F119" s="1572"/>
      <c r="G119" s="1572"/>
      <c r="H119" s="1572"/>
      <c r="I119" s="1574"/>
      <c r="J119" s="1573"/>
      <c r="K119" s="1572"/>
    </row>
    <row r="120" spans="1:11" ht="12.75" customHeight="1" x14ac:dyDescent="0.2">
      <c r="A120" s="1539" t="s">
        <v>1898</v>
      </c>
      <c r="B120" s="478">
        <v>3030</v>
      </c>
      <c r="C120" s="1631"/>
      <c r="D120" s="1572"/>
      <c r="E120" s="1572"/>
      <c r="F120" s="1572"/>
      <c r="G120" s="1572"/>
      <c r="H120" s="1572"/>
      <c r="I120" s="1574"/>
      <c r="J120" s="1573"/>
      <c r="K120" s="1572"/>
    </row>
    <row r="121" spans="1:11" x14ac:dyDescent="0.2">
      <c r="A121" s="1266" t="s">
        <v>1781</v>
      </c>
      <c r="B121" s="480">
        <v>3099</v>
      </c>
      <c r="C121" s="1631"/>
      <c r="D121" s="1572"/>
      <c r="E121" s="1572"/>
      <c r="F121" s="1572"/>
      <c r="G121" s="1572"/>
      <c r="H121" s="1572"/>
      <c r="I121" s="1574"/>
      <c r="J121" s="1573"/>
      <c r="K121" s="1572"/>
    </row>
    <row r="122" spans="1:11" ht="12.6" customHeight="1" thickBot="1" x14ac:dyDescent="0.25">
      <c r="A122" s="1406" t="s">
        <v>485</v>
      </c>
      <c r="B122" s="1413"/>
      <c r="C122" s="1632">
        <f t="shared" ref="C122:H122" si="5">SUM(C117:C121)</f>
        <v>2347794</v>
      </c>
      <c r="D122" s="1632">
        <f t="shared" si="5"/>
        <v>325000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30" t="s">
        <v>1476</v>
      </c>
      <c r="B123" s="1335"/>
      <c r="C123" s="1643"/>
      <c r="D123" s="1608"/>
      <c r="E123" s="1574"/>
      <c r="F123" s="1644"/>
      <c r="G123" s="1574"/>
      <c r="H123" s="1574"/>
      <c r="I123" s="1574"/>
      <c r="J123" s="1574"/>
      <c r="K123" s="1574"/>
    </row>
    <row r="124" spans="1:11" ht="15" customHeight="1" x14ac:dyDescent="0.2">
      <c r="A124" s="1336" t="s">
        <v>662</v>
      </c>
      <c r="B124" s="1337"/>
      <c r="C124" s="1616"/>
      <c r="D124" s="1608"/>
      <c r="E124" s="1574"/>
      <c r="F124" s="1616"/>
      <c r="G124" s="1574"/>
      <c r="H124" s="1574"/>
      <c r="I124" s="1574"/>
      <c r="J124" s="1574"/>
      <c r="K124" s="1574"/>
    </row>
    <row r="125" spans="1:11" ht="12.75" customHeight="1" x14ac:dyDescent="0.2">
      <c r="A125" s="427" t="s">
        <v>861</v>
      </c>
      <c r="B125" s="481">
        <v>3100</v>
      </c>
      <c r="C125" s="1585">
        <v>64452</v>
      </c>
      <c r="D125" s="1639"/>
      <c r="E125" s="1574"/>
      <c r="F125" s="1630"/>
      <c r="G125" s="1574"/>
      <c r="H125" s="1574"/>
      <c r="I125" s="1574"/>
      <c r="J125" s="1574"/>
      <c r="K125" s="1574"/>
    </row>
    <row r="126" spans="1:11" ht="12.75" customHeight="1" x14ac:dyDescent="0.2">
      <c r="A126" s="427" t="s">
        <v>1432</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c r="D128" s="1639"/>
      <c r="E128" s="1574"/>
      <c r="F128" s="1572"/>
      <c r="G128" s="1574"/>
      <c r="H128" s="1574"/>
      <c r="I128" s="1574"/>
      <c r="J128" s="1574"/>
      <c r="K128" s="1574"/>
    </row>
    <row r="129" spans="1:11" ht="12.75" customHeight="1" x14ac:dyDescent="0.2">
      <c r="A129" s="427" t="s">
        <v>1433</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6" t="s">
        <v>1025</v>
      </c>
      <c r="B132" s="1414"/>
      <c r="C132" s="1632">
        <f>SUM(C125:C131)</f>
        <v>64452</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8" t="s">
        <v>248</v>
      </c>
      <c r="B133" s="1339"/>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v>30623</v>
      </c>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6" t="s">
        <v>599</v>
      </c>
      <c r="B141" s="1414"/>
      <c r="C141" s="1632">
        <f>SUM(C134:C140)</f>
        <v>30623</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8" t="s">
        <v>665</v>
      </c>
      <c r="B142" s="1339"/>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6" t="s">
        <v>393</v>
      </c>
      <c r="B145" s="1414"/>
      <c r="C145" s="1593">
        <f>SUM(C143:C144)</f>
        <v>0</v>
      </c>
      <c r="D145" s="1574"/>
      <c r="E145" s="1608"/>
      <c r="F145" s="1574"/>
      <c r="G145" s="1600">
        <f>SUM(G143:G144)</f>
        <v>0</v>
      </c>
      <c r="H145" s="1574"/>
      <c r="I145" s="1574"/>
      <c r="J145" s="1574"/>
      <c r="K145" s="1574"/>
    </row>
    <row r="146" spans="1:11" s="197" customFormat="1" ht="12.75" customHeight="1" thickTop="1" x14ac:dyDescent="0.2">
      <c r="A146" s="1268" t="s">
        <v>1049</v>
      </c>
      <c r="B146" s="482">
        <v>3360</v>
      </c>
      <c r="C146" s="1645">
        <v>2157</v>
      </c>
      <c r="D146" s="1646"/>
      <c r="E146" s="1608"/>
      <c r="F146" s="1574"/>
      <c r="G146" s="1647"/>
      <c r="H146" s="1574"/>
      <c r="I146" s="1574"/>
      <c r="J146" s="1574"/>
      <c r="K146" s="1574"/>
    </row>
    <row r="147" spans="1:11" ht="12.75" customHeight="1" thickBot="1" x14ac:dyDescent="0.25">
      <c r="A147" s="1269" t="s">
        <v>916</v>
      </c>
      <c r="B147" s="483">
        <v>3365</v>
      </c>
      <c r="C147" s="1648"/>
      <c r="D147" s="1627"/>
      <c r="E147" s="1639"/>
      <c r="F147" s="1574"/>
      <c r="G147" s="1627"/>
      <c r="H147" s="1574"/>
      <c r="I147" s="1574"/>
      <c r="J147" s="1574"/>
      <c r="K147" s="1574"/>
    </row>
    <row r="148" spans="1:11" ht="12.75" customHeight="1" thickTop="1" thickBot="1" x14ac:dyDescent="0.25">
      <c r="A148" s="1270" t="s">
        <v>137</v>
      </c>
      <c r="B148" s="484">
        <v>3370</v>
      </c>
      <c r="C148" s="1648">
        <v>21491</v>
      </c>
      <c r="D148" s="1648"/>
      <c r="E148" s="1608"/>
      <c r="F148" s="1574"/>
      <c r="G148" s="1574"/>
      <c r="H148" s="1574"/>
      <c r="I148" s="1574"/>
      <c r="J148" s="1574"/>
      <c r="K148" s="1574"/>
    </row>
    <row r="149" spans="1:11" ht="12.75" customHeight="1" thickTop="1" thickBot="1" x14ac:dyDescent="0.25">
      <c r="A149" s="1270" t="s">
        <v>762</v>
      </c>
      <c r="B149" s="484">
        <v>3410</v>
      </c>
      <c r="C149" s="1649"/>
      <c r="D149" s="1650"/>
      <c r="E149" s="1651"/>
      <c r="F149" s="1625"/>
      <c r="G149" s="1625"/>
      <c r="H149" s="1625"/>
      <c r="I149" s="1625"/>
      <c r="J149" s="1625"/>
      <c r="K149" s="1625"/>
    </row>
    <row r="150" spans="1:11" ht="12.75" customHeight="1" thickTop="1" thickBot="1" x14ac:dyDescent="0.25">
      <c r="A150" s="1270" t="s">
        <v>68</v>
      </c>
      <c r="B150" s="484">
        <v>3499</v>
      </c>
      <c r="C150" s="1649"/>
      <c r="D150" s="1650"/>
      <c r="E150" s="1627"/>
      <c r="F150" s="1627"/>
      <c r="G150" s="1627"/>
      <c r="H150" s="1627"/>
      <c r="I150" s="1627"/>
      <c r="J150" s="1627"/>
      <c r="K150" s="1627"/>
    </row>
    <row r="151" spans="1:11" ht="15.75" customHeight="1" thickTop="1" x14ac:dyDescent="0.2">
      <c r="A151" s="1338" t="s">
        <v>450</v>
      </c>
      <c r="B151" s="1340"/>
      <c r="C151" s="1633"/>
      <c r="D151" s="1574"/>
      <c r="E151" s="1639"/>
      <c r="F151" s="1574"/>
      <c r="G151" s="1574"/>
      <c r="H151" s="1574"/>
      <c r="I151" s="1574"/>
      <c r="J151" s="1574"/>
      <c r="K151" s="1574"/>
    </row>
    <row r="152" spans="1:11" ht="12.75" customHeight="1" x14ac:dyDescent="0.2">
      <c r="A152" s="427" t="s">
        <v>1434</v>
      </c>
      <c r="B152" s="478">
        <v>3500</v>
      </c>
      <c r="C152" s="1631"/>
      <c r="D152" s="1572"/>
      <c r="E152" s="1639"/>
      <c r="F152" s="1572">
        <v>223280</v>
      </c>
      <c r="G152" s="1573"/>
      <c r="H152" s="1574"/>
      <c r="I152" s="1574"/>
      <c r="J152" s="1574"/>
      <c r="K152" s="1574"/>
    </row>
    <row r="153" spans="1:11" ht="12.75" customHeight="1" x14ac:dyDescent="0.2">
      <c r="A153" s="427" t="s">
        <v>1050</v>
      </c>
      <c r="B153" s="478">
        <v>3510</v>
      </c>
      <c r="C153" s="1631"/>
      <c r="D153" s="1572"/>
      <c r="E153" s="1639"/>
      <c r="F153" s="1572">
        <v>67338</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6" t="s">
        <v>94</v>
      </c>
      <c r="B155" s="1414"/>
      <c r="C155" s="1632">
        <f>SUM(C152:C154)</f>
        <v>0</v>
      </c>
      <c r="D155" s="1632">
        <f>SUM(D152:D154)</f>
        <v>0</v>
      </c>
      <c r="E155" s="1639"/>
      <c r="F155" s="1632">
        <f>SUM(F152:F154)</f>
        <v>290618</v>
      </c>
      <c r="G155" s="1632">
        <f>SUM(G152:G154)</f>
        <v>0</v>
      </c>
      <c r="H155" s="1574"/>
      <c r="I155" s="1574"/>
      <c r="J155" s="1574"/>
      <c r="K155" s="1574"/>
    </row>
    <row r="156" spans="1:11" ht="12.75" customHeight="1" thickTop="1" thickBot="1" x14ac:dyDescent="0.25">
      <c r="A156" s="1270" t="s">
        <v>377</v>
      </c>
      <c r="B156" s="484">
        <v>3610</v>
      </c>
      <c r="C156" s="1650"/>
      <c r="D156" s="1574"/>
      <c r="E156" s="1608"/>
      <c r="F156" s="1574"/>
      <c r="G156" s="1574"/>
      <c r="H156" s="1574"/>
      <c r="I156" s="1574"/>
      <c r="J156" s="1574"/>
      <c r="K156" s="1574"/>
    </row>
    <row r="157" spans="1:11" ht="12.75" customHeight="1" thickTop="1" thickBot="1" x14ac:dyDescent="0.25">
      <c r="A157" s="1270" t="s">
        <v>50</v>
      </c>
      <c r="B157" s="484">
        <v>3660</v>
      </c>
      <c r="C157" s="1648"/>
      <c r="D157" s="1652"/>
      <c r="E157" s="1639"/>
      <c r="F157" s="1652"/>
      <c r="G157" s="1652"/>
      <c r="H157" s="1574"/>
      <c r="I157" s="1574"/>
      <c r="J157" s="1574"/>
      <c r="K157" s="1574"/>
    </row>
    <row r="158" spans="1:11" ht="12.75" customHeight="1" thickTop="1" thickBot="1" x14ac:dyDescent="0.25">
      <c r="A158" s="1270" t="s">
        <v>993</v>
      </c>
      <c r="B158" s="484">
        <v>3695</v>
      </c>
      <c r="C158" s="1650"/>
      <c r="D158" s="1574"/>
      <c r="E158" s="1639"/>
      <c r="F158" s="1650"/>
      <c r="G158" s="1650"/>
      <c r="H158" s="1574"/>
      <c r="I158" s="1574"/>
      <c r="J158" s="1574"/>
      <c r="K158" s="1574"/>
    </row>
    <row r="159" spans="1:11" ht="12.75" customHeight="1" thickTop="1" thickBot="1" x14ac:dyDescent="0.25">
      <c r="A159" s="1270" t="s">
        <v>1044</v>
      </c>
      <c r="B159" s="484">
        <v>3705</v>
      </c>
      <c r="C159" s="1650"/>
      <c r="D159" s="1652"/>
      <c r="E159" s="1639"/>
      <c r="F159" s="1650"/>
      <c r="G159" s="1650"/>
      <c r="H159" s="1574"/>
      <c r="I159" s="1574"/>
      <c r="J159" s="1574"/>
      <c r="K159" s="1574"/>
    </row>
    <row r="160" spans="1:11" ht="12.75" customHeight="1" thickTop="1" thickBot="1" x14ac:dyDescent="0.25">
      <c r="A160" s="1270" t="s">
        <v>39</v>
      </c>
      <c r="B160" s="484">
        <v>3766</v>
      </c>
      <c r="C160" s="1650"/>
      <c r="D160" s="1652"/>
      <c r="E160" s="1639"/>
      <c r="F160" s="1650"/>
      <c r="G160" s="1626"/>
      <c r="H160" s="1574"/>
      <c r="I160" s="1574"/>
      <c r="J160" s="1574"/>
      <c r="K160" s="1574"/>
    </row>
    <row r="161" spans="1:11" ht="12.75" customHeight="1" thickTop="1" thickBot="1" x14ac:dyDescent="0.25">
      <c r="A161" s="1270" t="s">
        <v>978</v>
      </c>
      <c r="B161" s="484">
        <v>3767</v>
      </c>
      <c r="C161" s="1650"/>
      <c r="D161" s="1626"/>
      <c r="E161" s="1639"/>
      <c r="F161" s="1626"/>
      <c r="G161" s="1626"/>
      <c r="H161" s="1574"/>
      <c r="I161" s="1574"/>
      <c r="J161" s="1574"/>
      <c r="K161" s="1574"/>
    </row>
    <row r="162" spans="1:11" ht="12.75" customHeight="1" thickTop="1" thickBot="1" x14ac:dyDescent="0.25">
      <c r="A162" s="1270" t="s">
        <v>979</v>
      </c>
      <c r="B162" s="484">
        <v>3775</v>
      </c>
      <c r="C162" s="1650"/>
      <c r="D162" s="1648">
        <v>54114</v>
      </c>
      <c r="E162" s="1625"/>
      <c r="F162" s="1648"/>
      <c r="G162" s="1627"/>
      <c r="H162" s="1625"/>
      <c r="I162" s="1574"/>
      <c r="J162" s="1574"/>
      <c r="K162" s="1625"/>
    </row>
    <row r="163" spans="1:11" ht="12.75" customHeight="1" thickTop="1" thickBot="1" x14ac:dyDescent="0.25">
      <c r="A163" s="1270" t="s">
        <v>1435</v>
      </c>
      <c r="B163" s="484">
        <v>3780</v>
      </c>
      <c r="C163" s="1626"/>
      <c r="D163" s="1625"/>
      <c r="E163" s="1626"/>
      <c r="F163" s="1626"/>
      <c r="G163" s="1626"/>
      <c r="H163" s="1626"/>
      <c r="I163" s="1574"/>
      <c r="J163" s="1574"/>
      <c r="K163" s="1626"/>
    </row>
    <row r="164" spans="1:11" ht="12.75" customHeight="1" thickTop="1" thickBot="1" x14ac:dyDescent="0.25">
      <c r="A164" s="1270" t="s">
        <v>853</v>
      </c>
      <c r="B164" s="484">
        <v>3815</v>
      </c>
      <c r="C164" s="1650"/>
      <c r="D164" s="1574"/>
      <c r="E164" s="1639"/>
      <c r="F164" s="1650"/>
      <c r="G164" s="1574"/>
      <c r="H164" s="1574"/>
      <c r="I164" s="1574"/>
      <c r="J164" s="1574"/>
      <c r="K164" s="1574"/>
    </row>
    <row r="165" spans="1:11" ht="12.75" customHeight="1" thickTop="1" thickBot="1" x14ac:dyDescent="0.25">
      <c r="A165" s="1270" t="s">
        <v>394</v>
      </c>
      <c r="B165" s="484">
        <v>3825</v>
      </c>
      <c r="C165" s="1650"/>
      <c r="D165" s="1574"/>
      <c r="E165" s="1639"/>
      <c r="F165" s="1650"/>
      <c r="G165" s="1574"/>
      <c r="H165" s="1574"/>
      <c r="I165" s="1574"/>
      <c r="J165" s="1574"/>
      <c r="K165" s="1574"/>
    </row>
    <row r="166" spans="1:11" ht="12.75" customHeight="1" thickTop="1" thickBot="1" x14ac:dyDescent="0.25">
      <c r="A166" s="1270" t="s">
        <v>345</v>
      </c>
      <c r="B166" s="484">
        <v>3920</v>
      </c>
      <c r="C166" s="1644"/>
      <c r="D166" s="1652"/>
      <c r="E166" s="1574"/>
      <c r="F166" s="1644"/>
      <c r="G166" s="1574"/>
      <c r="H166" s="1625"/>
      <c r="I166" s="1574"/>
      <c r="J166" s="1574"/>
      <c r="K166" s="1574"/>
    </row>
    <row r="167" spans="1:11" ht="12.75" customHeight="1" thickTop="1" thickBot="1" x14ac:dyDescent="0.25">
      <c r="A167" s="1270" t="s">
        <v>346</v>
      </c>
      <c r="B167" s="484">
        <v>3925</v>
      </c>
      <c r="C167" s="1616"/>
      <c r="D167" s="1650"/>
      <c r="E167" s="1616"/>
      <c r="F167" s="1616"/>
      <c r="G167" s="1574"/>
      <c r="H167" s="1626"/>
      <c r="I167" s="1574"/>
      <c r="J167" s="1574"/>
      <c r="K167" s="1625"/>
    </row>
    <row r="168" spans="1:11" ht="14.25" thickTop="1" thickBot="1" x14ac:dyDescent="0.25">
      <c r="A168" s="1270" t="s">
        <v>70</v>
      </c>
      <c r="B168" s="484">
        <v>3999</v>
      </c>
      <c r="C168" s="1653">
        <v>1500</v>
      </c>
      <c r="D168" s="1654"/>
      <c r="E168" s="1654"/>
      <c r="F168" s="1654"/>
      <c r="G168" s="1655"/>
      <c r="H168" s="1656"/>
      <c r="I168" s="1655"/>
      <c r="J168" s="1655"/>
      <c r="K168" s="1656"/>
    </row>
    <row r="169" spans="1:11" ht="12.75" customHeight="1" thickTop="1" thickBot="1" x14ac:dyDescent="0.25">
      <c r="A169" s="2245" t="s">
        <v>395</v>
      </c>
      <c r="B169" s="2246"/>
      <c r="C169" s="1657">
        <f t="shared" ref="C169:K169" si="6">SUM(C132,C141,C145,C146:C150,C155,C156:C167,C168)</f>
        <v>120223</v>
      </c>
      <c r="D169" s="1657">
        <f t="shared" si="6"/>
        <v>54114</v>
      </c>
      <c r="E169" s="1657">
        <f t="shared" si="6"/>
        <v>0</v>
      </c>
      <c r="F169" s="1657">
        <f t="shared" si="6"/>
        <v>290618</v>
      </c>
      <c r="G169" s="1657">
        <f t="shared" si="6"/>
        <v>0</v>
      </c>
      <c r="H169" s="1657">
        <f t="shared" si="6"/>
        <v>0</v>
      </c>
      <c r="I169" s="1657">
        <f t="shared" si="6"/>
        <v>0</v>
      </c>
      <c r="J169" s="1657">
        <f t="shared" si="6"/>
        <v>0</v>
      </c>
      <c r="K169" s="1623">
        <f t="shared" si="6"/>
        <v>0</v>
      </c>
    </row>
    <row r="170" spans="1:11" ht="12.75" customHeight="1" thickTop="1" thickBot="1" x14ac:dyDescent="0.25">
      <c r="A170" s="1406" t="s">
        <v>396</v>
      </c>
      <c r="B170" s="1410" t="s">
        <v>571</v>
      </c>
      <c r="C170" s="1640">
        <f t="shared" ref="C170:K170" si="7">SUM(C122,C169)</f>
        <v>2468017</v>
      </c>
      <c r="D170" s="1640">
        <f t="shared" si="7"/>
        <v>379114</v>
      </c>
      <c r="E170" s="1640">
        <f t="shared" si="7"/>
        <v>0</v>
      </c>
      <c r="F170" s="1640">
        <f t="shared" si="7"/>
        <v>290618</v>
      </c>
      <c r="G170" s="1640">
        <f t="shared" si="7"/>
        <v>0</v>
      </c>
      <c r="H170" s="1640">
        <f t="shared" si="7"/>
        <v>0</v>
      </c>
      <c r="I170" s="1640">
        <f t="shared" si="7"/>
        <v>0</v>
      </c>
      <c r="J170" s="1640">
        <f t="shared" si="7"/>
        <v>0</v>
      </c>
      <c r="K170" s="1628">
        <f t="shared" si="7"/>
        <v>0</v>
      </c>
    </row>
    <row r="171" spans="1:11" ht="16.7" customHeight="1" thickTop="1" x14ac:dyDescent="0.2">
      <c r="A171" s="1327" t="s">
        <v>799</v>
      </c>
      <c r="B171" s="1310"/>
      <c r="C171" s="1601"/>
      <c r="D171" s="1602"/>
      <c r="E171" s="1602"/>
      <c r="F171" s="1602"/>
      <c r="G171" s="1602"/>
      <c r="H171" s="1602"/>
      <c r="I171" s="1602"/>
      <c r="J171" s="1602"/>
      <c r="K171" s="1614"/>
    </row>
    <row r="172" spans="1:11" ht="15.75" customHeight="1" x14ac:dyDescent="0.2">
      <c r="A172" s="2247" t="s">
        <v>1478</v>
      </c>
      <c r="B172" s="2248"/>
      <c r="C172" s="1615"/>
      <c r="D172" s="1615"/>
      <c r="E172" s="1608"/>
      <c r="F172" s="1574"/>
      <c r="G172" s="1574"/>
      <c r="H172" s="1574"/>
      <c r="I172" s="1574"/>
      <c r="J172" s="1574"/>
      <c r="K172" s="1574"/>
    </row>
    <row r="173" spans="1:11" ht="12.6" customHeight="1" x14ac:dyDescent="0.2">
      <c r="A173" s="436" t="s">
        <v>1037</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1" t="s">
        <v>1649</v>
      </c>
      <c r="B175" s="2252"/>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5" t="s">
        <v>1648</v>
      </c>
      <c r="B176" s="2256"/>
      <c r="C176" s="1658"/>
      <c r="D176" s="1659"/>
      <c r="E176" s="1660"/>
      <c r="F176" s="1661"/>
      <c r="G176" s="1661"/>
      <c r="H176" s="1661"/>
      <c r="I176" s="1661"/>
      <c r="J176" s="1661"/>
      <c r="K176" s="1661"/>
    </row>
    <row r="177" spans="1:11" ht="12.75" customHeight="1" x14ac:dyDescent="0.2">
      <c r="A177" s="427" t="s">
        <v>1038</v>
      </c>
      <c r="B177" s="429">
        <v>4045</v>
      </c>
      <c r="C177" s="1631"/>
      <c r="D177" s="1574"/>
      <c r="E177" s="1639"/>
      <c r="F177" s="1574"/>
      <c r="G177" s="1574"/>
      <c r="H177" s="1574"/>
      <c r="I177" s="1574"/>
      <c r="J177" s="1574"/>
      <c r="K177" s="1574"/>
    </row>
    <row r="178" spans="1:11" ht="12.75" customHeight="1" x14ac:dyDescent="0.2">
      <c r="A178" s="427" t="s">
        <v>1039</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53" t="s">
        <v>780</v>
      </c>
      <c r="B181" s="2254"/>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49" t="s">
        <v>1783</v>
      </c>
      <c r="B182" s="2250"/>
      <c r="C182" s="1662"/>
      <c r="D182" s="1644"/>
      <c r="E182" s="1608"/>
      <c r="F182" s="1644"/>
      <c r="G182" s="1644"/>
      <c r="H182" s="1574"/>
      <c r="I182" s="1574"/>
      <c r="J182" s="1574"/>
      <c r="K182" s="1574"/>
    </row>
    <row r="183" spans="1:11" ht="15.75" customHeight="1" x14ac:dyDescent="0.2">
      <c r="A183" s="1341" t="s">
        <v>1588</v>
      </c>
      <c r="B183" s="1342"/>
      <c r="C183" s="1642"/>
      <c r="D183" s="1616"/>
      <c r="E183" s="1608"/>
      <c r="F183" s="1616"/>
      <c r="G183" s="1616"/>
      <c r="H183" s="1574"/>
      <c r="I183" s="1574"/>
      <c r="J183" s="1574"/>
      <c r="K183" s="1574"/>
    </row>
    <row r="184" spans="1:11" ht="12.75" customHeight="1" x14ac:dyDescent="0.2">
      <c r="A184" s="427" t="s">
        <v>1589</v>
      </c>
      <c r="B184" s="429">
        <v>4100</v>
      </c>
      <c r="C184" s="1612"/>
      <c r="D184" s="1585"/>
      <c r="E184" s="1639"/>
      <c r="F184" s="1585"/>
      <c r="G184" s="1585"/>
      <c r="H184" s="1574"/>
      <c r="I184" s="1574"/>
      <c r="J184" s="1574"/>
      <c r="K184" s="1574"/>
    </row>
    <row r="185" spans="1:11" ht="12.75" customHeight="1" x14ac:dyDescent="0.2">
      <c r="A185" s="427" t="s">
        <v>1590</v>
      </c>
      <c r="B185" s="429">
        <v>4105</v>
      </c>
      <c r="C185" s="1631"/>
      <c r="D185" s="1572"/>
      <c r="E185" s="1639"/>
      <c r="F185" s="1572"/>
      <c r="G185" s="1572"/>
      <c r="H185" s="1574"/>
      <c r="I185" s="1574"/>
      <c r="J185" s="1574"/>
      <c r="K185" s="1574"/>
    </row>
    <row r="186" spans="1:11" ht="12.75" customHeight="1" x14ac:dyDescent="0.2">
      <c r="A186" s="427" t="s">
        <v>1592</v>
      </c>
      <c r="B186" s="429">
        <v>4107</v>
      </c>
      <c r="C186" s="1631"/>
      <c r="D186" s="1572"/>
      <c r="E186" s="1639"/>
      <c r="F186" s="1572"/>
      <c r="G186" s="1572"/>
      <c r="H186" s="1574"/>
      <c r="I186" s="1574"/>
      <c r="J186" s="1574"/>
      <c r="K186" s="1574"/>
    </row>
    <row r="187" spans="1:11" ht="12.75" customHeight="1" x14ac:dyDescent="0.2">
      <c r="A187" s="427" t="s">
        <v>1591</v>
      </c>
      <c r="B187" s="429">
        <v>4199</v>
      </c>
      <c r="C187" s="1631"/>
      <c r="D187" s="1572"/>
      <c r="E187" s="1639"/>
      <c r="F187" s="1572"/>
      <c r="G187" s="1572"/>
      <c r="H187" s="1574"/>
      <c r="I187" s="1574"/>
      <c r="J187" s="1574"/>
      <c r="K187" s="1574"/>
    </row>
    <row r="188" spans="1:11" ht="12.75" customHeight="1" thickBot="1" x14ac:dyDescent="0.25">
      <c r="A188" s="1406" t="s">
        <v>1593</v>
      </c>
      <c r="B188" s="1407"/>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8" t="s">
        <v>452</v>
      </c>
      <c r="B189" s="1343"/>
      <c r="C189" s="1633"/>
      <c r="D189" s="1644"/>
      <c r="E189" s="1639"/>
      <c r="F189" s="1633"/>
      <c r="G189" s="1633"/>
      <c r="H189" s="1574"/>
      <c r="I189" s="1574"/>
      <c r="J189" s="1574"/>
      <c r="K189" s="1574"/>
    </row>
    <row r="190" spans="1:11" x14ac:dyDescent="0.2">
      <c r="A190" s="427" t="s">
        <v>1436</v>
      </c>
      <c r="B190" s="429">
        <v>4200</v>
      </c>
      <c r="C190" s="1573"/>
      <c r="D190" s="1574"/>
      <c r="E190" s="1639"/>
      <c r="F190" s="1633"/>
      <c r="G190" s="1663"/>
      <c r="H190" s="1574"/>
      <c r="I190" s="1574"/>
      <c r="J190" s="1574"/>
      <c r="K190" s="1574"/>
    </row>
    <row r="191" spans="1:11" ht="12.75" customHeight="1" x14ac:dyDescent="0.2">
      <c r="A191" s="427" t="s">
        <v>1051</v>
      </c>
      <c r="B191" s="429">
        <v>4210</v>
      </c>
      <c r="C191" s="1572">
        <v>65961</v>
      </c>
      <c r="D191" s="1574"/>
      <c r="E191" s="1639"/>
      <c r="F191" s="1574"/>
      <c r="G191" s="1663"/>
      <c r="H191" s="1574"/>
      <c r="I191" s="1574"/>
      <c r="J191" s="1574"/>
      <c r="K191" s="1574"/>
    </row>
    <row r="192" spans="1:11" ht="12.75" customHeight="1" x14ac:dyDescent="0.2">
      <c r="A192" s="427" t="s">
        <v>1040</v>
      </c>
      <c r="B192" s="429">
        <v>4215</v>
      </c>
      <c r="C192" s="1631"/>
      <c r="D192" s="1574"/>
      <c r="E192" s="1639"/>
      <c r="F192" s="1574"/>
      <c r="G192" s="1663"/>
      <c r="H192" s="1574"/>
      <c r="I192" s="1574"/>
      <c r="J192" s="1574"/>
      <c r="K192" s="1574"/>
    </row>
    <row r="193" spans="1:11" ht="12.75" customHeight="1" x14ac:dyDescent="0.2">
      <c r="A193" s="427" t="s">
        <v>1052</v>
      </c>
      <c r="B193" s="429">
        <v>4220</v>
      </c>
      <c r="C193" s="1631">
        <v>10641</v>
      </c>
      <c r="D193" s="1574"/>
      <c r="E193" s="1639"/>
      <c r="F193" s="1574"/>
      <c r="G193" s="1663"/>
      <c r="H193" s="1574"/>
      <c r="I193" s="1574"/>
      <c r="J193" s="1574"/>
      <c r="K193" s="1574"/>
    </row>
    <row r="194" spans="1:11" ht="12.75" customHeight="1" x14ac:dyDescent="0.2">
      <c r="A194" s="427" t="s">
        <v>1437</v>
      </c>
      <c r="B194" s="429">
        <v>4225</v>
      </c>
      <c r="C194" s="1631">
        <v>46634</v>
      </c>
      <c r="D194" s="1574"/>
      <c r="E194" s="1639"/>
      <c r="F194" s="1574"/>
      <c r="G194" s="1663"/>
      <c r="H194" s="1574"/>
      <c r="I194" s="1574"/>
      <c r="J194" s="1574"/>
      <c r="K194" s="1574"/>
    </row>
    <row r="195" spans="1:11" ht="12.75" customHeight="1" x14ac:dyDescent="0.2">
      <c r="A195" s="427" t="s">
        <v>1438</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6" t="s">
        <v>544</v>
      </c>
      <c r="B198" s="1407"/>
      <c r="C198" s="1593">
        <f>SUM(C190:C197)</f>
        <v>123236</v>
      </c>
      <c r="D198" s="1574"/>
      <c r="E198" s="1574"/>
      <c r="F198" s="1574"/>
      <c r="G198" s="1593">
        <f>SUM(G190:G197)</f>
        <v>0</v>
      </c>
      <c r="H198" s="1574"/>
      <c r="I198" s="1574"/>
      <c r="J198" s="1574"/>
      <c r="K198" s="1574"/>
    </row>
    <row r="199" spans="1:11" ht="15.75" customHeight="1" thickTop="1" x14ac:dyDescent="0.2">
      <c r="A199" s="1338" t="s">
        <v>1130</v>
      </c>
      <c r="B199" s="1343"/>
      <c r="C199" s="1633"/>
      <c r="D199" s="1574"/>
      <c r="E199" s="1574"/>
      <c r="F199" s="1574"/>
      <c r="G199" s="1574"/>
      <c r="H199" s="1574"/>
      <c r="I199" s="1574"/>
      <c r="J199" s="1574"/>
      <c r="K199" s="1574"/>
    </row>
    <row r="200" spans="1:11" ht="12.75" customHeight="1" x14ac:dyDescent="0.2">
      <c r="A200" s="427" t="s">
        <v>912</v>
      </c>
      <c r="B200" s="429">
        <v>4300</v>
      </c>
      <c r="C200" s="1572">
        <v>154765</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6" t="s">
        <v>397</v>
      </c>
      <c r="B204" s="1407"/>
      <c r="C204" s="1632">
        <f>SUM(C200:C203)</f>
        <v>154765</v>
      </c>
      <c r="D204" s="1632">
        <f>SUM(D200:D203)</f>
        <v>0</v>
      </c>
      <c r="E204" s="1574"/>
      <c r="F204" s="1632">
        <f>SUM(F200:F203)</f>
        <v>0</v>
      </c>
      <c r="G204" s="1632">
        <f>SUM(G200:G203)</f>
        <v>0</v>
      </c>
      <c r="H204" s="1574"/>
      <c r="I204" s="1574"/>
      <c r="J204" s="1574"/>
      <c r="K204" s="1574"/>
    </row>
    <row r="205" spans="1:11" ht="15.75" customHeight="1" thickTop="1" x14ac:dyDescent="0.2">
      <c r="A205" s="1338" t="s">
        <v>1131</v>
      </c>
      <c r="B205" s="1343"/>
      <c r="C205" s="1633"/>
      <c r="D205" s="1633"/>
      <c r="E205" s="1574"/>
      <c r="F205" s="1633"/>
      <c r="G205" s="1633"/>
      <c r="H205" s="1574"/>
      <c r="I205" s="1574"/>
      <c r="J205" s="1574"/>
      <c r="K205" s="1574"/>
    </row>
    <row r="206" spans="1:11" ht="12.75" customHeight="1" x14ac:dyDescent="0.2">
      <c r="A206" s="427" t="s">
        <v>754</v>
      </c>
      <c r="B206" s="429">
        <v>4400</v>
      </c>
      <c r="C206" s="1631">
        <v>31774</v>
      </c>
      <c r="D206" s="1572"/>
      <c r="E206" s="1574"/>
      <c r="F206" s="1572"/>
      <c r="G206" s="1572"/>
      <c r="H206" s="1574"/>
      <c r="I206" s="1574"/>
      <c r="J206" s="1574"/>
      <c r="K206" s="1574"/>
    </row>
    <row r="207" spans="1:11" ht="12.75" customHeight="1" x14ac:dyDescent="0.2">
      <c r="A207" s="427" t="s">
        <v>1439</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6" t="s">
        <v>883</v>
      </c>
      <c r="B209" s="1407"/>
      <c r="C209" s="1632">
        <f>SUM(C206:C208)</f>
        <v>31774</v>
      </c>
      <c r="D209" s="1632">
        <f>SUM(D206:D208)</f>
        <v>0</v>
      </c>
      <c r="E209" s="1574" t="s">
        <v>1161</v>
      </c>
      <c r="F209" s="1632">
        <f>SUM(F206:F208)</f>
        <v>0</v>
      </c>
      <c r="G209" s="1632">
        <f>SUM(G206:G208)</f>
        <v>0</v>
      </c>
      <c r="H209" s="1574"/>
      <c r="I209" s="1574"/>
      <c r="J209" s="1574"/>
      <c r="K209" s="1574"/>
    </row>
    <row r="210" spans="1:11" ht="15.75" customHeight="1" thickTop="1" x14ac:dyDescent="0.2">
      <c r="A210" s="1338" t="s">
        <v>1085</v>
      </c>
      <c r="B210" s="1343"/>
      <c r="C210" s="1633"/>
      <c r="D210" s="1633"/>
      <c r="E210" s="1574"/>
      <c r="F210" s="1633"/>
      <c r="G210" s="1633"/>
      <c r="H210" s="1574"/>
      <c r="I210" s="1574"/>
      <c r="J210" s="1574"/>
      <c r="K210" s="1574"/>
    </row>
    <row r="211" spans="1:11" ht="12.75" customHeight="1" x14ac:dyDescent="0.2">
      <c r="A211" s="427" t="s">
        <v>1045</v>
      </c>
      <c r="B211" s="429">
        <v>4600</v>
      </c>
      <c r="C211" s="1631"/>
      <c r="D211" s="1572"/>
      <c r="E211" s="1574"/>
      <c r="F211" s="1572"/>
      <c r="G211" s="1572"/>
      <c r="H211" s="1574"/>
      <c r="I211" s="1574"/>
      <c r="J211" s="1574"/>
      <c r="K211" s="1574"/>
    </row>
    <row r="212" spans="1:11" ht="12.75" customHeight="1" x14ac:dyDescent="0.2">
      <c r="A212" s="427" t="s">
        <v>1046</v>
      </c>
      <c r="B212" s="429">
        <v>4605</v>
      </c>
      <c r="C212" s="1631"/>
      <c r="D212" s="1572"/>
      <c r="E212" s="1574"/>
      <c r="F212" s="1572"/>
      <c r="G212" s="1572"/>
      <c r="H212" s="1574"/>
      <c r="I212" s="1574"/>
      <c r="J212" s="1574"/>
      <c r="K212" s="1574"/>
    </row>
    <row r="213" spans="1:11" ht="12.75" customHeight="1" x14ac:dyDescent="0.2">
      <c r="A213" s="427" t="s">
        <v>1440</v>
      </c>
      <c r="B213" s="475">
        <v>4620</v>
      </c>
      <c r="C213" s="1631"/>
      <c r="D213" s="1572"/>
      <c r="E213" s="1574"/>
      <c r="F213" s="1572"/>
      <c r="G213" s="1572"/>
      <c r="H213" s="1574"/>
      <c r="I213" s="1574"/>
      <c r="J213" s="1574"/>
      <c r="K213" s="1574"/>
    </row>
    <row r="214" spans="1:11" ht="12.75" customHeight="1" x14ac:dyDescent="0.2">
      <c r="A214" s="427" t="s">
        <v>1047</v>
      </c>
      <c r="B214" s="429">
        <v>4625</v>
      </c>
      <c r="C214" s="1631"/>
      <c r="D214" s="1572"/>
      <c r="E214" s="1574"/>
      <c r="F214" s="1572"/>
      <c r="G214" s="1572"/>
      <c r="H214" s="1574"/>
      <c r="I214" s="1574"/>
      <c r="J214" s="1574"/>
      <c r="K214" s="1574"/>
    </row>
    <row r="215" spans="1:11" ht="12.75" customHeight="1" x14ac:dyDescent="0.2">
      <c r="A215" s="427" t="s">
        <v>1048</v>
      </c>
      <c r="B215" s="429">
        <v>4630</v>
      </c>
      <c r="C215" s="1631"/>
      <c r="D215" s="1572"/>
      <c r="E215" s="1574"/>
      <c r="F215" s="1572"/>
      <c r="G215" s="1572"/>
      <c r="H215" s="1574"/>
      <c r="I215" s="1574"/>
      <c r="J215" s="1574"/>
      <c r="K215" s="1574"/>
    </row>
    <row r="216" spans="1:11" ht="12.75" customHeight="1" x14ac:dyDescent="0.2">
      <c r="A216" s="1271" t="s">
        <v>74</v>
      </c>
      <c r="B216" s="475">
        <v>4699</v>
      </c>
      <c r="C216" s="1631"/>
      <c r="D216" s="1572"/>
      <c r="E216" s="1574"/>
      <c r="F216" s="1572"/>
      <c r="G216" s="1572"/>
      <c r="H216" s="1574"/>
      <c r="I216" s="1574"/>
      <c r="J216" s="1574"/>
      <c r="K216" s="1574"/>
    </row>
    <row r="217" spans="1:11" ht="12.75" customHeight="1" thickBot="1" x14ac:dyDescent="0.25">
      <c r="A217" s="1406" t="s">
        <v>444</v>
      </c>
      <c r="B217" s="1407"/>
      <c r="C217" s="1632">
        <f>SUM(C211:C216)</f>
        <v>0</v>
      </c>
      <c r="D217" s="1632">
        <f>SUM(D211:D216)</f>
        <v>0</v>
      </c>
      <c r="E217" s="1574"/>
      <c r="F217" s="1632">
        <f>SUM(F211:F216)</f>
        <v>0</v>
      </c>
      <c r="G217" s="1632">
        <f>SUM(G211:G216)</f>
        <v>0</v>
      </c>
      <c r="H217" s="1574"/>
      <c r="I217" s="1574"/>
      <c r="J217" s="1574"/>
      <c r="K217" s="1574"/>
    </row>
    <row r="218" spans="1:11" ht="15.75" customHeight="1" thickTop="1" x14ac:dyDescent="0.2">
      <c r="A218" s="1338" t="s">
        <v>1086</v>
      </c>
      <c r="B218" s="1343"/>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5" t="s">
        <v>1078</v>
      </c>
      <c r="B221" s="1416"/>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1120</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1441</v>
      </c>
      <c r="B251" s="486">
        <v>4880</v>
      </c>
      <c r="C251" s="1597"/>
      <c r="D251" s="1573"/>
      <c r="E251" s="1573"/>
      <c r="F251" s="1573"/>
      <c r="G251" s="1573"/>
      <c r="H251" s="1573"/>
      <c r="I251" s="1574"/>
      <c r="J251" s="1573"/>
      <c r="K251" s="1573"/>
    </row>
    <row r="252" spans="1:11" ht="12.75" customHeight="1" thickBot="1" x14ac:dyDescent="0.25">
      <c r="A252" s="1417" t="s">
        <v>769</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2" t="s">
        <v>1407</v>
      </c>
      <c r="B253" s="487">
        <v>4901</v>
      </c>
      <c r="C253" s="1665"/>
      <c r="D253" s="1575"/>
      <c r="E253" s="1574"/>
      <c r="F253" s="1574"/>
      <c r="G253" s="1574"/>
      <c r="H253" s="1574"/>
      <c r="I253" s="1574"/>
      <c r="J253" s="1574"/>
      <c r="K253" s="1574"/>
    </row>
    <row r="254" spans="1:11" ht="12.75" customHeight="1" thickTop="1" thickBot="1" x14ac:dyDescent="0.25">
      <c r="A254" s="1273" t="s">
        <v>1449</v>
      </c>
      <c r="B254" s="488">
        <v>4902</v>
      </c>
      <c r="C254" s="1666"/>
      <c r="D254" s="1667"/>
      <c r="E254" s="1575"/>
      <c r="F254" s="1667"/>
      <c r="G254" s="1667"/>
      <c r="H254" s="1575"/>
      <c r="I254" s="1574"/>
      <c r="J254" s="1575"/>
      <c r="K254" s="1575"/>
    </row>
    <row r="255" spans="1:11" ht="12.75" customHeight="1" thickTop="1" thickBot="1" x14ac:dyDescent="0.25">
      <c r="A255" s="427" t="s">
        <v>1442</v>
      </c>
      <c r="B255" s="429">
        <v>4905</v>
      </c>
      <c r="C255" s="1648"/>
      <c r="D255" s="1574"/>
      <c r="E255" s="1574"/>
      <c r="F255" s="1652"/>
      <c r="G255" s="1648"/>
      <c r="H255" s="1574"/>
      <c r="I255" s="1574"/>
      <c r="J255" s="1574"/>
      <c r="K255" s="1574"/>
    </row>
    <row r="256" spans="1:11" ht="12.75" customHeight="1" thickTop="1" thickBot="1" x14ac:dyDescent="0.25">
      <c r="A256" s="427" t="s">
        <v>1443</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27429</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9" t="s">
        <v>1899</v>
      </c>
      <c r="B261" s="429">
        <v>4981</v>
      </c>
      <c r="C261" s="1649"/>
      <c r="D261" s="1650"/>
      <c r="E261" s="1574"/>
      <c r="F261" s="1650"/>
      <c r="G261" s="1650"/>
      <c r="H261" s="1574"/>
      <c r="I261" s="1574"/>
      <c r="J261" s="1574"/>
      <c r="K261" s="1574"/>
    </row>
    <row r="262" spans="1:11" ht="12.75" customHeight="1" thickTop="1" thickBot="1" x14ac:dyDescent="0.25">
      <c r="A262" s="1540" t="s">
        <v>1900</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1824</v>
      </c>
      <c r="D263" s="1650"/>
      <c r="E263" s="1574"/>
      <c r="F263" s="1650"/>
      <c r="G263" s="1650"/>
      <c r="H263" s="1574"/>
      <c r="I263" s="1574"/>
      <c r="J263" s="1574"/>
      <c r="K263" s="1574"/>
    </row>
    <row r="264" spans="1:11" ht="12.75" customHeight="1" thickTop="1" thickBot="1" x14ac:dyDescent="0.25">
      <c r="A264" s="427" t="s">
        <v>374</v>
      </c>
      <c r="B264" s="429">
        <v>4992</v>
      </c>
      <c r="C264" s="1649"/>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6" t="s">
        <v>1650</v>
      </c>
      <c r="B266" s="1419"/>
      <c r="C266" s="1640">
        <f t="shared" ref="C266:H266" si="10">SUM(C188,C198,C204,C209,C217,C221,C222,C252:C265)</f>
        <v>339028</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20" t="s">
        <v>1079</v>
      </c>
      <c r="B267" s="1421" t="s">
        <v>855</v>
      </c>
      <c r="C267" s="1640">
        <f>SUM(C175,C181,C266)</f>
        <v>339028</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8004744</v>
      </c>
      <c r="D268" s="1640">
        <f t="shared" si="12"/>
        <v>1631525</v>
      </c>
      <c r="E268" s="1640">
        <f t="shared" si="12"/>
        <v>0</v>
      </c>
      <c r="F268" s="1640">
        <f t="shared" si="12"/>
        <v>911222</v>
      </c>
      <c r="G268" s="1640">
        <f t="shared" si="12"/>
        <v>290461</v>
      </c>
      <c r="H268" s="1640">
        <f t="shared" si="12"/>
        <v>381119</v>
      </c>
      <c r="I268" s="1640">
        <f t="shared" si="12"/>
        <v>0</v>
      </c>
      <c r="J268" s="1640">
        <f t="shared" si="12"/>
        <v>93335</v>
      </c>
      <c r="K268" s="1628">
        <f t="shared" si="12"/>
        <v>20029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sheet="1" objects="1" scenarios="1"/>
  <mergeCells count="7">
    <mergeCell ref="A1:A2"/>
    <mergeCell ref="A169:B169"/>
    <mergeCell ref="A172:B172"/>
    <mergeCell ref="A182:B182"/>
    <mergeCell ref="A175:B175"/>
    <mergeCell ref="A181:B181"/>
    <mergeCell ref="A176:B176"/>
  </mergeCells>
  <phoneticPr fontId="7" type="noConversion"/>
  <printOptions headings="1" gridLines="1"/>
  <pageMargins left="0.25" right="0.15" top="0.66" bottom="0.46" header="0.4"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&amp;F&amp;C&amp;"Arial,Bold Italic"The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00" activePane="bottomLeft" state="frozen"/>
      <selection pane="bottomLeft" activeCell="D222" sqref="D222"/>
    </sheetView>
  </sheetViews>
  <sheetFormatPr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8"/>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4" t="s">
        <v>294</v>
      </c>
      <c r="B3" s="2275"/>
      <c r="C3" s="1301"/>
      <c r="D3" s="1301"/>
      <c r="E3" s="1301"/>
      <c r="F3" s="1301"/>
      <c r="G3" s="1301"/>
      <c r="H3" s="1301"/>
      <c r="I3" s="1301"/>
      <c r="J3" s="1301"/>
      <c r="K3" s="1302"/>
      <c r="L3" s="1303"/>
      <c r="M3" s="501"/>
      <c r="N3" s="501"/>
    </row>
    <row r="4" spans="1:14" s="254" customFormat="1" ht="15.75" customHeight="1" x14ac:dyDescent="0.2">
      <c r="A4" s="1344" t="s">
        <v>44</v>
      </c>
      <c r="B4" s="1345" t="s">
        <v>566</v>
      </c>
      <c r="C4" s="1668"/>
      <c r="D4" s="1668"/>
      <c r="E4" s="1668"/>
      <c r="F4" s="1668"/>
      <c r="G4" s="1668"/>
      <c r="H4" s="1668"/>
      <c r="I4" s="1669"/>
      <c r="J4" s="1668"/>
      <c r="K4" s="1670"/>
      <c r="L4" s="1668"/>
      <c r="M4" s="502"/>
      <c r="N4" s="502"/>
    </row>
    <row r="5" spans="1:14" x14ac:dyDescent="0.2">
      <c r="A5" s="1274" t="s">
        <v>955</v>
      </c>
      <c r="B5" s="503">
        <v>1100</v>
      </c>
      <c r="C5" s="1572">
        <f>2091924+540+6</f>
        <v>2092470</v>
      </c>
      <c r="D5" s="1572">
        <f>411095-17110-390</f>
        <v>393595</v>
      </c>
      <c r="E5" s="1572">
        <f>75719-8250</f>
        <v>67469</v>
      </c>
      <c r="F5" s="1572">
        <f>103468-6139-7456</f>
        <v>89873</v>
      </c>
      <c r="G5" s="1572">
        <f>16475+7456+6139-1166</f>
        <v>28904</v>
      </c>
      <c r="H5" s="1572"/>
      <c r="I5" s="1573">
        <v>1166</v>
      </c>
      <c r="J5" s="1573"/>
      <c r="K5" s="1671">
        <f>SUM(C5:J5)</f>
        <v>2673477</v>
      </c>
      <c r="L5" s="1572">
        <v>2725007</v>
      </c>
    </row>
    <row r="6" spans="1:14" x14ac:dyDescent="0.2">
      <c r="A6" s="1274" t="s">
        <v>1419</v>
      </c>
      <c r="B6" s="503" t="s">
        <v>1417</v>
      </c>
      <c r="C6" s="1581"/>
      <c r="D6" s="1581"/>
      <c r="E6" s="1572"/>
      <c r="F6" s="1581"/>
      <c r="G6" s="1581"/>
      <c r="H6" s="1581"/>
      <c r="I6" s="1581"/>
      <c r="J6" s="1581"/>
      <c r="K6" s="1671">
        <f>SUM(C6,E6)</f>
        <v>0</v>
      </c>
      <c r="L6" s="1572"/>
    </row>
    <row r="7" spans="1:14" x14ac:dyDescent="0.2">
      <c r="A7" s="1274" t="s">
        <v>162</v>
      </c>
      <c r="B7" s="503" t="s">
        <v>961</v>
      </c>
      <c r="C7" s="1573"/>
      <c r="D7" s="1573"/>
      <c r="E7" s="1573"/>
      <c r="F7" s="1573"/>
      <c r="G7" s="1573"/>
      <c r="H7" s="1573"/>
      <c r="I7" s="1573"/>
      <c r="J7" s="1573"/>
      <c r="K7" s="1671">
        <f t="shared" ref="K7:K32" si="0">SUM(C7:J7)</f>
        <v>0</v>
      </c>
      <c r="L7" s="1572"/>
    </row>
    <row r="8" spans="1:14" x14ac:dyDescent="0.2">
      <c r="A8" s="1274" t="s">
        <v>163</v>
      </c>
      <c r="B8" s="503">
        <v>1200</v>
      </c>
      <c r="C8" s="1572">
        <v>1043229</v>
      </c>
      <c r="D8" s="1572">
        <v>132051</v>
      </c>
      <c r="E8" s="1572">
        <v>129</v>
      </c>
      <c r="F8" s="1572">
        <v>8091</v>
      </c>
      <c r="G8" s="1572">
        <v>1258</v>
      </c>
      <c r="H8" s="1572"/>
      <c r="I8" s="1573"/>
      <c r="J8" s="1573"/>
      <c r="K8" s="1671">
        <f t="shared" si="0"/>
        <v>1184758</v>
      </c>
      <c r="L8" s="1572">
        <v>1176785</v>
      </c>
    </row>
    <row r="9" spans="1:14" x14ac:dyDescent="0.2">
      <c r="A9" s="1274" t="s">
        <v>716</v>
      </c>
      <c r="B9" s="503" t="s">
        <v>962</v>
      </c>
      <c r="C9" s="1573"/>
      <c r="D9" s="1573"/>
      <c r="E9" s="1573"/>
      <c r="F9" s="1573"/>
      <c r="G9" s="1573"/>
      <c r="H9" s="1573"/>
      <c r="I9" s="1573"/>
      <c r="J9" s="1573"/>
      <c r="K9" s="1671">
        <f t="shared" si="0"/>
        <v>0</v>
      </c>
      <c r="L9" s="1572"/>
    </row>
    <row r="10" spans="1:14" x14ac:dyDescent="0.2">
      <c r="A10" s="1274" t="s">
        <v>717</v>
      </c>
      <c r="B10" s="503">
        <v>1250</v>
      </c>
      <c r="C10" s="1572">
        <f>96493</f>
        <v>96493</v>
      </c>
      <c r="D10" s="1572">
        <v>17110</v>
      </c>
      <c r="E10" s="1572">
        <v>8250</v>
      </c>
      <c r="F10" s="1572"/>
      <c r="G10" s="1572"/>
      <c r="H10" s="1572"/>
      <c r="I10" s="1573"/>
      <c r="J10" s="1573"/>
      <c r="K10" s="1671">
        <f t="shared" si="0"/>
        <v>121853</v>
      </c>
      <c r="L10" s="1572">
        <v>61650</v>
      </c>
    </row>
    <row r="11" spans="1:14" x14ac:dyDescent="0.2">
      <c r="A11" s="1274" t="s">
        <v>1122</v>
      </c>
      <c r="B11" s="503" t="s">
        <v>160</v>
      </c>
      <c r="C11" s="1573"/>
      <c r="D11" s="1573"/>
      <c r="E11" s="1573"/>
      <c r="F11" s="1573"/>
      <c r="G11" s="1573"/>
      <c r="H11" s="1573"/>
      <c r="I11" s="1573"/>
      <c r="J11" s="1573"/>
      <c r="K11" s="1671">
        <f t="shared" si="0"/>
        <v>0</v>
      </c>
      <c r="L11" s="1572"/>
    </row>
    <row r="12" spans="1:14" x14ac:dyDescent="0.2">
      <c r="A12" s="1274" t="s">
        <v>956</v>
      </c>
      <c r="B12" s="503">
        <v>1300</v>
      </c>
      <c r="C12" s="1572"/>
      <c r="D12" s="1572"/>
      <c r="E12" s="1572"/>
      <c r="F12" s="1572"/>
      <c r="G12" s="1572"/>
      <c r="H12" s="1572"/>
      <c r="I12" s="1573"/>
      <c r="J12" s="1573"/>
      <c r="K12" s="1671">
        <f t="shared" si="0"/>
        <v>0</v>
      </c>
      <c r="L12" s="1572"/>
    </row>
    <row r="13" spans="1:14" x14ac:dyDescent="0.2">
      <c r="A13" s="1274" t="s">
        <v>718</v>
      </c>
      <c r="B13" s="503">
        <v>1400</v>
      </c>
      <c r="C13" s="1572">
        <f>969122+25988-496002-77-116127</f>
        <v>382904</v>
      </c>
      <c r="D13" s="1572">
        <f>125435+390-7301-54417-774-27527</f>
        <v>35806</v>
      </c>
      <c r="E13" s="1572">
        <v>328</v>
      </c>
      <c r="F13" s="1572">
        <v>18969</v>
      </c>
      <c r="G13" s="1572"/>
      <c r="H13" s="1572"/>
      <c r="I13" s="1573"/>
      <c r="J13" s="1573"/>
      <c r="K13" s="1671">
        <f t="shared" si="0"/>
        <v>438007</v>
      </c>
      <c r="L13" s="1572">
        <v>452010</v>
      </c>
    </row>
    <row r="14" spans="1:14" x14ac:dyDescent="0.2">
      <c r="A14" s="1274" t="s">
        <v>957</v>
      </c>
      <c r="B14" s="503">
        <v>1500</v>
      </c>
      <c r="C14" s="1572">
        <v>356324</v>
      </c>
      <c r="D14" s="1572">
        <v>10579</v>
      </c>
      <c r="E14" s="1572">
        <v>42946</v>
      </c>
      <c r="F14" s="1572">
        <v>25373</v>
      </c>
      <c r="G14" s="1572"/>
      <c r="H14" s="1572">
        <v>500</v>
      </c>
      <c r="I14" s="1573"/>
      <c r="J14" s="1573"/>
      <c r="K14" s="1671">
        <f t="shared" si="0"/>
        <v>435722</v>
      </c>
      <c r="L14" s="1572">
        <v>436080</v>
      </c>
    </row>
    <row r="15" spans="1:14" x14ac:dyDescent="0.2">
      <c r="A15" s="1274" t="s">
        <v>958</v>
      </c>
      <c r="B15" s="503">
        <v>1600</v>
      </c>
      <c r="C15" s="1572">
        <v>5605</v>
      </c>
      <c r="D15" s="1572">
        <v>51</v>
      </c>
      <c r="E15" s="1572"/>
      <c r="F15" s="1572">
        <v>400</v>
      </c>
      <c r="G15" s="1572"/>
      <c r="H15" s="1572"/>
      <c r="I15" s="1573"/>
      <c r="J15" s="1573"/>
      <c r="K15" s="1671">
        <f t="shared" si="0"/>
        <v>6056</v>
      </c>
      <c r="L15" s="1572">
        <v>6000</v>
      </c>
    </row>
    <row r="16" spans="1:14" x14ac:dyDescent="0.2">
      <c r="A16" s="1274" t="s">
        <v>980</v>
      </c>
      <c r="B16" s="503" t="s">
        <v>421</v>
      </c>
      <c r="C16" s="1572"/>
      <c r="D16" s="1572"/>
      <c r="E16" s="1572"/>
      <c r="F16" s="1572"/>
      <c r="G16" s="1572"/>
      <c r="H16" s="1572"/>
      <c r="I16" s="1573"/>
      <c r="J16" s="1573"/>
      <c r="K16" s="1671">
        <f t="shared" si="0"/>
        <v>0</v>
      </c>
      <c r="L16" s="1572"/>
    </row>
    <row r="17" spans="1:12" x14ac:dyDescent="0.2">
      <c r="A17" s="1274" t="s">
        <v>719</v>
      </c>
      <c r="B17" s="503" t="s">
        <v>161</v>
      </c>
      <c r="C17" s="1573">
        <f>122021+2400</f>
        <v>124421</v>
      </c>
      <c r="D17" s="1573">
        <f>7400+36</f>
        <v>7436</v>
      </c>
      <c r="E17" s="1573">
        <v>140</v>
      </c>
      <c r="F17" s="1573">
        <v>1620</v>
      </c>
      <c r="G17" s="1573"/>
      <c r="H17" s="1573"/>
      <c r="I17" s="1573"/>
      <c r="J17" s="1573"/>
      <c r="K17" s="1671">
        <f t="shared" si="0"/>
        <v>133617</v>
      </c>
      <c r="L17" s="1572">
        <v>137500</v>
      </c>
    </row>
    <row r="18" spans="1:12" x14ac:dyDescent="0.2">
      <c r="A18" s="1274" t="s">
        <v>1080</v>
      </c>
      <c r="B18" s="503">
        <v>1800</v>
      </c>
      <c r="C18" s="1572"/>
      <c r="D18" s="1572"/>
      <c r="E18" s="1572"/>
      <c r="F18" s="1572"/>
      <c r="G18" s="1572"/>
      <c r="H18" s="1572"/>
      <c r="I18" s="1573"/>
      <c r="J18" s="1573"/>
      <c r="K18" s="1671">
        <f t="shared" si="0"/>
        <v>0</v>
      </c>
      <c r="L18" s="1572"/>
    </row>
    <row r="19" spans="1:12" x14ac:dyDescent="0.2">
      <c r="A19" s="1274" t="s">
        <v>133</v>
      </c>
      <c r="B19" s="503">
        <v>1900</v>
      </c>
      <c r="C19" s="1572"/>
      <c r="D19" s="1572"/>
      <c r="E19" s="1572"/>
      <c r="F19" s="1572"/>
      <c r="G19" s="1572"/>
      <c r="H19" s="1572"/>
      <c r="I19" s="1573"/>
      <c r="J19" s="1573"/>
      <c r="K19" s="1671">
        <f t="shared" si="0"/>
        <v>0</v>
      </c>
      <c r="L19" s="1572">
        <v>250</v>
      </c>
    </row>
    <row r="20" spans="1:12" x14ac:dyDescent="0.2">
      <c r="A20" s="1275" t="s">
        <v>733</v>
      </c>
      <c r="B20" s="494" t="s">
        <v>720</v>
      </c>
      <c r="C20" s="1581"/>
      <c r="D20" s="1581"/>
      <c r="E20" s="1581"/>
      <c r="F20" s="1581"/>
      <c r="G20" s="1581"/>
      <c r="H20" s="1578"/>
      <c r="I20" s="1672"/>
      <c r="J20" s="1579"/>
      <c r="K20" s="1671">
        <f t="shared" si="0"/>
        <v>0</v>
      </c>
      <c r="L20" s="1576"/>
    </row>
    <row r="21" spans="1:12" x14ac:dyDescent="0.2">
      <c r="A21" s="1275" t="s">
        <v>734</v>
      </c>
      <c r="B21" s="494" t="s">
        <v>721</v>
      </c>
      <c r="C21" s="1581"/>
      <c r="D21" s="1581"/>
      <c r="E21" s="1581"/>
      <c r="F21" s="1581"/>
      <c r="G21" s="1581"/>
      <c r="H21" s="1578"/>
      <c r="I21" s="1672"/>
      <c r="J21" s="1581"/>
      <c r="K21" s="1671">
        <f t="shared" si="0"/>
        <v>0</v>
      </c>
      <c r="L21" s="1576"/>
    </row>
    <row r="22" spans="1:12" x14ac:dyDescent="0.2">
      <c r="A22" s="1275" t="s">
        <v>735</v>
      </c>
      <c r="B22" s="494" t="s">
        <v>722</v>
      </c>
      <c r="C22" s="1581"/>
      <c r="D22" s="1581"/>
      <c r="E22" s="1581"/>
      <c r="F22" s="1581"/>
      <c r="G22" s="1581"/>
      <c r="H22" s="1578"/>
      <c r="I22" s="1672"/>
      <c r="J22" s="1581"/>
      <c r="K22" s="1671">
        <f t="shared" si="0"/>
        <v>0</v>
      </c>
      <c r="L22" s="1576"/>
    </row>
    <row r="23" spans="1:12" x14ac:dyDescent="0.2">
      <c r="A23" s="1275" t="s">
        <v>736</v>
      </c>
      <c r="B23" s="494" t="s">
        <v>723</v>
      </c>
      <c r="C23" s="1581"/>
      <c r="D23" s="1581"/>
      <c r="E23" s="1581"/>
      <c r="F23" s="1581"/>
      <c r="G23" s="1581"/>
      <c r="H23" s="1578"/>
      <c r="I23" s="1672"/>
      <c r="J23" s="1581"/>
      <c r="K23" s="1671">
        <f t="shared" si="0"/>
        <v>0</v>
      </c>
      <c r="L23" s="1576"/>
    </row>
    <row r="24" spans="1:12" ht="12.75" customHeight="1" x14ac:dyDescent="0.2">
      <c r="A24" s="1275" t="s">
        <v>737</v>
      </c>
      <c r="B24" s="494" t="s">
        <v>724</v>
      </c>
      <c r="C24" s="1581"/>
      <c r="D24" s="1581"/>
      <c r="E24" s="1581"/>
      <c r="F24" s="1581"/>
      <c r="G24" s="1581"/>
      <c r="H24" s="1578"/>
      <c r="I24" s="1672"/>
      <c r="J24" s="1581"/>
      <c r="K24" s="1671">
        <f t="shared" si="0"/>
        <v>0</v>
      </c>
      <c r="L24" s="1576"/>
    </row>
    <row r="25" spans="1:12" ht="12.75" customHeight="1" x14ac:dyDescent="0.2">
      <c r="A25" s="1275" t="s">
        <v>797</v>
      </c>
      <c r="B25" s="494" t="s">
        <v>725</v>
      </c>
      <c r="C25" s="1581"/>
      <c r="D25" s="1581"/>
      <c r="E25" s="1581"/>
      <c r="F25" s="1581"/>
      <c r="G25" s="1581"/>
      <c r="H25" s="1578"/>
      <c r="I25" s="1672"/>
      <c r="J25" s="1581"/>
      <c r="K25" s="1671">
        <f t="shared" si="0"/>
        <v>0</v>
      </c>
      <c r="L25" s="1576"/>
    </row>
    <row r="26" spans="1:12" x14ac:dyDescent="0.2">
      <c r="A26" s="1275" t="s">
        <v>618</v>
      </c>
      <c r="B26" s="494" t="s">
        <v>726</v>
      </c>
      <c r="C26" s="1581"/>
      <c r="D26" s="1581"/>
      <c r="E26" s="1581"/>
      <c r="F26" s="1581"/>
      <c r="G26" s="1581"/>
      <c r="H26" s="1578"/>
      <c r="I26" s="1672"/>
      <c r="J26" s="1581"/>
      <c r="K26" s="1671">
        <f t="shared" si="0"/>
        <v>0</v>
      </c>
      <c r="L26" s="1576"/>
    </row>
    <row r="27" spans="1:12" x14ac:dyDescent="0.2">
      <c r="A27" s="1275" t="s">
        <v>619</v>
      </c>
      <c r="B27" s="494" t="s">
        <v>727</v>
      </c>
      <c r="C27" s="1581"/>
      <c r="D27" s="1581"/>
      <c r="E27" s="1581"/>
      <c r="F27" s="1581"/>
      <c r="G27" s="1581"/>
      <c r="H27" s="1578"/>
      <c r="I27" s="1672"/>
      <c r="J27" s="1581"/>
      <c r="K27" s="1671">
        <f t="shared" si="0"/>
        <v>0</v>
      </c>
      <c r="L27" s="1576"/>
    </row>
    <row r="28" spans="1:12" x14ac:dyDescent="0.2">
      <c r="A28" s="1275" t="s">
        <v>149</v>
      </c>
      <c r="B28" s="494" t="s">
        <v>728</v>
      </c>
      <c r="C28" s="1581"/>
      <c r="D28" s="1581"/>
      <c r="E28" s="1581"/>
      <c r="F28" s="1581"/>
      <c r="G28" s="1581"/>
      <c r="H28" s="1578"/>
      <c r="I28" s="1672"/>
      <c r="J28" s="1581"/>
      <c r="K28" s="1671">
        <f t="shared" si="0"/>
        <v>0</v>
      </c>
      <c r="L28" s="1576"/>
    </row>
    <row r="29" spans="1:12" x14ac:dyDescent="0.2">
      <c r="A29" s="1275" t="s">
        <v>150</v>
      </c>
      <c r="B29" s="494" t="s">
        <v>729</v>
      </c>
      <c r="C29" s="1581"/>
      <c r="D29" s="1581"/>
      <c r="E29" s="1581"/>
      <c r="F29" s="1581"/>
      <c r="G29" s="1581"/>
      <c r="H29" s="1578"/>
      <c r="I29" s="1672"/>
      <c r="J29" s="1581"/>
      <c r="K29" s="1671">
        <f t="shared" si="0"/>
        <v>0</v>
      </c>
      <c r="L29" s="1576"/>
    </row>
    <row r="30" spans="1:12" x14ac:dyDescent="0.2">
      <c r="A30" s="1275" t="s">
        <v>151</v>
      </c>
      <c r="B30" s="494" t="s">
        <v>730</v>
      </c>
      <c r="C30" s="1581"/>
      <c r="D30" s="1581"/>
      <c r="E30" s="1581"/>
      <c r="F30" s="1581"/>
      <c r="G30" s="1581"/>
      <c r="H30" s="1578"/>
      <c r="I30" s="1672"/>
      <c r="J30" s="1581"/>
      <c r="K30" s="1671">
        <f t="shared" si="0"/>
        <v>0</v>
      </c>
      <c r="L30" s="1576"/>
    </row>
    <row r="31" spans="1:12" x14ac:dyDescent="0.2">
      <c r="A31" s="1275" t="s">
        <v>152</v>
      </c>
      <c r="B31" s="494" t="s">
        <v>731</v>
      </c>
      <c r="C31" s="1581"/>
      <c r="D31" s="1581"/>
      <c r="E31" s="1581"/>
      <c r="F31" s="1581"/>
      <c r="G31" s="1581"/>
      <c r="H31" s="1578"/>
      <c r="I31" s="1672"/>
      <c r="J31" s="1581"/>
      <c r="K31" s="1671">
        <f t="shared" si="0"/>
        <v>0</v>
      </c>
      <c r="L31" s="1576"/>
    </row>
    <row r="32" spans="1:12" x14ac:dyDescent="0.2">
      <c r="A32" s="1276" t="s">
        <v>1121</v>
      </c>
      <c r="B32" s="503" t="s">
        <v>732</v>
      </c>
      <c r="C32" s="1581"/>
      <c r="D32" s="1581"/>
      <c r="E32" s="1581"/>
      <c r="F32" s="1581"/>
      <c r="G32" s="1581"/>
      <c r="H32" s="1578"/>
      <c r="I32" s="1672"/>
      <c r="J32" s="1584"/>
      <c r="K32" s="1671">
        <f t="shared" si="0"/>
        <v>0</v>
      </c>
      <c r="L32" s="1576"/>
    </row>
    <row r="33" spans="1:14" ht="12.75" customHeight="1" thickBot="1" x14ac:dyDescent="0.25">
      <c r="A33" s="1380" t="s">
        <v>1652</v>
      </c>
      <c r="B33" s="1381" t="s">
        <v>566</v>
      </c>
      <c r="C33" s="1673">
        <f>SUM(C5:C32)</f>
        <v>4101446</v>
      </c>
      <c r="D33" s="1673">
        <f t="shared" ref="D33:L33" si="1">SUM(D5:D32)</f>
        <v>596628</v>
      </c>
      <c r="E33" s="1673">
        <f t="shared" si="1"/>
        <v>119262</v>
      </c>
      <c r="F33" s="1673">
        <f t="shared" si="1"/>
        <v>144326</v>
      </c>
      <c r="G33" s="1673">
        <f t="shared" si="1"/>
        <v>30162</v>
      </c>
      <c r="H33" s="1673">
        <f t="shared" si="1"/>
        <v>500</v>
      </c>
      <c r="I33" s="1673">
        <f t="shared" si="1"/>
        <v>1166</v>
      </c>
      <c r="J33" s="1673">
        <f t="shared" si="1"/>
        <v>0</v>
      </c>
      <c r="K33" s="1673">
        <f t="shared" si="1"/>
        <v>4993490</v>
      </c>
      <c r="L33" s="1673">
        <f t="shared" si="1"/>
        <v>4995282</v>
      </c>
    </row>
    <row r="34" spans="1:14" s="506" customFormat="1" ht="15.75" customHeight="1" thickTop="1" x14ac:dyDescent="0.2">
      <c r="A34" s="1346" t="s">
        <v>46</v>
      </c>
      <c r="B34" s="1347"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4" t="s">
        <v>1082</v>
      </c>
      <c r="B36" s="503">
        <v>2110</v>
      </c>
      <c r="C36" s="1585">
        <v>27298</v>
      </c>
      <c r="D36" s="1585">
        <v>7027</v>
      </c>
      <c r="E36" s="1585"/>
      <c r="F36" s="1585"/>
      <c r="G36" s="1585"/>
      <c r="H36" s="1585"/>
      <c r="I36" s="1573"/>
      <c r="J36" s="1573"/>
      <c r="K36" s="1671">
        <f t="shared" ref="K36:K41" si="2">SUM(C36:J36)</f>
        <v>34325</v>
      </c>
      <c r="L36" s="1572">
        <v>34850</v>
      </c>
    </row>
    <row r="37" spans="1:14" x14ac:dyDescent="0.2">
      <c r="A37" s="1274" t="s">
        <v>1083</v>
      </c>
      <c r="B37" s="503">
        <v>2120</v>
      </c>
      <c r="C37" s="1572">
        <v>209455</v>
      </c>
      <c r="D37" s="1572">
        <v>23860</v>
      </c>
      <c r="E37" s="1572">
        <v>660</v>
      </c>
      <c r="F37" s="1572">
        <v>4947</v>
      </c>
      <c r="G37" s="1572"/>
      <c r="H37" s="1572"/>
      <c r="I37" s="1573"/>
      <c r="J37" s="1573"/>
      <c r="K37" s="1671">
        <f t="shared" si="2"/>
        <v>238922</v>
      </c>
      <c r="L37" s="1572">
        <v>282110</v>
      </c>
    </row>
    <row r="38" spans="1:14" x14ac:dyDescent="0.2">
      <c r="A38" s="1274" t="s">
        <v>196</v>
      </c>
      <c r="B38" s="503">
        <v>2130</v>
      </c>
      <c r="C38" s="1572">
        <v>29033</v>
      </c>
      <c r="D38" s="1572"/>
      <c r="E38" s="1572"/>
      <c r="F38" s="1572"/>
      <c r="G38" s="1572"/>
      <c r="H38" s="1572"/>
      <c r="I38" s="1573"/>
      <c r="J38" s="1573"/>
      <c r="K38" s="1671">
        <f t="shared" si="2"/>
        <v>29033</v>
      </c>
      <c r="L38" s="1572">
        <v>27850</v>
      </c>
    </row>
    <row r="39" spans="1:14" x14ac:dyDescent="0.2">
      <c r="A39" s="1274" t="s">
        <v>197</v>
      </c>
      <c r="B39" s="503">
        <v>2140</v>
      </c>
      <c r="C39" s="1572"/>
      <c r="D39" s="1572"/>
      <c r="E39" s="1572"/>
      <c r="F39" s="1572"/>
      <c r="G39" s="1572"/>
      <c r="H39" s="1572"/>
      <c r="I39" s="1573"/>
      <c r="J39" s="1573"/>
      <c r="K39" s="1671">
        <f t="shared" si="2"/>
        <v>0</v>
      </c>
      <c r="L39" s="1572"/>
    </row>
    <row r="40" spans="1:14" x14ac:dyDescent="0.2">
      <c r="A40" s="1274" t="s">
        <v>198</v>
      </c>
      <c r="B40" s="503">
        <v>2150</v>
      </c>
      <c r="C40" s="1572"/>
      <c r="D40" s="1572"/>
      <c r="E40" s="1572"/>
      <c r="F40" s="1572"/>
      <c r="G40" s="1572"/>
      <c r="H40" s="1572"/>
      <c r="I40" s="1573"/>
      <c r="J40" s="1573"/>
      <c r="K40" s="1671">
        <f t="shared" si="2"/>
        <v>0</v>
      </c>
      <c r="L40" s="1572"/>
    </row>
    <row r="41" spans="1:14" x14ac:dyDescent="0.2">
      <c r="A41" s="1274" t="s">
        <v>1653</v>
      </c>
      <c r="B41" s="503">
        <v>2190</v>
      </c>
      <c r="C41" s="1572"/>
      <c r="D41" s="1572"/>
      <c r="E41" s="1572"/>
      <c r="F41" s="1572"/>
      <c r="G41" s="1572"/>
      <c r="H41" s="1572"/>
      <c r="I41" s="1573"/>
      <c r="J41" s="1573"/>
      <c r="K41" s="1671">
        <f t="shared" si="2"/>
        <v>0</v>
      </c>
      <c r="L41" s="1572"/>
    </row>
    <row r="42" spans="1:14" ht="12.75" customHeight="1" thickBot="1" x14ac:dyDescent="0.25">
      <c r="A42" s="1380" t="s">
        <v>556</v>
      </c>
      <c r="B42" s="1381" t="s">
        <v>711</v>
      </c>
      <c r="C42" s="1673">
        <f>SUM(C36:C41)</f>
        <v>265786</v>
      </c>
      <c r="D42" s="1673">
        <f t="shared" ref="D42:L42" si="3">SUM(D36:D41)</f>
        <v>30887</v>
      </c>
      <c r="E42" s="1673">
        <f t="shared" si="3"/>
        <v>660</v>
      </c>
      <c r="F42" s="1673">
        <f t="shared" si="3"/>
        <v>4947</v>
      </c>
      <c r="G42" s="1673">
        <f t="shared" si="3"/>
        <v>0</v>
      </c>
      <c r="H42" s="1673">
        <f t="shared" si="3"/>
        <v>0</v>
      </c>
      <c r="I42" s="1673">
        <f t="shared" si="3"/>
        <v>0</v>
      </c>
      <c r="J42" s="1673">
        <f t="shared" si="3"/>
        <v>0</v>
      </c>
      <c r="K42" s="1673">
        <f t="shared" si="3"/>
        <v>302280</v>
      </c>
      <c r="L42" s="1673">
        <f t="shared" si="3"/>
        <v>344810</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4" t="s">
        <v>809</v>
      </c>
      <c r="B44" s="503">
        <v>2210</v>
      </c>
      <c r="C44" s="1585">
        <v>15831</v>
      </c>
      <c r="D44" s="1585">
        <v>1953</v>
      </c>
      <c r="E44" s="1585">
        <v>35398</v>
      </c>
      <c r="F44" s="1585"/>
      <c r="G44" s="1585"/>
      <c r="H44" s="1585"/>
      <c r="I44" s="1573"/>
      <c r="J44" s="1573"/>
      <c r="K44" s="1677">
        <f>SUM(C44:J44)</f>
        <v>53182</v>
      </c>
      <c r="L44" s="1585">
        <v>29911</v>
      </c>
    </row>
    <row r="45" spans="1:14" x14ac:dyDescent="0.2">
      <c r="A45" s="1274" t="s">
        <v>810</v>
      </c>
      <c r="B45" s="503">
        <v>2220</v>
      </c>
      <c r="C45" s="1572"/>
      <c r="D45" s="1572">
        <v>100</v>
      </c>
      <c r="E45" s="1572"/>
      <c r="F45" s="1572">
        <v>8250</v>
      </c>
      <c r="G45" s="1572">
        <f>1000-1000</f>
        <v>0</v>
      </c>
      <c r="H45" s="1572"/>
      <c r="I45" s="1573">
        <v>1000</v>
      </c>
      <c r="J45" s="1573"/>
      <c r="K45" s="1677">
        <f>SUM(C45:J45)</f>
        <v>9350</v>
      </c>
      <c r="L45" s="1572">
        <v>11250</v>
      </c>
    </row>
    <row r="46" spans="1:14" x14ac:dyDescent="0.2">
      <c r="A46" s="1274" t="s">
        <v>811</v>
      </c>
      <c r="B46" s="503">
        <v>2230</v>
      </c>
      <c r="C46" s="1572"/>
      <c r="D46" s="1572"/>
      <c r="E46" s="1572"/>
      <c r="F46" s="1572"/>
      <c r="G46" s="1572"/>
      <c r="H46" s="1572"/>
      <c r="I46" s="1573"/>
      <c r="J46" s="1573"/>
      <c r="K46" s="1677">
        <f>SUM(C46:J46)</f>
        <v>0</v>
      </c>
      <c r="L46" s="1572">
        <v>10000</v>
      </c>
    </row>
    <row r="47" spans="1:14" ht="12.75" customHeight="1" thickBot="1" x14ac:dyDescent="0.25">
      <c r="A47" s="1380" t="s">
        <v>557</v>
      </c>
      <c r="B47" s="1381" t="s">
        <v>32</v>
      </c>
      <c r="C47" s="1673">
        <f>SUM(C44:C46)</f>
        <v>15831</v>
      </c>
      <c r="D47" s="1673">
        <f t="shared" ref="D47:K47" si="4">SUM(D44:D46)</f>
        <v>2053</v>
      </c>
      <c r="E47" s="1673">
        <f t="shared" si="4"/>
        <v>35398</v>
      </c>
      <c r="F47" s="1673">
        <f t="shared" si="4"/>
        <v>8250</v>
      </c>
      <c r="G47" s="1673">
        <f t="shared" si="4"/>
        <v>0</v>
      </c>
      <c r="H47" s="1673">
        <f t="shared" si="4"/>
        <v>0</v>
      </c>
      <c r="I47" s="1673">
        <f t="shared" si="4"/>
        <v>1000</v>
      </c>
      <c r="J47" s="1673">
        <f t="shared" si="4"/>
        <v>0</v>
      </c>
      <c r="K47" s="1673">
        <f t="shared" si="4"/>
        <v>62532</v>
      </c>
      <c r="L47" s="1673">
        <f>SUM(L44:L46)</f>
        <v>51161</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4" t="s">
        <v>812</v>
      </c>
      <c r="B49" s="503">
        <v>2310</v>
      </c>
      <c r="C49" s="1585">
        <v>4252</v>
      </c>
      <c r="D49" s="1585"/>
      <c r="E49" s="1585">
        <v>49073</v>
      </c>
      <c r="F49" s="1585">
        <v>7561</v>
      </c>
      <c r="G49" s="1585"/>
      <c r="H49" s="1585">
        <v>10423</v>
      </c>
      <c r="I49" s="1573"/>
      <c r="J49" s="1573"/>
      <c r="K49" s="1677">
        <f>SUM(C49:J49)</f>
        <v>71309</v>
      </c>
      <c r="L49" s="1585">
        <v>101800</v>
      </c>
    </row>
    <row r="50" spans="1:14" x14ac:dyDescent="0.2">
      <c r="A50" s="1274" t="s">
        <v>813</v>
      </c>
      <c r="B50" s="503">
        <v>2320</v>
      </c>
      <c r="C50" s="1572">
        <v>154384</v>
      </c>
      <c r="D50" s="1572">
        <v>30380</v>
      </c>
      <c r="E50" s="1572">
        <v>2144</v>
      </c>
      <c r="F50" s="1572">
        <v>2332</v>
      </c>
      <c r="G50" s="1572"/>
      <c r="H50" s="1572">
        <v>1594</v>
      </c>
      <c r="I50" s="1573"/>
      <c r="J50" s="1573"/>
      <c r="K50" s="1677">
        <f>SUM(C50:J50)</f>
        <v>190834</v>
      </c>
      <c r="L50" s="1572">
        <v>192332</v>
      </c>
    </row>
    <row r="51" spans="1:14" x14ac:dyDescent="0.2">
      <c r="A51" s="1274" t="s">
        <v>42</v>
      </c>
      <c r="B51" s="503">
        <v>2330</v>
      </c>
      <c r="C51" s="1572"/>
      <c r="D51" s="1572"/>
      <c r="E51" s="1572"/>
      <c r="F51" s="1572"/>
      <c r="G51" s="1572"/>
      <c r="H51" s="1572"/>
      <c r="I51" s="1573"/>
      <c r="J51" s="1573"/>
      <c r="K51" s="1677">
        <f>SUM(C51:J51)</f>
        <v>0</v>
      </c>
      <c r="L51" s="1572"/>
    </row>
    <row r="52" spans="1:14" ht="22.5" x14ac:dyDescent="0.2">
      <c r="A52" s="1275" t="s">
        <v>295</v>
      </c>
      <c r="B52" s="511" t="s">
        <v>363</v>
      </c>
      <c r="C52" s="1578"/>
      <c r="D52" s="1578"/>
      <c r="E52" s="1578">
        <v>60135</v>
      </c>
      <c r="F52" s="1578"/>
      <c r="G52" s="1578"/>
      <c r="H52" s="1578"/>
      <c r="I52" s="1578"/>
      <c r="J52" s="1578"/>
      <c r="K52" s="1677">
        <f>SUM(C52:J52)</f>
        <v>60135</v>
      </c>
      <c r="L52" s="1578">
        <v>95000</v>
      </c>
    </row>
    <row r="53" spans="1:14" ht="12.75" customHeight="1" thickBot="1" x14ac:dyDescent="0.25">
      <c r="A53" s="1380" t="s">
        <v>712</v>
      </c>
      <c r="B53" s="1381" t="s">
        <v>33</v>
      </c>
      <c r="C53" s="1673">
        <f>SUM(C49:C52)</f>
        <v>158636</v>
      </c>
      <c r="D53" s="1673">
        <f t="shared" ref="D53:L53" si="5">SUM(D49:D52)</f>
        <v>30380</v>
      </c>
      <c r="E53" s="1673">
        <f t="shared" si="5"/>
        <v>111352</v>
      </c>
      <c r="F53" s="1673">
        <f t="shared" si="5"/>
        <v>9893</v>
      </c>
      <c r="G53" s="1673">
        <f t="shared" si="5"/>
        <v>0</v>
      </c>
      <c r="H53" s="1673">
        <f t="shared" si="5"/>
        <v>12017</v>
      </c>
      <c r="I53" s="1673">
        <f t="shared" si="5"/>
        <v>0</v>
      </c>
      <c r="J53" s="1673">
        <f t="shared" si="5"/>
        <v>0</v>
      </c>
      <c r="K53" s="1673">
        <f t="shared" si="5"/>
        <v>322278</v>
      </c>
      <c r="L53" s="1673">
        <f t="shared" si="5"/>
        <v>389132</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4" t="s">
        <v>1060</v>
      </c>
      <c r="B55" s="503">
        <v>2410</v>
      </c>
      <c r="C55" s="1585">
        <v>196880</v>
      </c>
      <c r="D55" s="1585">
        <v>47964</v>
      </c>
      <c r="E55" s="1585">
        <v>423</v>
      </c>
      <c r="F55" s="1585">
        <v>1047</v>
      </c>
      <c r="G55" s="1585">
        <f>314-314</f>
        <v>0</v>
      </c>
      <c r="H55" s="1585">
        <v>621</v>
      </c>
      <c r="I55" s="1573">
        <v>314</v>
      </c>
      <c r="J55" s="1573"/>
      <c r="K55" s="1677">
        <f>SUM(C55:J55)</f>
        <v>247249</v>
      </c>
      <c r="L55" s="1585">
        <v>250800</v>
      </c>
    </row>
    <row r="56" spans="1:14" ht="12.75" customHeight="1" x14ac:dyDescent="0.2">
      <c r="A56" s="1278"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80" t="s">
        <v>261</v>
      </c>
      <c r="B57" s="1382" t="s">
        <v>34</v>
      </c>
      <c r="C57" s="1678">
        <f>SUM(C55:C56)</f>
        <v>196880</v>
      </c>
      <c r="D57" s="1678">
        <f t="shared" ref="D57:K57" si="6">SUM(D55:D56)</f>
        <v>47964</v>
      </c>
      <c r="E57" s="1678">
        <f t="shared" si="6"/>
        <v>423</v>
      </c>
      <c r="F57" s="1678">
        <f t="shared" si="6"/>
        <v>1047</v>
      </c>
      <c r="G57" s="1678">
        <f t="shared" si="6"/>
        <v>0</v>
      </c>
      <c r="H57" s="1678">
        <f t="shared" si="6"/>
        <v>621</v>
      </c>
      <c r="I57" s="1678">
        <f t="shared" si="6"/>
        <v>314</v>
      </c>
      <c r="J57" s="1678">
        <f t="shared" si="6"/>
        <v>0</v>
      </c>
      <c r="K57" s="1678">
        <f t="shared" si="6"/>
        <v>247249</v>
      </c>
      <c r="L57" s="1673">
        <f>SUM(L55:L56)</f>
        <v>250800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4" t="s">
        <v>1061</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4" t="s">
        <v>460</v>
      </c>
      <c r="B60" s="503">
        <v>2520</v>
      </c>
      <c r="C60" s="1572">
        <v>72288</v>
      </c>
      <c r="D60" s="1572">
        <v>394</v>
      </c>
      <c r="E60" s="1572">
        <v>453</v>
      </c>
      <c r="F60" s="1572"/>
      <c r="G60" s="1572"/>
      <c r="H60" s="1572"/>
      <c r="I60" s="1573"/>
      <c r="J60" s="1573"/>
      <c r="K60" s="1677">
        <f t="shared" si="7"/>
        <v>73135</v>
      </c>
      <c r="L60" s="1572">
        <v>80750</v>
      </c>
      <c r="M60" s="501"/>
      <c r="N60" s="501"/>
    </row>
    <row r="61" spans="1:14" s="321" customFormat="1" x14ac:dyDescent="0.2">
      <c r="A61" s="1274" t="s">
        <v>195</v>
      </c>
      <c r="B61" s="503">
        <v>2540</v>
      </c>
      <c r="C61" s="1572"/>
      <c r="D61" s="1572"/>
      <c r="E61" s="1572"/>
      <c r="F61" s="1572"/>
      <c r="G61" s="1572"/>
      <c r="H61" s="1572"/>
      <c r="I61" s="1573"/>
      <c r="J61" s="1573"/>
      <c r="K61" s="1677">
        <f t="shared" si="7"/>
        <v>0</v>
      </c>
      <c r="L61" s="1572"/>
      <c r="M61" s="501"/>
      <c r="N61" s="501"/>
    </row>
    <row r="62" spans="1:14" s="321" customFormat="1" x14ac:dyDescent="0.2">
      <c r="A62" s="1274" t="s">
        <v>947</v>
      </c>
      <c r="B62" s="503">
        <v>2550</v>
      </c>
      <c r="C62" s="1572"/>
      <c r="D62" s="1572"/>
      <c r="E62" s="1572"/>
      <c r="F62" s="1572"/>
      <c r="G62" s="1572"/>
      <c r="H62" s="1572"/>
      <c r="I62" s="1573"/>
      <c r="J62" s="1573"/>
      <c r="K62" s="1677">
        <f t="shared" si="7"/>
        <v>0</v>
      </c>
      <c r="L62" s="1572"/>
      <c r="M62" s="501"/>
      <c r="N62" s="501"/>
    </row>
    <row r="63" spans="1:14" s="501" customFormat="1" x14ac:dyDescent="0.2">
      <c r="A63" s="1274" t="s">
        <v>100</v>
      </c>
      <c r="B63" s="503">
        <v>2560</v>
      </c>
      <c r="C63" s="1572">
        <v>148099</v>
      </c>
      <c r="D63" s="1572">
        <v>29705</v>
      </c>
      <c r="E63" s="1572">
        <v>866</v>
      </c>
      <c r="F63" s="1572">
        <v>155524</v>
      </c>
      <c r="G63" s="1572">
        <f>320-320</f>
        <v>0</v>
      </c>
      <c r="H63" s="1572"/>
      <c r="I63" s="1573">
        <v>320</v>
      </c>
      <c r="J63" s="1573"/>
      <c r="K63" s="1677">
        <f t="shared" si="7"/>
        <v>334514</v>
      </c>
      <c r="L63" s="1572">
        <v>369500</v>
      </c>
    </row>
    <row r="64" spans="1:14" s="501" customFormat="1" x14ac:dyDescent="0.2">
      <c r="A64" s="1279"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80" t="s">
        <v>714</v>
      </c>
      <c r="B65" s="1381" t="s">
        <v>35</v>
      </c>
      <c r="C65" s="1673">
        <f>SUM(C59:C64)</f>
        <v>220387</v>
      </c>
      <c r="D65" s="1673">
        <f t="shared" ref="D65:L65" si="8">SUM(D59:D64)</f>
        <v>30099</v>
      </c>
      <c r="E65" s="1673">
        <f t="shared" si="8"/>
        <v>1319</v>
      </c>
      <c r="F65" s="1673">
        <f t="shared" si="8"/>
        <v>155524</v>
      </c>
      <c r="G65" s="1673">
        <f t="shared" si="8"/>
        <v>0</v>
      </c>
      <c r="H65" s="1673">
        <f t="shared" si="8"/>
        <v>0</v>
      </c>
      <c r="I65" s="1673">
        <f t="shared" si="8"/>
        <v>320</v>
      </c>
      <c r="J65" s="1673">
        <f t="shared" si="8"/>
        <v>0</v>
      </c>
      <c r="K65" s="1673">
        <f t="shared" si="8"/>
        <v>407649</v>
      </c>
      <c r="L65" s="1673">
        <f t="shared" si="8"/>
        <v>450250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4" t="s">
        <v>1053</v>
      </c>
      <c r="B67" s="503">
        <v>2610</v>
      </c>
      <c r="C67" s="1572"/>
      <c r="D67" s="1572"/>
      <c r="E67" s="1572"/>
      <c r="F67" s="1572"/>
      <c r="G67" s="1572"/>
      <c r="H67" s="1572"/>
      <c r="I67" s="1573"/>
      <c r="J67" s="1573"/>
      <c r="K67" s="1677">
        <f>SUM(C67:J67)</f>
        <v>0</v>
      </c>
      <c r="L67" s="1585"/>
      <c r="M67" s="501"/>
      <c r="N67" s="501"/>
    </row>
    <row r="68" spans="1:14" s="321" customFormat="1" x14ac:dyDescent="0.2">
      <c r="A68" s="1274" t="s">
        <v>603</v>
      </c>
      <c r="B68" s="503">
        <v>2620</v>
      </c>
      <c r="C68" s="1572"/>
      <c r="D68" s="1572"/>
      <c r="E68" s="1572"/>
      <c r="F68" s="1572"/>
      <c r="G68" s="1572"/>
      <c r="H68" s="1572"/>
      <c r="I68" s="1573"/>
      <c r="J68" s="1573"/>
      <c r="K68" s="1677">
        <f>SUM(C68:J68)</f>
        <v>0</v>
      </c>
      <c r="L68" s="1572">
        <v>2500</v>
      </c>
      <c r="M68" s="501"/>
      <c r="N68" s="501"/>
    </row>
    <row r="69" spans="1:14" s="321" customFormat="1" x14ac:dyDescent="0.2">
      <c r="A69" s="1274" t="s">
        <v>1054</v>
      </c>
      <c r="B69" s="503">
        <v>2630</v>
      </c>
      <c r="C69" s="1572"/>
      <c r="D69" s="1572"/>
      <c r="E69" s="1572"/>
      <c r="F69" s="1572"/>
      <c r="G69" s="1572"/>
      <c r="H69" s="1572"/>
      <c r="I69" s="1573"/>
      <c r="J69" s="1573"/>
      <c r="K69" s="1677">
        <f>SUM(C69:J69)</f>
        <v>0</v>
      </c>
      <c r="L69" s="1572"/>
      <c r="M69" s="501"/>
      <c r="N69" s="501"/>
    </row>
    <row r="70" spans="1:14" s="321" customFormat="1" x14ac:dyDescent="0.2">
      <c r="A70" s="1274" t="s">
        <v>400</v>
      </c>
      <c r="B70" s="503">
        <v>2640</v>
      </c>
      <c r="C70" s="1572"/>
      <c r="D70" s="1572"/>
      <c r="E70" s="1572"/>
      <c r="F70" s="1572"/>
      <c r="G70" s="1572"/>
      <c r="H70" s="1572"/>
      <c r="I70" s="1573"/>
      <c r="J70" s="1573"/>
      <c r="K70" s="1677">
        <f>SUM(C70:J70)</f>
        <v>0</v>
      </c>
      <c r="L70" s="1572"/>
      <c r="M70" s="501"/>
      <c r="N70" s="501"/>
    </row>
    <row r="71" spans="1:14" s="321" customFormat="1" x14ac:dyDescent="0.2">
      <c r="A71" s="1274" t="s">
        <v>401</v>
      </c>
      <c r="B71" s="503">
        <v>2660</v>
      </c>
      <c r="C71" s="1572">
        <f>31033+69982+40854+5030</f>
        <v>146899</v>
      </c>
      <c r="D71" s="1572">
        <f>7027+1050+14055</f>
        <v>22132</v>
      </c>
      <c r="E71" s="1572">
        <v>210552</v>
      </c>
      <c r="F71" s="1572">
        <v>10506</v>
      </c>
      <c r="G71" s="1572">
        <f>51474-24269</f>
        <v>27205</v>
      </c>
      <c r="H71" s="1572"/>
      <c r="I71" s="1573">
        <v>24269</v>
      </c>
      <c r="J71" s="1573"/>
      <c r="K71" s="1677">
        <f>SUM(C71:J71)</f>
        <v>441563</v>
      </c>
      <c r="L71" s="1572">
        <v>481700</v>
      </c>
      <c r="M71" s="501"/>
      <c r="N71" s="501"/>
    </row>
    <row r="72" spans="1:14" s="321" customFormat="1" ht="12.75" customHeight="1" thickBot="1" x14ac:dyDescent="0.25">
      <c r="A72" s="1380" t="s">
        <v>37</v>
      </c>
      <c r="B72" s="1383" t="s">
        <v>36</v>
      </c>
      <c r="C72" s="1673">
        <f>SUM(C67:C71)</f>
        <v>146899</v>
      </c>
      <c r="D72" s="1673">
        <f t="shared" ref="D72:K72" si="9">SUM(D67:D71)</f>
        <v>22132</v>
      </c>
      <c r="E72" s="1673">
        <f t="shared" si="9"/>
        <v>210552</v>
      </c>
      <c r="F72" s="1673">
        <f t="shared" si="9"/>
        <v>10506</v>
      </c>
      <c r="G72" s="1673">
        <f t="shared" si="9"/>
        <v>27205</v>
      </c>
      <c r="H72" s="1673">
        <f t="shared" si="9"/>
        <v>0</v>
      </c>
      <c r="I72" s="1673">
        <f t="shared" si="9"/>
        <v>24269</v>
      </c>
      <c r="J72" s="1673">
        <f t="shared" si="9"/>
        <v>0</v>
      </c>
      <c r="K72" s="1673">
        <f t="shared" si="9"/>
        <v>441563</v>
      </c>
      <c r="L72" s="1673">
        <f>SUM(L67:L71)</f>
        <v>484200</v>
      </c>
      <c r="M72" s="501"/>
      <c r="N72" s="501"/>
    </row>
    <row r="73" spans="1:14" s="321" customFormat="1" ht="14.25" thickTop="1" thickBot="1" x14ac:dyDescent="0.25">
      <c r="A73" s="1280" t="s">
        <v>973</v>
      </c>
      <c r="B73" s="515" t="s">
        <v>570</v>
      </c>
      <c r="C73" s="1648"/>
      <c r="D73" s="1648"/>
      <c r="E73" s="1648"/>
      <c r="F73" s="1648">
        <v>83</v>
      </c>
      <c r="G73" s="1648"/>
      <c r="H73" s="1648"/>
      <c r="I73" s="1626"/>
      <c r="J73" s="1626"/>
      <c r="K73" s="1673">
        <f>SUM(C73:J73)</f>
        <v>83</v>
      </c>
      <c r="L73" s="1650">
        <v>500</v>
      </c>
      <c r="M73" s="501"/>
      <c r="N73" s="501"/>
    </row>
    <row r="74" spans="1:14" ht="12.75" customHeight="1" thickTop="1" thickBot="1" x14ac:dyDescent="0.25">
      <c r="A74" s="1380" t="s">
        <v>806</v>
      </c>
      <c r="B74" s="1384">
        <v>2000</v>
      </c>
      <c r="C74" s="1680">
        <f>SUM(C42,C47,C53,C57,C65,C72,C73)</f>
        <v>1004419</v>
      </c>
      <c r="D74" s="1680">
        <f t="shared" ref="D74:K74" si="10">SUM(D42,D47,D53,D57,D65,D72,D73)</f>
        <v>163515</v>
      </c>
      <c r="E74" s="1680">
        <f t="shared" si="10"/>
        <v>359704</v>
      </c>
      <c r="F74" s="1680">
        <f t="shared" si="10"/>
        <v>190250</v>
      </c>
      <c r="G74" s="1680">
        <f t="shared" si="10"/>
        <v>27205</v>
      </c>
      <c r="H74" s="1680">
        <f t="shared" si="10"/>
        <v>12638</v>
      </c>
      <c r="I74" s="1680">
        <f t="shared" si="10"/>
        <v>25903</v>
      </c>
      <c r="J74" s="1680">
        <f t="shared" si="10"/>
        <v>0</v>
      </c>
      <c r="K74" s="1680">
        <f t="shared" si="10"/>
        <v>1783634</v>
      </c>
      <c r="L74" s="1680">
        <f>SUM(L42,L47,L53,L57,L65,L72,L73)</f>
        <v>1970853</v>
      </c>
    </row>
    <row r="75" spans="1:14" s="254" customFormat="1" ht="15.75" customHeight="1" thickTop="1" thickBot="1" x14ac:dyDescent="0.25">
      <c r="A75" s="1348" t="s">
        <v>47</v>
      </c>
      <c r="B75" s="1349" t="s">
        <v>571</v>
      </c>
      <c r="C75" s="1648"/>
      <c r="D75" s="1648"/>
      <c r="E75" s="1648"/>
      <c r="F75" s="1648"/>
      <c r="G75" s="1648"/>
      <c r="H75" s="1648"/>
      <c r="I75" s="1626"/>
      <c r="J75" s="1626"/>
      <c r="K75" s="1673">
        <f>SUM(C75:J75)</f>
        <v>0</v>
      </c>
      <c r="L75" s="1650">
        <v>500</v>
      </c>
      <c r="M75" s="502"/>
      <c r="N75" s="502"/>
    </row>
    <row r="76" spans="1:14" s="516" customFormat="1" ht="15.75" customHeight="1" thickTop="1" x14ac:dyDescent="0.2">
      <c r="A76" s="1350" t="s">
        <v>362</v>
      </c>
      <c r="B76" s="1347"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4" t="s">
        <v>493</v>
      </c>
      <c r="B78" s="503">
        <v>4110</v>
      </c>
      <c r="C78" s="1672"/>
      <c r="D78" s="1672"/>
      <c r="E78" s="1585"/>
      <c r="F78" s="1672"/>
      <c r="G78" s="1672"/>
      <c r="H78" s="1681"/>
      <c r="I78" s="1581"/>
      <c r="J78" s="1581"/>
      <c r="K78" s="1671">
        <f t="shared" ref="K78:K83" si="11">SUM(C78:J78)</f>
        <v>0</v>
      </c>
      <c r="L78" s="1585"/>
    </row>
    <row r="79" spans="1:14" x14ac:dyDescent="0.2">
      <c r="A79" s="1274" t="s">
        <v>301</v>
      </c>
      <c r="B79" s="503">
        <v>4120</v>
      </c>
      <c r="C79" s="1672"/>
      <c r="D79" s="1672"/>
      <c r="E79" s="1572"/>
      <c r="F79" s="1672"/>
      <c r="G79" s="1672"/>
      <c r="H79" s="1572">
        <f>265683+70681</f>
        <v>336364</v>
      </c>
      <c r="I79" s="1581"/>
      <c r="J79" s="1581"/>
      <c r="K79" s="1671">
        <f t="shared" si="11"/>
        <v>336364</v>
      </c>
      <c r="L79" s="1572">
        <v>350000</v>
      </c>
    </row>
    <row r="80" spans="1:14" x14ac:dyDescent="0.2">
      <c r="A80" s="1274" t="s">
        <v>302</v>
      </c>
      <c r="B80" s="503">
        <v>4130</v>
      </c>
      <c r="C80" s="1672"/>
      <c r="D80" s="1672"/>
      <c r="E80" s="1572"/>
      <c r="F80" s="1672"/>
      <c r="G80" s="1672"/>
      <c r="H80" s="1572"/>
      <c r="I80" s="1581"/>
      <c r="J80" s="1581"/>
      <c r="K80" s="1671">
        <f t="shared" si="11"/>
        <v>0</v>
      </c>
      <c r="L80" s="1572"/>
    </row>
    <row r="81" spans="1:12" x14ac:dyDescent="0.2">
      <c r="A81" s="1274" t="s">
        <v>692</v>
      </c>
      <c r="B81" s="503">
        <v>4140</v>
      </c>
      <c r="C81" s="1672"/>
      <c r="D81" s="1672"/>
      <c r="E81" s="1572"/>
      <c r="F81" s="1672"/>
      <c r="G81" s="1672"/>
      <c r="H81" s="1572">
        <v>377351</v>
      </c>
      <c r="I81" s="1581"/>
      <c r="J81" s="1581"/>
      <c r="K81" s="1671">
        <f t="shared" si="11"/>
        <v>377351</v>
      </c>
      <c r="L81" s="1572">
        <v>410000</v>
      </c>
    </row>
    <row r="82" spans="1:12" x14ac:dyDescent="0.2">
      <c r="A82" s="1274" t="s">
        <v>86</v>
      </c>
      <c r="B82" s="503">
        <v>4170</v>
      </c>
      <c r="C82" s="1672"/>
      <c r="D82" s="1672"/>
      <c r="E82" s="1572"/>
      <c r="F82" s="1672"/>
      <c r="G82" s="1672"/>
      <c r="H82" s="1572"/>
      <c r="I82" s="1581"/>
      <c r="J82" s="1581"/>
      <c r="K82" s="1671">
        <f t="shared" si="11"/>
        <v>0</v>
      </c>
      <c r="L82" s="1572"/>
    </row>
    <row r="83" spans="1:12" x14ac:dyDescent="0.2">
      <c r="A83" s="1278" t="s">
        <v>693</v>
      </c>
      <c r="B83" s="512">
        <v>4190</v>
      </c>
      <c r="C83" s="1672"/>
      <c r="D83" s="1672"/>
      <c r="E83" s="1572"/>
      <c r="F83" s="1672"/>
      <c r="G83" s="1672"/>
      <c r="H83" s="1572"/>
      <c r="I83" s="1581"/>
      <c r="J83" s="1581"/>
      <c r="K83" s="1671">
        <f t="shared" si="11"/>
        <v>0</v>
      </c>
      <c r="L83" s="1572"/>
    </row>
    <row r="84" spans="1:12" ht="13.5" thickBot="1" x14ac:dyDescent="0.25">
      <c r="A84" s="1380" t="s">
        <v>1471</v>
      </c>
      <c r="B84" s="1385">
        <v>4100</v>
      </c>
      <c r="C84" s="1672"/>
      <c r="D84" s="1672"/>
      <c r="E84" s="1673">
        <f>SUM(E78:E83)</f>
        <v>0</v>
      </c>
      <c r="F84" s="1672"/>
      <c r="G84" s="1672"/>
      <c r="H84" s="1673">
        <f>SUM(H78:H83)</f>
        <v>713715</v>
      </c>
      <c r="I84" s="1581"/>
      <c r="J84" s="1581"/>
      <c r="K84" s="1673">
        <f>SUM(K78:K83)</f>
        <v>713715</v>
      </c>
      <c r="L84" s="1673">
        <f>SUM(L78:L83)</f>
        <v>760000</v>
      </c>
    </row>
    <row r="85" spans="1:12" ht="12.75" customHeight="1" thickTop="1" thickBot="1" x14ac:dyDescent="0.25">
      <c r="A85" s="1281" t="s">
        <v>253</v>
      </c>
      <c r="B85" s="517">
        <v>4210</v>
      </c>
      <c r="C85" s="1672"/>
      <c r="D85" s="1672"/>
      <c r="E85" s="1682"/>
      <c r="F85" s="1672"/>
      <c r="G85" s="1672"/>
      <c r="H85" s="1629"/>
      <c r="I85" s="1581"/>
      <c r="J85" s="1581"/>
      <c r="K85" s="1680">
        <f>H85</f>
        <v>0</v>
      </c>
      <c r="L85" s="1625"/>
    </row>
    <row r="86" spans="1:12" ht="12.75" customHeight="1" thickTop="1" thickBot="1" x14ac:dyDescent="0.25">
      <c r="A86" s="1282" t="s">
        <v>694</v>
      </c>
      <c r="B86" s="518">
        <v>4220</v>
      </c>
      <c r="C86" s="1672"/>
      <c r="D86" s="1672"/>
      <c r="E86" s="1683"/>
      <c r="F86" s="1672"/>
      <c r="G86" s="1672"/>
      <c r="H86" s="1573"/>
      <c r="I86" s="1581"/>
      <c r="J86" s="1581"/>
      <c r="K86" s="1680">
        <f t="shared" ref="K86:K98" si="12">H86</f>
        <v>0</v>
      </c>
      <c r="L86" s="1625"/>
    </row>
    <row r="87" spans="1:12" ht="14.25" thickTop="1" thickBot="1" x14ac:dyDescent="0.25">
      <c r="A87" s="1283" t="s">
        <v>695</v>
      </c>
      <c r="B87" s="519">
        <v>4230</v>
      </c>
      <c r="C87" s="1672"/>
      <c r="D87" s="1672"/>
      <c r="E87" s="1683"/>
      <c r="F87" s="1672"/>
      <c r="G87" s="1672"/>
      <c r="H87" s="1573"/>
      <c r="I87" s="1581"/>
      <c r="J87" s="1581"/>
      <c r="K87" s="1680">
        <f t="shared" si="12"/>
        <v>0</v>
      </c>
      <c r="L87" s="1625"/>
    </row>
    <row r="88" spans="1:12" ht="12.75" customHeight="1" thickTop="1" thickBot="1" x14ac:dyDescent="0.25">
      <c r="A88" s="1283" t="s">
        <v>760</v>
      </c>
      <c r="B88" s="519">
        <v>4240</v>
      </c>
      <c r="C88" s="1672"/>
      <c r="D88" s="1672"/>
      <c r="E88" s="1683"/>
      <c r="F88" s="1672"/>
      <c r="G88" s="1672"/>
      <c r="H88" s="1573"/>
      <c r="I88" s="1581"/>
      <c r="J88" s="1581"/>
      <c r="K88" s="1680">
        <f t="shared" si="12"/>
        <v>0</v>
      </c>
      <c r="L88" s="1625"/>
    </row>
    <row r="89" spans="1:12" ht="12.75" customHeight="1" thickTop="1" thickBot="1" x14ac:dyDescent="0.25">
      <c r="A89" s="1283" t="s">
        <v>696</v>
      </c>
      <c r="B89" s="519">
        <v>4270</v>
      </c>
      <c r="C89" s="1672"/>
      <c r="D89" s="1672"/>
      <c r="E89" s="1683"/>
      <c r="F89" s="1672"/>
      <c r="G89" s="1672"/>
      <c r="H89" s="1573"/>
      <c r="I89" s="1581"/>
      <c r="J89" s="1581"/>
      <c r="K89" s="1680">
        <f t="shared" si="12"/>
        <v>0</v>
      </c>
      <c r="L89" s="1625"/>
    </row>
    <row r="90" spans="1:12" ht="12.75" customHeight="1" thickTop="1" thickBot="1" x14ac:dyDescent="0.25">
      <c r="A90" s="1283" t="s">
        <v>681</v>
      </c>
      <c r="B90" s="519">
        <v>4280</v>
      </c>
      <c r="C90" s="1672"/>
      <c r="D90" s="1672"/>
      <c r="E90" s="1683"/>
      <c r="F90" s="1672"/>
      <c r="G90" s="1672"/>
      <c r="H90" s="1573"/>
      <c r="I90" s="1581"/>
      <c r="J90" s="1581"/>
      <c r="K90" s="1680">
        <f t="shared" si="12"/>
        <v>0</v>
      </c>
      <c r="L90" s="1625"/>
    </row>
    <row r="91" spans="1:12" ht="12.75" customHeight="1" thickTop="1" thickBot="1" x14ac:dyDescent="0.25">
      <c r="A91" s="1283" t="s">
        <v>682</v>
      </c>
      <c r="B91" s="519">
        <v>4290</v>
      </c>
      <c r="C91" s="1672"/>
      <c r="D91" s="1672"/>
      <c r="E91" s="1683"/>
      <c r="F91" s="1672"/>
      <c r="G91" s="1672"/>
      <c r="H91" s="1573"/>
      <c r="I91" s="1581"/>
      <c r="J91" s="1581"/>
      <c r="K91" s="1680">
        <f t="shared" si="12"/>
        <v>0</v>
      </c>
      <c r="L91" s="1625"/>
    </row>
    <row r="92" spans="1:12" ht="14.25" thickTop="1" thickBot="1" x14ac:dyDescent="0.25">
      <c r="A92" s="1386" t="s">
        <v>1546</v>
      </c>
      <c r="B92" s="1385">
        <v>4200</v>
      </c>
      <c r="C92" s="1672"/>
      <c r="D92" s="1672"/>
      <c r="E92" s="1683"/>
      <c r="F92" s="1672"/>
      <c r="G92" s="1672"/>
      <c r="H92" s="1673">
        <f>SUM(H85:H91)</f>
        <v>0</v>
      </c>
      <c r="I92" s="1581"/>
      <c r="J92" s="1581"/>
      <c r="K92" s="1680">
        <f t="shared" si="12"/>
        <v>0</v>
      </c>
      <c r="L92" s="1673">
        <f>SUM(L85:L91)</f>
        <v>0</v>
      </c>
    </row>
    <row r="93" spans="1:12" ht="14.25" thickTop="1" thickBot="1" x14ac:dyDescent="0.25">
      <c r="A93" s="1282" t="s">
        <v>683</v>
      </c>
      <c r="B93" s="520">
        <v>4310</v>
      </c>
      <c r="C93" s="1672"/>
      <c r="D93" s="1672"/>
      <c r="E93" s="1683"/>
      <c r="F93" s="1672"/>
      <c r="G93" s="1672"/>
      <c r="H93" s="1684"/>
      <c r="I93" s="1581"/>
      <c r="J93" s="1581"/>
      <c r="K93" s="1680">
        <f t="shared" si="12"/>
        <v>0</v>
      </c>
      <c r="L93" s="1627"/>
    </row>
    <row r="94" spans="1:12" ht="12.75" customHeight="1" thickTop="1" thickBot="1" x14ac:dyDescent="0.25">
      <c r="A94" s="1283" t="s">
        <v>684</v>
      </c>
      <c r="B94" s="519">
        <v>4320</v>
      </c>
      <c r="C94" s="1672"/>
      <c r="D94" s="1672"/>
      <c r="E94" s="1683"/>
      <c r="F94" s="1672"/>
      <c r="G94" s="1672"/>
      <c r="H94" s="1573"/>
      <c r="I94" s="1581"/>
      <c r="J94" s="1581"/>
      <c r="K94" s="1680">
        <f t="shared" si="12"/>
        <v>0</v>
      </c>
      <c r="L94" s="1625"/>
    </row>
    <row r="95" spans="1:12" ht="15" customHeight="1" thickTop="1" thickBot="1" x14ac:dyDescent="0.25">
      <c r="A95" s="1283" t="s">
        <v>1474</v>
      </c>
      <c r="B95" s="519">
        <v>4330</v>
      </c>
      <c r="C95" s="1672"/>
      <c r="D95" s="1672"/>
      <c r="E95" s="1683"/>
      <c r="F95" s="1672"/>
      <c r="G95" s="1672"/>
      <c r="H95" s="1573"/>
      <c r="I95" s="1581"/>
      <c r="J95" s="1581"/>
      <c r="K95" s="1680">
        <f t="shared" si="12"/>
        <v>0</v>
      </c>
      <c r="L95" s="1625"/>
    </row>
    <row r="96" spans="1:12" ht="14.25" thickTop="1" thickBot="1" x14ac:dyDescent="0.25">
      <c r="A96" s="1283" t="s">
        <v>685</v>
      </c>
      <c r="B96" s="519">
        <v>4340</v>
      </c>
      <c r="C96" s="1672"/>
      <c r="D96" s="1672"/>
      <c r="E96" s="1683"/>
      <c r="F96" s="1672"/>
      <c r="G96" s="1672"/>
      <c r="H96" s="1573"/>
      <c r="I96" s="1581"/>
      <c r="J96" s="1581"/>
      <c r="K96" s="1680">
        <f t="shared" si="12"/>
        <v>0</v>
      </c>
      <c r="L96" s="1625"/>
    </row>
    <row r="97" spans="1:14" ht="12.75" customHeight="1" thickTop="1" thickBot="1" x14ac:dyDescent="0.25">
      <c r="A97" s="1283" t="s">
        <v>758</v>
      </c>
      <c r="B97" s="519">
        <v>4370</v>
      </c>
      <c r="C97" s="1672"/>
      <c r="D97" s="1672"/>
      <c r="E97" s="1683"/>
      <c r="F97" s="1672"/>
      <c r="G97" s="1672"/>
      <c r="H97" s="1573"/>
      <c r="I97" s="1581"/>
      <c r="J97" s="1581"/>
      <c r="K97" s="1680">
        <f t="shared" si="12"/>
        <v>0</v>
      </c>
      <c r="L97" s="1625"/>
    </row>
    <row r="98" spans="1:14" ht="14.25" thickTop="1" thickBot="1" x14ac:dyDescent="0.25">
      <c r="A98" s="1283" t="s">
        <v>759</v>
      </c>
      <c r="B98" s="519">
        <v>4380</v>
      </c>
      <c r="C98" s="1672"/>
      <c r="D98" s="1672"/>
      <c r="E98" s="1685"/>
      <c r="F98" s="1672"/>
      <c r="G98" s="1672"/>
      <c r="H98" s="1573"/>
      <c r="I98" s="1581"/>
      <c r="J98" s="1581"/>
      <c r="K98" s="1680">
        <f t="shared" si="12"/>
        <v>0</v>
      </c>
      <c r="L98" s="1625"/>
    </row>
    <row r="99" spans="1:14" ht="14.25" thickTop="1" thickBot="1" x14ac:dyDescent="0.25">
      <c r="A99" s="1283" t="s">
        <v>364</v>
      </c>
      <c r="B99" s="519">
        <v>4390</v>
      </c>
      <c r="C99" s="1672"/>
      <c r="D99" s="1672"/>
      <c r="E99" s="1627"/>
      <c r="F99" s="1672"/>
      <c r="G99" s="1672"/>
      <c r="H99" s="1573"/>
      <c r="I99" s="1581"/>
      <c r="J99" s="1581"/>
      <c r="K99" s="1680">
        <f>SUM(E99,H99)</f>
        <v>0</v>
      </c>
      <c r="L99" s="1625"/>
    </row>
    <row r="100" spans="1:14" ht="14.25" thickTop="1" thickBot="1" x14ac:dyDescent="0.25">
      <c r="A100" s="1386" t="s">
        <v>1472</v>
      </c>
      <c r="B100" s="1387">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80" t="s">
        <v>1475</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80" t="s">
        <v>1473</v>
      </c>
      <c r="B102" s="1385">
        <v>4000</v>
      </c>
      <c r="C102" s="1672"/>
      <c r="D102" s="1672"/>
      <c r="E102" s="1680">
        <f>SUM(E84,E92,E100,E101)</f>
        <v>0</v>
      </c>
      <c r="F102" s="1672"/>
      <c r="G102" s="1672"/>
      <c r="H102" s="1680">
        <f>SUM(H84,H92,H100,H101)</f>
        <v>713715</v>
      </c>
      <c r="I102" s="1581"/>
      <c r="J102" s="1581"/>
      <c r="K102" s="1680">
        <f>SUM(K84,K92,K100,K101)</f>
        <v>713715</v>
      </c>
      <c r="L102" s="1680">
        <f>SUM(L84,L92,L100,L101)</f>
        <v>760000</v>
      </c>
    </row>
    <row r="103" spans="1:14" s="516" customFormat="1" ht="15.75" customHeight="1" thickTop="1" x14ac:dyDescent="0.2">
      <c r="A103" s="1350" t="s">
        <v>510</v>
      </c>
      <c r="B103" s="1347"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4"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4"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4" t="s">
        <v>1162</v>
      </c>
      <c r="B107" s="503">
        <v>5130</v>
      </c>
      <c r="C107" s="1672"/>
      <c r="D107" s="1672"/>
      <c r="E107" s="1672"/>
      <c r="F107" s="1672"/>
      <c r="G107" s="1672"/>
      <c r="H107" s="1572"/>
      <c r="I107" s="1574"/>
      <c r="J107" s="1574"/>
      <c r="K107" s="1671">
        <f>H107</f>
        <v>0</v>
      </c>
      <c r="L107" s="1572"/>
      <c r="M107" s="205"/>
      <c r="N107" s="205"/>
    </row>
    <row r="108" spans="1:14" s="493" customFormat="1" x14ac:dyDescent="0.2">
      <c r="A108" s="1274"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4"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80" t="s">
        <v>1095</v>
      </c>
      <c r="B110" s="1383"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4"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80" t="s">
        <v>633</v>
      </c>
      <c r="B112" s="1381"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4" t="s">
        <v>511</v>
      </c>
      <c r="B113" s="1351" t="s">
        <v>856</v>
      </c>
      <c r="C113" s="1675"/>
      <c r="D113" s="1675"/>
      <c r="E113" s="1672"/>
      <c r="F113" s="1672"/>
      <c r="G113" s="1672"/>
      <c r="H113" s="1675"/>
      <c r="I113" s="1574"/>
      <c r="J113" s="1574"/>
      <c r="K113" s="1675"/>
      <c r="L113" s="1626"/>
      <c r="M113" s="502"/>
      <c r="N113" s="502"/>
    </row>
    <row r="114" spans="1:14" ht="12.75" customHeight="1" thickTop="1" thickBot="1" x14ac:dyDescent="0.25">
      <c r="A114" s="1380" t="s">
        <v>48</v>
      </c>
      <c r="B114" s="1388"/>
      <c r="C114" s="1673">
        <f>SUM(C33,C74,C75,C102,C112,C113)</f>
        <v>5105865</v>
      </c>
      <c r="D114" s="1673">
        <f t="shared" ref="D114:K114" si="13">SUM(D33,D74,D75,D102,D112,D113)</f>
        <v>760143</v>
      </c>
      <c r="E114" s="1673">
        <f t="shared" si="13"/>
        <v>478966</v>
      </c>
      <c r="F114" s="1673">
        <f t="shared" si="13"/>
        <v>334576</v>
      </c>
      <c r="G114" s="1673">
        <f t="shared" si="13"/>
        <v>57367</v>
      </c>
      <c r="H114" s="1673">
        <f>SUM(H33,H74,H75,H102,H112,H113)</f>
        <v>726853</v>
      </c>
      <c r="I114" s="1673">
        <f t="shared" si="13"/>
        <v>27069</v>
      </c>
      <c r="J114" s="1673">
        <f t="shared" si="13"/>
        <v>0</v>
      </c>
      <c r="K114" s="1673">
        <f t="shared" si="13"/>
        <v>7490839</v>
      </c>
      <c r="L114" s="1673">
        <f>SUM(L33,L74,L75,L102,L112,L113)</f>
        <v>7726635</v>
      </c>
    </row>
    <row r="115" spans="1:14" ht="13.5" thickTop="1" x14ac:dyDescent="0.2">
      <c r="A115" s="2257" t="s">
        <v>989</v>
      </c>
      <c r="B115" s="2258"/>
      <c r="C115" s="1674"/>
      <c r="D115" s="1674"/>
      <c r="E115" s="1674"/>
      <c r="F115" s="1674"/>
      <c r="G115" s="1674"/>
      <c r="H115" s="1674"/>
      <c r="I115" s="1674"/>
      <c r="J115" s="1674"/>
      <c r="K115" s="1688">
        <f>'Revenues 9-14'!C268-'Expenditures 15-22'!K114</f>
        <v>513905</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71" t="s">
        <v>293</v>
      </c>
      <c r="B117" s="2272"/>
      <c r="C117" s="1690"/>
      <c r="D117" s="1691"/>
      <c r="E117" s="1691"/>
      <c r="F117" s="1691"/>
      <c r="G117" s="1691"/>
      <c r="H117" s="1691"/>
      <c r="I117" s="1691"/>
      <c r="J117" s="1691"/>
      <c r="K117" s="1691"/>
      <c r="L117" s="1692"/>
      <c r="M117" s="170"/>
      <c r="N117" s="170"/>
    </row>
    <row r="118" spans="1:14" ht="15.75" customHeight="1" x14ac:dyDescent="0.2">
      <c r="A118" s="1352" t="s">
        <v>1028</v>
      </c>
      <c r="B118" s="1353"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8" t="s">
        <v>1966</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4" t="s">
        <v>1061</v>
      </c>
      <c r="B122" s="503">
        <v>2510</v>
      </c>
      <c r="C122" s="1572"/>
      <c r="D122" s="1572"/>
      <c r="E122" s="1572"/>
      <c r="F122" s="1572"/>
      <c r="G122" s="1572"/>
      <c r="H122" s="1572"/>
      <c r="I122" s="1573"/>
      <c r="J122" s="1573"/>
      <c r="K122" s="1673">
        <f>SUM(C122:J122)</f>
        <v>0</v>
      </c>
      <c r="L122" s="1572"/>
    </row>
    <row r="123" spans="1:14" ht="14.25" thickTop="1" thickBot="1" x14ac:dyDescent="0.25">
      <c r="A123" s="1274" t="s">
        <v>4</v>
      </c>
      <c r="B123" s="503">
        <v>2530</v>
      </c>
      <c r="C123" s="1572"/>
      <c r="D123" s="1572"/>
      <c r="E123" s="1572"/>
      <c r="F123" s="1572"/>
      <c r="G123" s="1572">
        <f>72706-706-70681-1319</f>
        <v>0</v>
      </c>
      <c r="H123" s="1572"/>
      <c r="I123" s="1573">
        <v>1319</v>
      </c>
      <c r="J123" s="1573"/>
      <c r="K123" s="1673">
        <f>SUM(C123:J123)</f>
        <v>1319</v>
      </c>
      <c r="L123" s="1572">
        <v>150000</v>
      </c>
    </row>
    <row r="124" spans="1:14" ht="14.25" thickTop="1" thickBot="1" x14ac:dyDescent="0.25">
      <c r="A124" s="1274" t="s">
        <v>195</v>
      </c>
      <c r="B124" s="503">
        <v>2540</v>
      </c>
      <c r="C124" s="1572">
        <v>312392</v>
      </c>
      <c r="D124" s="1572">
        <v>33810</v>
      </c>
      <c r="E124" s="1572">
        <v>126768</v>
      </c>
      <c r="F124" s="1572">
        <v>272038</v>
      </c>
      <c r="G124" s="1572">
        <f>12247-7568+3465</f>
        <v>8144</v>
      </c>
      <c r="H124" s="1572"/>
      <c r="I124" s="1573">
        <v>7568</v>
      </c>
      <c r="J124" s="1573"/>
      <c r="K124" s="1673">
        <f>SUM(C124:J124)</f>
        <v>760720</v>
      </c>
      <c r="L124" s="1572">
        <v>775465</v>
      </c>
    </row>
    <row r="125" spans="1:14" ht="14.25" thickTop="1" thickBot="1" x14ac:dyDescent="0.25">
      <c r="A125" s="1274" t="s">
        <v>947</v>
      </c>
      <c r="B125" s="503">
        <v>2550</v>
      </c>
      <c r="C125" s="1572"/>
      <c r="D125" s="1572"/>
      <c r="E125" s="1572"/>
      <c r="F125" s="1572"/>
      <c r="G125" s="1572"/>
      <c r="H125" s="1572"/>
      <c r="I125" s="1573"/>
      <c r="J125" s="1573"/>
      <c r="K125" s="1673">
        <f>SUM(C125:J125)</f>
        <v>0</v>
      </c>
      <c r="L125" s="1572"/>
    </row>
    <row r="126" spans="1:14" ht="14.25" thickTop="1" thickBot="1" x14ac:dyDescent="0.25">
      <c r="A126" s="1274"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80" t="s">
        <v>714</v>
      </c>
      <c r="B127" s="1381" t="s">
        <v>35</v>
      </c>
      <c r="C127" s="1673">
        <f>SUM(C122:C126)</f>
        <v>312392</v>
      </c>
      <c r="D127" s="1673">
        <f t="shared" ref="D127:L127" si="14">SUM(D122:D126)</f>
        <v>33810</v>
      </c>
      <c r="E127" s="1673">
        <f t="shared" si="14"/>
        <v>126768</v>
      </c>
      <c r="F127" s="1673">
        <f t="shared" si="14"/>
        <v>272038</v>
      </c>
      <c r="G127" s="1673">
        <f t="shared" si="14"/>
        <v>8144</v>
      </c>
      <c r="H127" s="1673">
        <f t="shared" si="14"/>
        <v>0</v>
      </c>
      <c r="I127" s="1673">
        <f t="shared" si="14"/>
        <v>8887</v>
      </c>
      <c r="J127" s="1673">
        <f t="shared" si="14"/>
        <v>0</v>
      </c>
      <c r="K127" s="1673">
        <f t="shared" si="14"/>
        <v>762039</v>
      </c>
      <c r="L127" s="1673">
        <f t="shared" si="14"/>
        <v>925465</v>
      </c>
    </row>
    <row r="128" spans="1:14" ht="12.75" customHeight="1" thickTop="1" x14ac:dyDescent="0.2">
      <c r="A128" s="1281" t="s">
        <v>973</v>
      </c>
      <c r="B128" s="531" t="s">
        <v>570</v>
      </c>
      <c r="C128" s="1694"/>
      <c r="D128" s="1694"/>
      <c r="E128" s="1694"/>
      <c r="F128" s="1694"/>
      <c r="G128" s="1694"/>
      <c r="H128" s="1694"/>
      <c r="I128" s="1629"/>
      <c r="J128" s="1629"/>
      <c r="K128" s="1695">
        <f>SUM(C128:J128)</f>
        <v>0</v>
      </c>
      <c r="L128" s="1694"/>
    </row>
    <row r="129" spans="1:14" ht="12.75" customHeight="1" thickBot="1" x14ac:dyDescent="0.25">
      <c r="A129" s="1389" t="s">
        <v>806</v>
      </c>
      <c r="B129" s="1390" t="s">
        <v>565</v>
      </c>
      <c r="C129" s="1680">
        <f>SUM(C120,C127,C128)</f>
        <v>312392</v>
      </c>
      <c r="D129" s="1680">
        <f t="shared" ref="D129:L129" si="15">SUM(D120,D127,D128)</f>
        <v>33810</v>
      </c>
      <c r="E129" s="1680">
        <f t="shared" si="15"/>
        <v>126768</v>
      </c>
      <c r="F129" s="1680">
        <f t="shared" si="15"/>
        <v>272038</v>
      </c>
      <c r="G129" s="1680">
        <f t="shared" si="15"/>
        <v>8144</v>
      </c>
      <c r="H129" s="1680">
        <f t="shared" si="15"/>
        <v>0</v>
      </c>
      <c r="I129" s="1680">
        <f t="shared" si="15"/>
        <v>8887</v>
      </c>
      <c r="J129" s="1680">
        <f t="shared" si="15"/>
        <v>0</v>
      </c>
      <c r="K129" s="1680">
        <f t="shared" si="15"/>
        <v>762039</v>
      </c>
      <c r="L129" s="1680">
        <f t="shared" si="15"/>
        <v>925465</v>
      </c>
    </row>
    <row r="130" spans="1:14" ht="15.75" customHeight="1" thickTop="1" thickBot="1" x14ac:dyDescent="0.25">
      <c r="A130" s="1348" t="s">
        <v>1029</v>
      </c>
      <c r="B130" s="1349" t="s">
        <v>571</v>
      </c>
      <c r="C130" s="1650"/>
      <c r="D130" s="1650"/>
      <c r="E130" s="1650"/>
      <c r="F130" s="1650"/>
      <c r="G130" s="1650"/>
      <c r="H130" s="1650"/>
      <c r="I130" s="1626"/>
      <c r="J130" s="1626"/>
      <c r="K130" s="1673">
        <f>SUM(C130:J130)</f>
        <v>0</v>
      </c>
      <c r="L130" s="1650"/>
    </row>
    <row r="131" spans="1:14" ht="15.75" customHeight="1" thickTop="1" x14ac:dyDescent="0.2">
      <c r="A131" s="1354" t="s">
        <v>612</v>
      </c>
      <c r="B131" s="1347"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1" t="s">
        <v>493</v>
      </c>
      <c r="B133" s="1474" t="s">
        <v>1819</v>
      </c>
      <c r="C133" s="1574"/>
      <c r="D133" s="1574"/>
      <c r="E133" s="1684"/>
      <c r="F133" s="1574"/>
      <c r="G133" s="1574"/>
      <c r="H133" s="1684"/>
      <c r="I133" s="1574"/>
      <c r="J133" s="1574"/>
      <c r="K133" s="1696">
        <f>SUM(E133,H133)</f>
        <v>0</v>
      </c>
      <c r="L133" s="1684"/>
      <c r="M133" s="201"/>
      <c r="N133" s="201"/>
    </row>
    <row r="134" spans="1:14" x14ac:dyDescent="0.2">
      <c r="A134" s="1274" t="s">
        <v>301</v>
      </c>
      <c r="B134" s="503">
        <v>4120</v>
      </c>
      <c r="C134" s="1672"/>
      <c r="D134" s="1672"/>
      <c r="E134" s="1582"/>
      <c r="F134" s="1672"/>
      <c r="G134" s="1672"/>
      <c r="H134" s="1585"/>
      <c r="I134" s="1581"/>
      <c r="J134" s="1672"/>
      <c r="K134" s="1677">
        <f>SUM(E134,H134)</f>
        <v>0</v>
      </c>
      <c r="L134" s="1585"/>
    </row>
    <row r="135" spans="1:14" x14ac:dyDescent="0.2">
      <c r="A135" s="1274" t="s">
        <v>692</v>
      </c>
      <c r="B135" s="503">
        <v>4140</v>
      </c>
      <c r="C135" s="1672"/>
      <c r="D135" s="1672"/>
      <c r="E135" s="1573"/>
      <c r="F135" s="1672"/>
      <c r="G135" s="1672"/>
      <c r="H135" s="1572"/>
      <c r="I135" s="1581"/>
      <c r="J135" s="1672"/>
      <c r="K135" s="1677">
        <f>SUM(E135,H135)</f>
        <v>0</v>
      </c>
      <c r="L135" s="1572"/>
    </row>
    <row r="136" spans="1:14" x14ac:dyDescent="0.2">
      <c r="A136" s="1278" t="s">
        <v>693</v>
      </c>
      <c r="B136" s="512">
        <v>4190</v>
      </c>
      <c r="C136" s="1672"/>
      <c r="D136" s="1672"/>
      <c r="E136" s="1573"/>
      <c r="F136" s="1672"/>
      <c r="G136" s="1672"/>
      <c r="H136" s="1572"/>
      <c r="I136" s="1581"/>
      <c r="J136" s="1672"/>
      <c r="K136" s="1677">
        <f>SUM(E136,H136)</f>
        <v>0</v>
      </c>
      <c r="L136" s="1572"/>
    </row>
    <row r="137" spans="1:14" ht="12.75" customHeight="1" thickBot="1" x14ac:dyDescent="0.25">
      <c r="A137" s="1380" t="s">
        <v>477</v>
      </c>
      <c r="B137" s="1385">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80"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80" t="s">
        <v>1473</v>
      </c>
      <c r="B139" s="1385">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50" t="s">
        <v>1030</v>
      </c>
      <c r="B140" s="1351"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4" t="s">
        <v>87</v>
      </c>
      <c r="B142" s="503">
        <v>5110</v>
      </c>
      <c r="C142" s="1672"/>
      <c r="D142" s="1672"/>
      <c r="E142" s="1672"/>
      <c r="F142" s="1672"/>
      <c r="G142" s="1672"/>
      <c r="H142" s="1585"/>
      <c r="I142" s="1574"/>
      <c r="J142" s="1672"/>
      <c r="K142" s="1677">
        <f>SUM(H142)</f>
        <v>0</v>
      </c>
      <c r="L142" s="1585"/>
    </row>
    <row r="143" spans="1:14" x14ac:dyDescent="0.2">
      <c r="A143" s="1274" t="s">
        <v>88</v>
      </c>
      <c r="B143" s="503">
        <v>5120</v>
      </c>
      <c r="C143" s="1672"/>
      <c r="D143" s="1672"/>
      <c r="E143" s="1672"/>
      <c r="F143" s="1672"/>
      <c r="G143" s="1672"/>
      <c r="H143" s="1572"/>
      <c r="I143" s="1574"/>
      <c r="J143" s="1672"/>
      <c r="K143" s="1677">
        <f>SUM(H143)</f>
        <v>0</v>
      </c>
      <c r="L143" s="1572"/>
    </row>
    <row r="144" spans="1:14" ht="12.75" customHeight="1" x14ac:dyDescent="0.2">
      <c r="A144" s="1274" t="s">
        <v>1162</v>
      </c>
      <c r="B144" s="512" t="s">
        <v>613</v>
      </c>
      <c r="C144" s="1672"/>
      <c r="D144" s="1672"/>
      <c r="E144" s="1672"/>
      <c r="F144" s="1672"/>
      <c r="G144" s="1672"/>
      <c r="H144" s="1572"/>
      <c r="I144" s="1574"/>
      <c r="J144" s="1672"/>
      <c r="K144" s="1677">
        <f>SUM(H144)</f>
        <v>0</v>
      </c>
      <c r="L144" s="1572"/>
    </row>
    <row r="145" spans="1:14" x14ac:dyDescent="0.2">
      <c r="A145" s="1274" t="s">
        <v>89</v>
      </c>
      <c r="B145" s="503" t="s">
        <v>585</v>
      </c>
      <c r="C145" s="1672"/>
      <c r="D145" s="1672"/>
      <c r="E145" s="1672"/>
      <c r="F145" s="1672"/>
      <c r="G145" s="1672"/>
      <c r="H145" s="1572"/>
      <c r="I145" s="1574"/>
      <c r="J145" s="1672"/>
      <c r="K145" s="1677">
        <f>SUM(H145)</f>
        <v>0</v>
      </c>
      <c r="L145" s="1572"/>
    </row>
    <row r="146" spans="1:14" ht="12.75" customHeight="1" x14ac:dyDescent="0.2">
      <c r="A146" s="1274" t="s">
        <v>615</v>
      </c>
      <c r="B146" s="503" t="s">
        <v>614</v>
      </c>
      <c r="C146" s="1672"/>
      <c r="D146" s="1672"/>
      <c r="E146" s="1672"/>
      <c r="F146" s="1672"/>
      <c r="G146" s="1672"/>
      <c r="H146" s="1572"/>
      <c r="I146" s="1574"/>
      <c r="J146" s="1672"/>
      <c r="K146" s="1677">
        <f>SUM(H146)</f>
        <v>0</v>
      </c>
      <c r="L146" s="1572"/>
    </row>
    <row r="147" spans="1:14" ht="12.75" customHeight="1" thickBot="1" x14ac:dyDescent="0.25">
      <c r="A147" s="1285"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c r="I148" s="1574"/>
      <c r="J148" s="1672"/>
      <c r="K148" s="1677">
        <f>SUM(H148)</f>
        <v>0</v>
      </c>
      <c r="L148" s="1598"/>
    </row>
    <row r="149" spans="1:14" ht="12.75" customHeight="1" thickBot="1" x14ac:dyDescent="0.25">
      <c r="A149" s="1277"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4" t="s">
        <v>1031</v>
      </c>
      <c r="B150" s="1351" t="s">
        <v>856</v>
      </c>
      <c r="C150" s="1672"/>
      <c r="D150" s="1672"/>
      <c r="E150" s="1672"/>
      <c r="F150" s="1672"/>
      <c r="G150" s="1672"/>
      <c r="H150" s="1697"/>
      <c r="I150" s="1616"/>
      <c r="J150" s="1672"/>
      <c r="K150" s="1675"/>
      <c r="L150" s="1648"/>
    </row>
    <row r="151" spans="1:14" ht="12.75" customHeight="1" thickTop="1" thickBot="1" x14ac:dyDescent="0.25">
      <c r="A151" s="2283" t="s">
        <v>616</v>
      </c>
      <c r="B151" s="2254"/>
      <c r="C151" s="1673">
        <f>SUM(C129,C130,C139,C149,C150)</f>
        <v>312392</v>
      </c>
      <c r="D151" s="1673">
        <f t="shared" ref="D151:K151" si="16">SUM(D129,D130,D139,D149,D150)</f>
        <v>33810</v>
      </c>
      <c r="E151" s="1673">
        <f t="shared" si="16"/>
        <v>126768</v>
      </c>
      <c r="F151" s="1673">
        <f t="shared" si="16"/>
        <v>272038</v>
      </c>
      <c r="G151" s="1673">
        <f t="shared" si="16"/>
        <v>8144</v>
      </c>
      <c r="H151" s="1673">
        <f t="shared" si="16"/>
        <v>0</v>
      </c>
      <c r="I151" s="1673">
        <f t="shared" si="16"/>
        <v>8887</v>
      </c>
      <c r="J151" s="1673">
        <f t="shared" si="16"/>
        <v>0</v>
      </c>
      <c r="K151" s="1673">
        <f t="shared" si="16"/>
        <v>762039</v>
      </c>
      <c r="L151" s="1673">
        <f>SUM(L129,L130,L139,L149,L150)</f>
        <v>925465</v>
      </c>
    </row>
    <row r="152" spans="1:14" ht="12.75" customHeight="1" thickTop="1" x14ac:dyDescent="0.2">
      <c r="A152" s="2261" t="s">
        <v>1170</v>
      </c>
      <c r="B152" s="2262"/>
      <c r="C152" s="1674"/>
      <c r="D152" s="1674"/>
      <c r="E152" s="1674"/>
      <c r="F152" s="1674"/>
      <c r="G152" s="1674"/>
      <c r="H152" s="1674"/>
      <c r="I152" s="1674"/>
      <c r="J152" s="1672"/>
      <c r="K152" s="1688">
        <f>'Revenues 9-14'!D268-'Expenditures 15-22'!K151</f>
        <v>869486</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71" t="s">
        <v>617</v>
      </c>
      <c r="B154" s="2273"/>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855</v>
      </c>
      <c r="C155" s="1672"/>
      <c r="D155" s="1672"/>
      <c r="E155" s="1672"/>
      <c r="F155" s="1672"/>
      <c r="G155" s="1672"/>
      <c r="H155" s="1698"/>
      <c r="I155" s="1672"/>
      <c r="J155" s="1672"/>
      <c r="K155" s="1699"/>
      <c r="L155" s="1698"/>
      <c r="M155" s="505"/>
      <c r="N155" s="505"/>
    </row>
    <row r="156" spans="1:14" s="506" customFormat="1" ht="15.75" customHeight="1" thickTop="1" x14ac:dyDescent="0.2">
      <c r="A156" s="1460" t="s">
        <v>1820</v>
      </c>
      <c r="B156" s="1461"/>
      <c r="C156" s="1672"/>
      <c r="D156" s="1672"/>
      <c r="E156" s="1672"/>
      <c r="F156" s="1672"/>
      <c r="G156" s="1672"/>
      <c r="H156" s="1700"/>
      <c r="I156" s="1672"/>
      <c r="J156" s="1672"/>
      <c r="K156" s="1701"/>
      <c r="L156" s="1700"/>
      <c r="M156" s="505"/>
      <c r="N156" s="505"/>
    </row>
    <row r="157" spans="1:14" s="506" customFormat="1" ht="12" x14ac:dyDescent="0.2">
      <c r="A157" s="1462" t="s">
        <v>493</v>
      </c>
      <c r="B157" s="1463" t="s">
        <v>1819</v>
      </c>
      <c r="C157" s="1672"/>
      <c r="D157" s="1672"/>
      <c r="E157" s="1672"/>
      <c r="F157" s="1672"/>
      <c r="G157" s="1672"/>
      <c r="H157" s="1684"/>
      <c r="I157" s="1672"/>
      <c r="J157" s="1672"/>
      <c r="K157" s="1671">
        <f>H157</f>
        <v>0</v>
      </c>
      <c r="L157" s="1573"/>
      <c r="M157" s="505"/>
      <c r="N157" s="505"/>
    </row>
    <row r="158" spans="1:14" s="506" customFormat="1" ht="12" x14ac:dyDescent="0.2">
      <c r="A158" s="1462" t="s">
        <v>301</v>
      </c>
      <c r="B158" s="1463" t="s">
        <v>1821</v>
      </c>
      <c r="C158" s="1672"/>
      <c r="D158" s="1672"/>
      <c r="E158" s="1672"/>
      <c r="F158" s="1672"/>
      <c r="G158" s="1672"/>
      <c r="H158" s="1573"/>
      <c r="I158" s="1672"/>
      <c r="J158" s="1672"/>
      <c r="K158" s="1671">
        <f>H158</f>
        <v>0</v>
      </c>
      <c r="L158" s="1573"/>
      <c r="M158" s="505"/>
      <c r="N158" s="505"/>
    </row>
    <row r="159" spans="1:14" s="506" customFormat="1" ht="12" x14ac:dyDescent="0.2">
      <c r="A159" s="1462" t="s">
        <v>1822</v>
      </c>
      <c r="B159" s="1463"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4" t="s">
        <v>1823</v>
      </c>
      <c r="B160" s="1465"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50" t="s">
        <v>82</v>
      </c>
      <c r="B161" s="1351"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2"/>
      <c r="I163" s="1672"/>
      <c r="J163" s="1672"/>
      <c r="K163" s="1671">
        <f>SUM(C163:J163)</f>
        <v>0</v>
      </c>
      <c r="L163" s="1572"/>
    </row>
    <row r="164" spans="1:14" x14ac:dyDescent="0.2">
      <c r="A164" s="1274" t="s">
        <v>88</v>
      </c>
      <c r="B164" s="503">
        <v>5120</v>
      </c>
      <c r="C164" s="1672"/>
      <c r="D164" s="1672"/>
      <c r="E164" s="1672"/>
      <c r="F164" s="1672"/>
      <c r="G164" s="1672"/>
      <c r="H164" s="1572"/>
      <c r="I164" s="1672"/>
      <c r="J164" s="1672"/>
      <c r="K164" s="1671">
        <f>SUM(C164:J164)</f>
        <v>0</v>
      </c>
      <c r="L164" s="1572"/>
    </row>
    <row r="165" spans="1:14" ht="12.75" customHeight="1" x14ac:dyDescent="0.2">
      <c r="A165" s="1274" t="s">
        <v>1162</v>
      </c>
      <c r="B165" s="503" t="s">
        <v>613</v>
      </c>
      <c r="C165" s="1672"/>
      <c r="D165" s="1672"/>
      <c r="E165" s="1672"/>
      <c r="F165" s="1672"/>
      <c r="G165" s="1672"/>
      <c r="H165" s="1572"/>
      <c r="I165" s="1672"/>
      <c r="J165" s="1672"/>
      <c r="K165" s="1671">
        <f>SUM(C165:J165)</f>
        <v>0</v>
      </c>
      <c r="L165" s="1572"/>
    </row>
    <row r="166" spans="1:14" x14ac:dyDescent="0.2">
      <c r="A166" s="1274" t="s">
        <v>89</v>
      </c>
      <c r="B166" s="512" t="s">
        <v>585</v>
      </c>
      <c r="C166" s="1672"/>
      <c r="D166" s="1672"/>
      <c r="E166" s="1672"/>
      <c r="F166" s="1672"/>
      <c r="G166" s="1672"/>
      <c r="H166" s="1572"/>
      <c r="I166" s="1672"/>
      <c r="J166" s="1672"/>
      <c r="K166" s="1671">
        <f>SUM(C166:J166)</f>
        <v>0</v>
      </c>
      <c r="L166" s="1572"/>
    </row>
    <row r="167" spans="1:14" ht="12.75" customHeight="1" x14ac:dyDescent="0.2">
      <c r="A167" s="1274" t="s">
        <v>615</v>
      </c>
      <c r="B167" s="503" t="s">
        <v>614</v>
      </c>
      <c r="C167" s="1672"/>
      <c r="D167" s="1672"/>
      <c r="E167" s="1672"/>
      <c r="F167" s="1672"/>
      <c r="G167" s="1672"/>
      <c r="H167" s="1572"/>
      <c r="I167" s="1672"/>
      <c r="J167" s="1672"/>
      <c r="K167" s="1671">
        <f>SUM(C167:J167)</f>
        <v>0</v>
      </c>
      <c r="L167" s="1572"/>
    </row>
    <row r="168" spans="1:14" ht="13.5" thickBot="1" x14ac:dyDescent="0.25">
      <c r="A168" s="1380" t="s">
        <v>274</v>
      </c>
      <c r="B168" s="1383"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42950</v>
      </c>
      <c r="I169" s="1672"/>
      <c r="J169" s="1672"/>
      <c r="K169" s="1671">
        <f>SUM(C169:H169)</f>
        <v>42950</v>
      </c>
      <c r="L169" s="1694">
        <v>0</v>
      </c>
    </row>
    <row r="170" spans="1:14" ht="33.75" customHeight="1" x14ac:dyDescent="0.2">
      <c r="A170" s="543" t="s">
        <v>1654</v>
      </c>
      <c r="B170" s="545" t="s">
        <v>31</v>
      </c>
      <c r="C170" s="1672"/>
      <c r="D170" s="1672"/>
      <c r="E170" s="1672"/>
      <c r="F170" s="1672"/>
      <c r="G170" s="1672"/>
      <c r="H170" s="1645">
        <v>560000</v>
      </c>
      <c r="I170" s="1672"/>
      <c r="J170" s="1672"/>
      <c r="K170" s="1671">
        <f>SUM(C170:J170)</f>
        <v>560000</v>
      </c>
      <c r="L170" s="1645">
        <v>604000</v>
      </c>
    </row>
    <row r="171" spans="1:14" ht="15.75" customHeight="1" x14ac:dyDescent="0.2">
      <c r="A171" s="507" t="s">
        <v>761</v>
      </c>
      <c r="B171" s="546" t="s">
        <v>84</v>
      </c>
      <c r="C171" s="1672"/>
      <c r="D171" s="1672"/>
      <c r="E171" s="1572">
        <v>675</v>
      </c>
      <c r="F171" s="1672"/>
      <c r="G171" s="1672"/>
      <c r="H171" s="1645"/>
      <c r="I171" s="1581"/>
      <c r="J171" s="1672"/>
      <c r="K171" s="1671">
        <f>SUM(C171:J171)</f>
        <v>675</v>
      </c>
      <c r="L171" s="1645">
        <v>0</v>
      </c>
    </row>
    <row r="172" spans="1:14" ht="12.75" customHeight="1" thickBot="1" x14ac:dyDescent="0.25">
      <c r="A172" s="1380" t="s">
        <v>633</v>
      </c>
      <c r="B172" s="1381" t="s">
        <v>489</v>
      </c>
      <c r="C172" s="1672"/>
      <c r="D172" s="1672"/>
      <c r="E172" s="1680">
        <f>SUM(E168,E169,E170,E171)</f>
        <v>675</v>
      </c>
      <c r="F172" s="1672"/>
      <c r="G172" s="1672"/>
      <c r="H172" s="1680">
        <f>SUM(H168,H169,H170,H171)</f>
        <v>602950</v>
      </c>
      <c r="I172" s="1683"/>
      <c r="J172" s="1672"/>
      <c r="K172" s="1680">
        <f>SUM(K168,K169,K170,K171)</f>
        <v>603625</v>
      </c>
      <c r="L172" s="1680">
        <f>SUM(L168,L169,L170,L171)</f>
        <v>604000</v>
      </c>
    </row>
    <row r="173" spans="1:14" ht="15.75" customHeight="1" thickTop="1" thickBot="1" x14ac:dyDescent="0.25">
      <c r="A173" s="1357" t="s">
        <v>85</v>
      </c>
      <c r="B173" s="1349" t="s">
        <v>856</v>
      </c>
      <c r="C173" s="1672"/>
      <c r="D173" s="1672"/>
      <c r="E173" s="1675"/>
      <c r="F173" s="1672"/>
      <c r="G173" s="1672"/>
      <c r="H173" s="1676"/>
      <c r="I173" s="1683"/>
      <c r="J173" s="1672"/>
      <c r="K173" s="1675"/>
      <c r="L173" s="1650"/>
    </row>
    <row r="174" spans="1:14" ht="12.75" customHeight="1" thickTop="1" thickBot="1" x14ac:dyDescent="0.25">
      <c r="A174" s="1391" t="s">
        <v>90</v>
      </c>
      <c r="B174" s="1392"/>
      <c r="C174" s="1672"/>
      <c r="D174" s="1672"/>
      <c r="E174" s="1680">
        <f>SUM(E172,E173)</f>
        <v>675</v>
      </c>
      <c r="F174" s="1672"/>
      <c r="G174" s="1672"/>
      <c r="H174" s="1680">
        <f>SUM(H160,H172,H173)</f>
        <v>602950</v>
      </c>
      <c r="I174" s="1683"/>
      <c r="J174" s="1672"/>
      <c r="K174" s="1680">
        <f>SUM(K160,K172,K173)</f>
        <v>603625</v>
      </c>
      <c r="L174" s="1680">
        <f>SUM(L160,L172,L173)</f>
        <v>604000</v>
      </c>
    </row>
    <row r="175" spans="1:14" ht="13.5" thickTop="1" x14ac:dyDescent="0.2">
      <c r="A175" s="2257" t="s">
        <v>989</v>
      </c>
      <c r="B175" s="2258"/>
      <c r="C175" s="1672"/>
      <c r="D175" s="1672"/>
      <c r="E175" s="1672"/>
      <c r="F175" s="1672"/>
      <c r="G175" s="1672"/>
      <c r="H175" s="1674"/>
      <c r="I175" s="1672"/>
      <c r="J175" s="1672"/>
      <c r="K175" s="1688">
        <f>'Revenues 9-14'!E268-'Expenditures 15-22'!K174</f>
        <v>-603625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931</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932</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4" t="s">
        <v>1966</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4" t="s">
        <v>947</v>
      </c>
      <c r="B182" s="503">
        <v>2550</v>
      </c>
      <c r="C182" s="1572">
        <v>52145</v>
      </c>
      <c r="D182" s="1572">
        <v>7327</v>
      </c>
      <c r="E182" s="1572">
        <f>442632-81</f>
        <v>442551</v>
      </c>
      <c r="F182" s="1572">
        <f>63106+337</f>
        <v>63443</v>
      </c>
      <c r="G182" s="1572">
        <f>337-337</f>
        <v>0</v>
      </c>
      <c r="H182" s="1572"/>
      <c r="I182" s="1573"/>
      <c r="J182" s="1573"/>
      <c r="K182" s="1671">
        <f>SUM(C182:J182)</f>
        <v>565466</v>
      </c>
      <c r="L182" s="1572">
        <v>700700</v>
      </c>
    </row>
    <row r="183" spans="1:14" ht="12.75" customHeight="1" thickBot="1" x14ac:dyDescent="0.25">
      <c r="A183" s="1279"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3" t="s">
        <v>806</v>
      </c>
      <c r="B184" s="1381" t="s">
        <v>565</v>
      </c>
      <c r="C184" s="1680">
        <f>SUM(C180,C182,C183)</f>
        <v>52145</v>
      </c>
      <c r="D184" s="1680">
        <f t="shared" ref="D184:J184" si="17">SUM(D180,D182,D183)</f>
        <v>7327</v>
      </c>
      <c r="E184" s="1680">
        <f t="shared" si="17"/>
        <v>442551</v>
      </c>
      <c r="F184" s="1680">
        <f t="shared" si="17"/>
        <v>63443</v>
      </c>
      <c r="G184" s="1680">
        <f t="shared" si="17"/>
        <v>0</v>
      </c>
      <c r="H184" s="1680">
        <f t="shared" si="17"/>
        <v>0</v>
      </c>
      <c r="I184" s="1680">
        <f t="shared" si="17"/>
        <v>0</v>
      </c>
      <c r="J184" s="1680">
        <f t="shared" si="17"/>
        <v>0</v>
      </c>
      <c r="K184" s="1680">
        <f>SUM(K180,K182,K183)</f>
        <v>565466</v>
      </c>
      <c r="L184" s="1680">
        <f>SUM(L180, L182:L183)</f>
        <v>700700</v>
      </c>
    </row>
    <row r="185" spans="1:14" ht="15.75" customHeight="1" thickTop="1" thickBot="1" x14ac:dyDescent="0.25">
      <c r="A185" s="1360" t="s">
        <v>933</v>
      </c>
      <c r="B185" s="1349">
        <v>3000</v>
      </c>
      <c r="C185" s="1650"/>
      <c r="D185" s="1650"/>
      <c r="E185" s="1650"/>
      <c r="F185" s="1650"/>
      <c r="G185" s="1650"/>
      <c r="H185" s="1650"/>
      <c r="I185" s="1626"/>
      <c r="J185" s="1626"/>
      <c r="K185" s="1673">
        <f>SUM(C185:J185)</f>
        <v>0</v>
      </c>
      <c r="L185" s="1650"/>
    </row>
    <row r="186" spans="1:14" s="548" customFormat="1" ht="15.75" customHeight="1" thickTop="1" x14ac:dyDescent="0.2">
      <c r="A186" s="1344" t="s">
        <v>91</v>
      </c>
      <c r="B186" s="1347"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4" t="s">
        <v>493</v>
      </c>
      <c r="B188" s="503">
        <v>4110</v>
      </c>
      <c r="C188" s="1672"/>
      <c r="D188" s="1672"/>
      <c r="E188" s="1572"/>
      <c r="F188" s="1672"/>
      <c r="G188" s="1672"/>
      <c r="H188" s="1572"/>
      <c r="I188" s="1581"/>
      <c r="J188" s="1672"/>
      <c r="K188" s="1671">
        <f t="shared" ref="K188:K193" si="18">SUM(E188,H188)</f>
        <v>0</v>
      </c>
      <c r="L188" s="1572"/>
    </row>
    <row r="189" spans="1:14" x14ac:dyDescent="0.2">
      <c r="A189" s="1274" t="s">
        <v>301</v>
      </c>
      <c r="B189" s="503">
        <v>4120</v>
      </c>
      <c r="C189" s="1672"/>
      <c r="D189" s="1672"/>
      <c r="E189" s="1572"/>
      <c r="F189" s="1672"/>
      <c r="G189" s="1672"/>
      <c r="H189" s="1572"/>
      <c r="I189" s="1581"/>
      <c r="J189" s="1672"/>
      <c r="K189" s="1671">
        <f t="shared" si="18"/>
        <v>0</v>
      </c>
      <c r="L189" s="1572"/>
    </row>
    <row r="190" spans="1:14" x14ac:dyDescent="0.2">
      <c r="A190" s="1274" t="s">
        <v>302</v>
      </c>
      <c r="B190" s="512">
        <v>4130</v>
      </c>
      <c r="C190" s="1672"/>
      <c r="D190" s="1672"/>
      <c r="E190" s="1572"/>
      <c r="F190" s="1672"/>
      <c r="G190" s="1672"/>
      <c r="H190" s="1572"/>
      <c r="I190" s="1581"/>
      <c r="J190" s="1672"/>
      <c r="K190" s="1671">
        <f t="shared" si="18"/>
        <v>0</v>
      </c>
      <c r="L190" s="1572"/>
    </row>
    <row r="191" spans="1:14" x14ac:dyDescent="0.2">
      <c r="A191" s="1274" t="s">
        <v>692</v>
      </c>
      <c r="B191" s="503">
        <v>4140</v>
      </c>
      <c r="C191" s="1672"/>
      <c r="D191" s="1672"/>
      <c r="E191" s="1572"/>
      <c r="F191" s="1672"/>
      <c r="G191" s="1672"/>
      <c r="H191" s="1572"/>
      <c r="I191" s="1581"/>
      <c r="J191" s="1672"/>
      <c r="K191" s="1671">
        <f t="shared" si="18"/>
        <v>0</v>
      </c>
      <c r="L191" s="1572"/>
    </row>
    <row r="192" spans="1:14" x14ac:dyDescent="0.2">
      <c r="A192" s="1274" t="s">
        <v>86</v>
      </c>
      <c r="B192" s="503">
        <v>4170</v>
      </c>
      <c r="C192" s="1672"/>
      <c r="D192" s="1672"/>
      <c r="E192" s="1572"/>
      <c r="F192" s="1672"/>
      <c r="G192" s="1672"/>
      <c r="H192" s="1572"/>
      <c r="I192" s="1581"/>
      <c r="J192" s="1672"/>
      <c r="K192" s="1671">
        <f t="shared" si="18"/>
        <v>0</v>
      </c>
      <c r="L192" s="1572"/>
    </row>
    <row r="193" spans="1:14" x14ac:dyDescent="0.2">
      <c r="A193" s="1278" t="s">
        <v>693</v>
      </c>
      <c r="B193" s="512">
        <v>4190</v>
      </c>
      <c r="C193" s="1672"/>
      <c r="D193" s="1672"/>
      <c r="E193" s="1572"/>
      <c r="F193" s="1672"/>
      <c r="G193" s="1672"/>
      <c r="H193" s="1572"/>
      <c r="I193" s="1581"/>
      <c r="J193" s="1672"/>
      <c r="K193" s="1671">
        <f t="shared" si="18"/>
        <v>0</v>
      </c>
      <c r="L193" s="1572"/>
    </row>
    <row r="194" spans="1:14" ht="12.75" customHeight="1" thickBot="1" x14ac:dyDescent="0.25">
      <c r="A194" s="1380" t="s">
        <v>1132</v>
      </c>
      <c r="B194" s="1381"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80" t="s">
        <v>1473</v>
      </c>
      <c r="B196" s="1381"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50" t="s">
        <v>934</v>
      </c>
      <c r="B197" s="1347"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2"/>
      <c r="I199" s="1672"/>
      <c r="J199" s="1672"/>
      <c r="K199" s="1671">
        <f>SUM(H199)</f>
        <v>0</v>
      </c>
      <c r="L199" s="1572"/>
    </row>
    <row r="200" spans="1:14" x14ac:dyDescent="0.2">
      <c r="A200" s="1274" t="s">
        <v>88</v>
      </c>
      <c r="B200" s="503">
        <v>5120</v>
      </c>
      <c r="C200" s="1672"/>
      <c r="D200" s="1672"/>
      <c r="E200" s="1672"/>
      <c r="F200" s="1672"/>
      <c r="G200" s="1672"/>
      <c r="H200" s="1572"/>
      <c r="I200" s="1672"/>
      <c r="J200" s="1672"/>
      <c r="K200" s="1671">
        <f>SUM(H200)</f>
        <v>0</v>
      </c>
      <c r="L200" s="1572"/>
    </row>
    <row r="201" spans="1:14" ht="12.75" customHeight="1" x14ac:dyDescent="0.2">
      <c r="A201" s="1274" t="s">
        <v>1162</v>
      </c>
      <c r="B201" s="512" t="s">
        <v>613</v>
      </c>
      <c r="C201" s="1672"/>
      <c r="D201" s="1672"/>
      <c r="E201" s="1672"/>
      <c r="F201" s="1672"/>
      <c r="G201" s="1672"/>
      <c r="H201" s="1572"/>
      <c r="I201" s="1672"/>
      <c r="J201" s="1672"/>
      <c r="K201" s="1671">
        <f>SUM(H201)</f>
        <v>0</v>
      </c>
      <c r="L201" s="1572"/>
    </row>
    <row r="202" spans="1:14" x14ac:dyDescent="0.2">
      <c r="A202" s="1274" t="s">
        <v>89</v>
      </c>
      <c r="B202" s="503" t="s">
        <v>585</v>
      </c>
      <c r="C202" s="1672"/>
      <c r="D202" s="1672"/>
      <c r="E202" s="1672"/>
      <c r="F202" s="1672"/>
      <c r="G202" s="1672"/>
      <c r="H202" s="1572"/>
      <c r="I202" s="1672"/>
      <c r="J202" s="1672"/>
      <c r="K202" s="1671">
        <f>SUM(H202)</f>
        <v>0</v>
      </c>
      <c r="L202" s="1572"/>
    </row>
    <row r="203" spans="1:14" x14ac:dyDescent="0.2">
      <c r="A203" s="1286" t="s">
        <v>615</v>
      </c>
      <c r="B203" s="503" t="s">
        <v>614</v>
      </c>
      <c r="C203" s="1672"/>
      <c r="D203" s="1672"/>
      <c r="E203" s="1672"/>
      <c r="F203" s="1672"/>
      <c r="G203" s="1672"/>
      <c r="H203" s="1576"/>
      <c r="I203" s="1672"/>
      <c r="J203" s="1672"/>
      <c r="K203" s="1671">
        <f>SUM(H203)</f>
        <v>0</v>
      </c>
      <c r="L203" s="1576"/>
    </row>
    <row r="204" spans="1:14" ht="13.5" thickBot="1" x14ac:dyDescent="0.25">
      <c r="A204" s="1380" t="s">
        <v>274</v>
      </c>
      <c r="B204" s="1381"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1655</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9" t="s">
        <v>633</v>
      </c>
      <c r="B208" s="1390"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867</v>
      </c>
      <c r="B209" s="1351" t="s">
        <v>856</v>
      </c>
      <c r="C209" s="1675"/>
      <c r="D209" s="1675"/>
      <c r="E209" s="1675"/>
      <c r="F209" s="1675"/>
      <c r="G209" s="1675"/>
      <c r="H209" s="1675"/>
      <c r="I209" s="1672"/>
      <c r="J209" s="1672"/>
      <c r="K209" s="1675"/>
      <c r="L209" s="1650"/>
    </row>
    <row r="210" spans="1:14" ht="12.75" customHeight="1" thickTop="1" thickBot="1" x14ac:dyDescent="0.25">
      <c r="A210" s="1394" t="s">
        <v>275</v>
      </c>
      <c r="B210" s="1395"/>
      <c r="C210" s="1673">
        <f>SUM(C184,C185)</f>
        <v>52145</v>
      </c>
      <c r="D210" s="1673">
        <f>SUM(D184,D185)</f>
        <v>7327</v>
      </c>
      <c r="E210" s="1673">
        <f>SUM(E184,E185,E196)</f>
        <v>442551</v>
      </c>
      <c r="F210" s="1673">
        <f>SUM(F184,F185)</f>
        <v>63443</v>
      </c>
      <c r="G210" s="1673">
        <f>SUM(G184,G185)</f>
        <v>0</v>
      </c>
      <c r="H210" s="1673">
        <f>SUM(H184,H185,H196,H208,H209)</f>
        <v>0</v>
      </c>
      <c r="I210" s="1673">
        <f>SUM(I184,I185)</f>
        <v>0</v>
      </c>
      <c r="J210" s="1673">
        <f>SUM(J184,J185)</f>
        <v>0</v>
      </c>
      <c r="K210" s="1671">
        <f>SUM(K184,K185,K196,K208,K209)</f>
        <v>565466</v>
      </c>
      <c r="L210" s="1673">
        <f>SUM(L184,L185,L196,L208,L209)</f>
        <v>700700</v>
      </c>
    </row>
    <row r="211" spans="1:14" ht="13.5" thickTop="1" x14ac:dyDescent="0.2">
      <c r="A211" s="2257" t="s">
        <v>989</v>
      </c>
      <c r="B211" s="2258"/>
      <c r="C211" s="1674"/>
      <c r="D211" s="1674"/>
      <c r="E211" s="1674"/>
      <c r="F211" s="1674"/>
      <c r="G211" s="1674"/>
      <c r="H211" s="1674"/>
      <c r="I211" s="1672"/>
      <c r="J211" s="1672"/>
      <c r="K211" s="1688">
        <f>'Revenues 9-14'!F268-'Expenditures 15-22'!K210</f>
        <v>345756</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63" t="s">
        <v>959</v>
      </c>
      <c r="B213" s="2264"/>
      <c r="C213" s="1702"/>
      <c r="D213" s="1703"/>
      <c r="E213" s="1703"/>
      <c r="F213" s="1703"/>
      <c r="G213" s="1703"/>
      <c r="H213" s="1703"/>
      <c r="I213" s="1703"/>
      <c r="J213" s="1703"/>
      <c r="K213" s="1703"/>
      <c r="L213" s="1704"/>
      <c r="M213" s="501"/>
      <c r="N213" s="501"/>
    </row>
    <row r="214" spans="1:14" s="548" customFormat="1" ht="15.75" customHeight="1" x14ac:dyDescent="0.2">
      <c r="A214" s="1361" t="s">
        <v>868</v>
      </c>
      <c r="B214" s="1353" t="s">
        <v>566</v>
      </c>
      <c r="C214" s="1672"/>
      <c r="D214" s="1675"/>
      <c r="E214" s="1672"/>
      <c r="F214" s="1672"/>
      <c r="G214" s="1672"/>
      <c r="H214" s="1672"/>
      <c r="I214" s="1672"/>
      <c r="J214" s="1672"/>
      <c r="K214" s="1675"/>
      <c r="L214" s="1675"/>
      <c r="M214" s="539"/>
      <c r="N214" s="539"/>
    </row>
    <row r="215" spans="1:14" x14ac:dyDescent="0.2">
      <c r="A215" s="1274" t="s">
        <v>955</v>
      </c>
      <c r="B215" s="503">
        <v>1100</v>
      </c>
      <c r="C215" s="1672"/>
      <c r="D215" s="1572">
        <v>29099</v>
      </c>
      <c r="E215" s="1672"/>
      <c r="F215" s="1672"/>
      <c r="G215" s="1672"/>
      <c r="H215" s="1672"/>
      <c r="I215" s="1672"/>
      <c r="J215" s="1672"/>
      <c r="K215" s="1671">
        <f>D215</f>
        <v>29099</v>
      </c>
      <c r="L215" s="1572">
        <v>15900</v>
      </c>
    </row>
    <row r="216" spans="1:14" x14ac:dyDescent="0.2">
      <c r="A216" s="1274" t="s">
        <v>162</v>
      </c>
      <c r="B216" s="503" t="s">
        <v>961</v>
      </c>
      <c r="C216" s="1672"/>
      <c r="D216" s="1573"/>
      <c r="E216" s="1672"/>
      <c r="F216" s="1672"/>
      <c r="G216" s="1672"/>
      <c r="H216" s="1672"/>
      <c r="I216" s="1672"/>
      <c r="J216" s="1672"/>
      <c r="K216" s="1671">
        <f t="shared" ref="K216:K228" si="19">D216</f>
        <v>0</v>
      </c>
      <c r="L216" s="1572">
        <v>27550</v>
      </c>
    </row>
    <row r="217" spans="1:14" x14ac:dyDescent="0.2">
      <c r="A217" s="1274" t="s">
        <v>163</v>
      </c>
      <c r="B217" s="503">
        <v>1200</v>
      </c>
      <c r="C217" s="1672"/>
      <c r="D217" s="1572">
        <v>54419</v>
      </c>
      <c r="E217" s="1672"/>
      <c r="F217" s="1672"/>
      <c r="G217" s="1672"/>
      <c r="H217" s="1672"/>
      <c r="I217" s="1672"/>
      <c r="J217" s="1672"/>
      <c r="K217" s="1671">
        <f t="shared" si="19"/>
        <v>54419</v>
      </c>
      <c r="L217" s="1572">
        <v>47350</v>
      </c>
    </row>
    <row r="218" spans="1:14" x14ac:dyDescent="0.2">
      <c r="A218" s="1274" t="s">
        <v>276</v>
      </c>
      <c r="B218" s="503" t="s">
        <v>962</v>
      </c>
      <c r="C218" s="1672"/>
      <c r="D218" s="1573"/>
      <c r="E218" s="1672"/>
      <c r="F218" s="1672"/>
      <c r="G218" s="1672"/>
      <c r="H218" s="1672"/>
      <c r="I218" s="1672"/>
      <c r="J218" s="1672"/>
      <c r="K218" s="1671">
        <f t="shared" si="19"/>
        <v>0</v>
      </c>
      <c r="L218" s="1572"/>
    </row>
    <row r="219" spans="1:14" x14ac:dyDescent="0.2">
      <c r="A219" s="1274" t="s">
        <v>277</v>
      </c>
      <c r="B219" s="503">
        <v>1250</v>
      </c>
      <c r="C219" s="1672"/>
      <c r="D219" s="1572">
        <v>18015</v>
      </c>
      <c r="E219" s="1672"/>
      <c r="F219" s="1672"/>
      <c r="G219" s="1672"/>
      <c r="H219" s="1672"/>
      <c r="I219" s="1672"/>
      <c r="J219" s="1672"/>
      <c r="K219" s="1671">
        <f t="shared" si="19"/>
        <v>18015</v>
      </c>
      <c r="L219" s="1572">
        <v>3000</v>
      </c>
    </row>
    <row r="220" spans="1:14" x14ac:dyDescent="0.2">
      <c r="A220" s="1274" t="s">
        <v>278</v>
      </c>
      <c r="B220" s="503" t="s">
        <v>160</v>
      </c>
      <c r="C220" s="1672"/>
      <c r="D220" s="1573"/>
      <c r="E220" s="1672"/>
      <c r="F220" s="1672"/>
      <c r="G220" s="1672"/>
      <c r="H220" s="1672"/>
      <c r="I220" s="1672"/>
      <c r="J220" s="1672"/>
      <c r="K220" s="1671">
        <f t="shared" si="19"/>
        <v>0</v>
      </c>
      <c r="L220" s="1572"/>
    </row>
    <row r="221" spans="1:14" x14ac:dyDescent="0.2">
      <c r="A221" s="1274" t="s">
        <v>956</v>
      </c>
      <c r="B221" s="503">
        <v>1300</v>
      </c>
      <c r="C221" s="1672"/>
      <c r="D221" s="1572"/>
      <c r="E221" s="1672"/>
      <c r="F221" s="1672"/>
      <c r="G221" s="1672"/>
      <c r="H221" s="1672"/>
      <c r="I221" s="1672"/>
      <c r="J221" s="1672"/>
      <c r="K221" s="1671">
        <f t="shared" si="19"/>
        <v>0</v>
      </c>
      <c r="L221" s="1572"/>
    </row>
    <row r="222" spans="1:14" x14ac:dyDescent="0.2">
      <c r="A222" s="1274" t="s">
        <v>718</v>
      </c>
      <c r="B222" s="503">
        <v>1400</v>
      </c>
      <c r="C222" s="1672"/>
      <c r="D222" s="1572">
        <f>37498-19406-13081+170</f>
        <v>5181</v>
      </c>
      <c r="E222" s="1672"/>
      <c r="F222" s="1672"/>
      <c r="G222" s="1672"/>
      <c r="H222" s="1672"/>
      <c r="I222" s="1672"/>
      <c r="J222" s="1672"/>
      <c r="K222" s="1671">
        <f t="shared" si="19"/>
        <v>5181</v>
      </c>
      <c r="L222" s="1572">
        <v>5400</v>
      </c>
    </row>
    <row r="223" spans="1:14" x14ac:dyDescent="0.2">
      <c r="A223" s="1274" t="s">
        <v>957</v>
      </c>
      <c r="B223" s="503">
        <v>1500</v>
      </c>
      <c r="C223" s="1672"/>
      <c r="D223" s="1572">
        <v>24984</v>
      </c>
      <c r="E223" s="1672"/>
      <c r="F223" s="1672"/>
      <c r="G223" s="1672"/>
      <c r="H223" s="1672"/>
      <c r="I223" s="1672"/>
      <c r="J223" s="1672"/>
      <c r="K223" s="1671">
        <f t="shared" si="19"/>
        <v>24984</v>
      </c>
      <c r="L223" s="1572">
        <v>24175</v>
      </c>
    </row>
    <row r="224" spans="1:14" x14ac:dyDescent="0.2">
      <c r="A224" s="1274" t="s">
        <v>958</v>
      </c>
      <c r="B224" s="503">
        <v>1600</v>
      </c>
      <c r="C224" s="1672"/>
      <c r="D224" s="1572">
        <v>195</v>
      </c>
      <c r="E224" s="1672"/>
      <c r="F224" s="1672"/>
      <c r="G224" s="1672"/>
      <c r="H224" s="1672"/>
      <c r="I224" s="1672"/>
      <c r="J224" s="1672"/>
      <c r="K224" s="1671">
        <f t="shared" si="19"/>
        <v>195</v>
      </c>
      <c r="L224" s="1572">
        <v>350</v>
      </c>
    </row>
    <row r="225" spans="1:12" x14ac:dyDescent="0.2">
      <c r="A225" s="1274" t="s">
        <v>980</v>
      </c>
      <c r="B225" s="503">
        <v>1650</v>
      </c>
      <c r="C225" s="1672"/>
      <c r="D225" s="1572"/>
      <c r="E225" s="1672"/>
      <c r="F225" s="1672"/>
      <c r="G225" s="1672"/>
      <c r="H225" s="1672"/>
      <c r="I225" s="1672"/>
      <c r="J225" s="1672"/>
      <c r="K225" s="1671">
        <f t="shared" si="19"/>
        <v>0</v>
      </c>
      <c r="L225" s="1572"/>
    </row>
    <row r="226" spans="1:12" x14ac:dyDescent="0.2">
      <c r="A226" s="1274" t="s">
        <v>719</v>
      </c>
      <c r="B226" s="503" t="s">
        <v>161</v>
      </c>
      <c r="C226" s="1672"/>
      <c r="D226" s="1573">
        <v>1766</v>
      </c>
      <c r="E226" s="1672"/>
      <c r="F226" s="1672"/>
      <c r="G226" s="1672"/>
      <c r="H226" s="1672"/>
      <c r="I226" s="1672"/>
      <c r="J226" s="1672"/>
      <c r="K226" s="1671">
        <f t="shared" si="19"/>
        <v>1766</v>
      </c>
      <c r="L226" s="1572">
        <v>1725</v>
      </c>
    </row>
    <row r="227" spans="1:12" x14ac:dyDescent="0.2">
      <c r="A227" s="1274" t="s">
        <v>1080</v>
      </c>
      <c r="B227" s="503">
        <v>1800</v>
      </c>
      <c r="C227" s="1672"/>
      <c r="D227" s="1572"/>
      <c r="E227" s="1672"/>
      <c r="F227" s="1672"/>
      <c r="G227" s="1672"/>
      <c r="H227" s="1672"/>
      <c r="I227" s="1672"/>
      <c r="J227" s="1672"/>
      <c r="K227" s="1671">
        <f t="shared" si="19"/>
        <v>0</v>
      </c>
      <c r="L227" s="1572"/>
    </row>
    <row r="228" spans="1:12" x14ac:dyDescent="0.2">
      <c r="A228" s="1274" t="s">
        <v>1081</v>
      </c>
      <c r="B228" s="503">
        <v>1900</v>
      </c>
      <c r="C228" s="1672"/>
      <c r="D228" s="1572"/>
      <c r="E228" s="1672"/>
      <c r="F228" s="1672"/>
      <c r="G228" s="1672"/>
      <c r="H228" s="1672"/>
      <c r="I228" s="1672"/>
      <c r="J228" s="1672"/>
      <c r="K228" s="1671">
        <f t="shared" si="19"/>
        <v>0</v>
      </c>
      <c r="L228" s="1572">
        <v>25</v>
      </c>
    </row>
    <row r="229" spans="1:12" ht="12.75" customHeight="1" thickBot="1" x14ac:dyDescent="0.25">
      <c r="A229" s="1380" t="s">
        <v>710</v>
      </c>
      <c r="B229" s="1383" t="s">
        <v>566</v>
      </c>
      <c r="C229" s="1672"/>
      <c r="D229" s="1673">
        <f>SUM(D215:D228)</f>
        <v>133659</v>
      </c>
      <c r="E229" s="1672"/>
      <c r="F229" s="1672"/>
      <c r="G229" s="1672"/>
      <c r="H229" s="1672"/>
      <c r="I229" s="1672"/>
      <c r="J229" s="1672"/>
      <c r="K229" s="1673">
        <f>SUM(K215:K228)</f>
        <v>133659</v>
      </c>
      <c r="L229" s="1673">
        <f>SUM(L215:L228)</f>
        <v>125475</v>
      </c>
    </row>
    <row r="230" spans="1:12" ht="15.75" customHeight="1" thickTop="1" x14ac:dyDescent="0.2">
      <c r="A230" s="1350" t="s">
        <v>869</v>
      </c>
      <c r="B230" s="1351"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4" t="s">
        <v>1082</v>
      </c>
      <c r="B232" s="503">
        <v>2110</v>
      </c>
      <c r="C232" s="1672"/>
      <c r="D232" s="1572">
        <v>5828</v>
      </c>
      <c r="E232" s="1672"/>
      <c r="F232" s="1672"/>
      <c r="G232" s="1672"/>
      <c r="H232" s="1672"/>
      <c r="I232" s="1672"/>
      <c r="J232" s="1672"/>
      <c r="K232" s="1671">
        <f t="shared" ref="K232:K237" si="20">D232</f>
        <v>5828</v>
      </c>
      <c r="L232" s="1572">
        <v>5600</v>
      </c>
    </row>
    <row r="233" spans="1:12" x14ac:dyDescent="0.2">
      <c r="A233" s="1274" t="s">
        <v>1083</v>
      </c>
      <c r="B233" s="503">
        <v>2120</v>
      </c>
      <c r="C233" s="1672"/>
      <c r="D233" s="1572">
        <v>9310</v>
      </c>
      <c r="E233" s="1672"/>
      <c r="F233" s="1672"/>
      <c r="G233" s="1672"/>
      <c r="H233" s="1672"/>
      <c r="I233" s="1672"/>
      <c r="J233" s="1672"/>
      <c r="K233" s="1671">
        <f t="shared" si="20"/>
        <v>9310</v>
      </c>
      <c r="L233" s="1572">
        <v>8200</v>
      </c>
    </row>
    <row r="234" spans="1:12" x14ac:dyDescent="0.2">
      <c r="A234" s="1274" t="s">
        <v>196</v>
      </c>
      <c r="B234" s="503">
        <v>2130</v>
      </c>
      <c r="C234" s="1672"/>
      <c r="D234" s="1572">
        <v>3902</v>
      </c>
      <c r="E234" s="1672"/>
      <c r="F234" s="1672"/>
      <c r="G234" s="1672"/>
      <c r="H234" s="1672"/>
      <c r="I234" s="1672"/>
      <c r="J234" s="1672"/>
      <c r="K234" s="1671">
        <f t="shared" si="20"/>
        <v>3902</v>
      </c>
      <c r="L234" s="1572">
        <v>3250</v>
      </c>
    </row>
    <row r="235" spans="1:12" x14ac:dyDescent="0.2">
      <c r="A235" s="1274" t="s">
        <v>197</v>
      </c>
      <c r="B235" s="503">
        <v>2140</v>
      </c>
      <c r="C235" s="1672"/>
      <c r="D235" s="1572"/>
      <c r="E235" s="1672"/>
      <c r="F235" s="1672"/>
      <c r="G235" s="1672"/>
      <c r="H235" s="1672"/>
      <c r="I235" s="1672"/>
      <c r="J235" s="1672"/>
      <c r="K235" s="1671">
        <f t="shared" si="20"/>
        <v>0</v>
      </c>
      <c r="L235" s="1572"/>
    </row>
    <row r="236" spans="1:12" x14ac:dyDescent="0.2">
      <c r="A236" s="1274" t="s">
        <v>198</v>
      </c>
      <c r="B236" s="503">
        <v>2150</v>
      </c>
      <c r="C236" s="1672"/>
      <c r="D236" s="1572"/>
      <c r="E236" s="1672"/>
      <c r="F236" s="1672"/>
      <c r="G236" s="1672"/>
      <c r="H236" s="1672"/>
      <c r="I236" s="1672"/>
      <c r="J236" s="1672"/>
      <c r="K236" s="1671">
        <f t="shared" si="20"/>
        <v>0</v>
      </c>
      <c r="L236" s="1572"/>
    </row>
    <row r="237" spans="1:12" x14ac:dyDescent="0.2">
      <c r="A237" s="1274" t="s">
        <v>164</v>
      </c>
      <c r="B237" s="503">
        <v>2190</v>
      </c>
      <c r="C237" s="1672"/>
      <c r="D237" s="1572"/>
      <c r="E237" s="1672"/>
      <c r="F237" s="1672"/>
      <c r="G237" s="1672"/>
      <c r="H237" s="1672"/>
      <c r="I237" s="1672"/>
      <c r="J237" s="1672"/>
      <c r="K237" s="1671">
        <f t="shared" si="20"/>
        <v>0</v>
      </c>
      <c r="L237" s="1572"/>
    </row>
    <row r="238" spans="1:12" ht="12.75" customHeight="1" thickBot="1" x14ac:dyDescent="0.25">
      <c r="A238" s="1380" t="s">
        <v>556</v>
      </c>
      <c r="B238" s="1383" t="s">
        <v>711</v>
      </c>
      <c r="C238" s="1672"/>
      <c r="D238" s="1673">
        <f>SUM(D232:D237)</f>
        <v>19040</v>
      </c>
      <c r="E238" s="1672"/>
      <c r="F238" s="1672"/>
      <c r="G238" s="1672"/>
      <c r="H238" s="1672"/>
      <c r="I238" s="1672"/>
      <c r="J238" s="1672"/>
      <c r="K238" s="1673">
        <f>SUM(K232:K237)</f>
        <v>19040</v>
      </c>
      <c r="L238" s="1673">
        <f>SUM(L232:L237)</f>
        <v>17050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4" t="s">
        <v>809</v>
      </c>
      <c r="B240" s="503">
        <v>2210</v>
      </c>
      <c r="C240" s="1672"/>
      <c r="D240" s="1585">
        <v>275</v>
      </c>
      <c r="E240" s="1672"/>
      <c r="F240" s="1672"/>
      <c r="G240" s="1672"/>
      <c r="H240" s="1672"/>
      <c r="I240" s="1672"/>
      <c r="J240" s="1672"/>
      <c r="K240" s="1677">
        <f>D240</f>
        <v>275</v>
      </c>
      <c r="L240" s="1585">
        <v>250</v>
      </c>
    </row>
    <row r="241" spans="1:12" x14ac:dyDescent="0.2">
      <c r="A241" s="1274" t="s">
        <v>810</v>
      </c>
      <c r="B241" s="503">
        <v>2220</v>
      </c>
      <c r="C241" s="1672"/>
      <c r="D241" s="1572"/>
      <c r="E241" s="1672"/>
      <c r="F241" s="1672"/>
      <c r="G241" s="1672"/>
      <c r="H241" s="1672"/>
      <c r="I241" s="1672"/>
      <c r="J241" s="1672"/>
      <c r="K241" s="1677">
        <f>D241</f>
        <v>0</v>
      </c>
      <c r="L241" s="1572">
        <v>100</v>
      </c>
    </row>
    <row r="242" spans="1:12" x14ac:dyDescent="0.2">
      <c r="A242" s="1274" t="s">
        <v>811</v>
      </c>
      <c r="B242" s="503">
        <v>2230</v>
      </c>
      <c r="C242" s="1672"/>
      <c r="D242" s="1572"/>
      <c r="E242" s="1672"/>
      <c r="F242" s="1672"/>
      <c r="G242" s="1672"/>
      <c r="H242" s="1672"/>
      <c r="I242" s="1672"/>
      <c r="J242" s="1672"/>
      <c r="K242" s="1677">
        <f>D242</f>
        <v>0</v>
      </c>
      <c r="L242" s="1572"/>
    </row>
    <row r="243" spans="1:12" ht="12.75" customHeight="1" thickBot="1" x14ac:dyDescent="0.25">
      <c r="A243" s="1396" t="s">
        <v>557</v>
      </c>
      <c r="B243" s="1397">
        <v>2200</v>
      </c>
      <c r="C243" s="1672"/>
      <c r="D243" s="1673">
        <f>SUM(D240:D242)</f>
        <v>275</v>
      </c>
      <c r="E243" s="1672"/>
      <c r="F243" s="1672"/>
      <c r="G243" s="1672"/>
      <c r="H243" s="1672"/>
      <c r="I243" s="1672"/>
      <c r="J243" s="1672"/>
      <c r="K243" s="1673">
        <f>SUM(K240:K242)</f>
        <v>275</v>
      </c>
      <c r="L243" s="1673">
        <f>SUM(L240:L242)</f>
        <v>350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4" t="s">
        <v>812</v>
      </c>
      <c r="B245" s="503">
        <v>2310</v>
      </c>
      <c r="C245" s="1672"/>
      <c r="D245" s="1585">
        <v>497</v>
      </c>
      <c r="E245" s="1672"/>
      <c r="F245" s="1672"/>
      <c r="G245" s="1672"/>
      <c r="H245" s="1672"/>
      <c r="I245" s="1672"/>
      <c r="J245" s="1672"/>
      <c r="K245" s="1677">
        <f>D245</f>
        <v>497</v>
      </c>
      <c r="L245" s="1585">
        <v>575</v>
      </c>
    </row>
    <row r="246" spans="1:12" x14ac:dyDescent="0.2">
      <c r="A246" s="1274" t="s">
        <v>813</v>
      </c>
      <c r="B246" s="503">
        <v>2320</v>
      </c>
      <c r="C246" s="1672"/>
      <c r="D246" s="1572">
        <v>9221</v>
      </c>
      <c r="E246" s="1672"/>
      <c r="F246" s="1672"/>
      <c r="G246" s="1672"/>
      <c r="H246" s="1672"/>
      <c r="I246" s="1672"/>
      <c r="J246" s="1672"/>
      <c r="K246" s="1677">
        <f t="shared" ref="K246:K256" si="21">D246</f>
        <v>9221</v>
      </c>
      <c r="L246" s="1572">
        <v>5250</v>
      </c>
    </row>
    <row r="247" spans="1:12" x14ac:dyDescent="0.2">
      <c r="A247" s="1274" t="s">
        <v>814</v>
      </c>
      <c r="B247" s="503">
        <v>2330</v>
      </c>
      <c r="C247" s="1672"/>
      <c r="D247" s="1572"/>
      <c r="E247" s="1672"/>
      <c r="F247" s="1672"/>
      <c r="G247" s="1672"/>
      <c r="H247" s="1672"/>
      <c r="I247" s="1672"/>
      <c r="J247" s="1672"/>
      <c r="K247" s="1677">
        <f t="shared" si="21"/>
        <v>0</v>
      </c>
      <c r="L247" s="1572"/>
    </row>
    <row r="248" spans="1:12" x14ac:dyDescent="0.2">
      <c r="A248" s="1275" t="s">
        <v>296</v>
      </c>
      <c r="B248" s="494" t="s">
        <v>279</v>
      </c>
      <c r="C248" s="1672"/>
      <c r="D248" s="1578"/>
      <c r="E248" s="1672"/>
      <c r="F248" s="1672"/>
      <c r="G248" s="1672"/>
      <c r="H248" s="1672"/>
      <c r="I248" s="1672"/>
      <c r="J248" s="1672"/>
      <c r="K248" s="1677">
        <f t="shared" si="21"/>
        <v>0</v>
      </c>
      <c r="L248" s="1572"/>
    </row>
    <row r="249" spans="1:12" x14ac:dyDescent="0.2">
      <c r="A249" s="1276" t="s">
        <v>1785</v>
      </c>
      <c r="B249" s="557" t="s">
        <v>280</v>
      </c>
      <c r="C249" s="1672"/>
      <c r="D249" s="1578"/>
      <c r="E249" s="1672"/>
      <c r="F249" s="1672"/>
      <c r="G249" s="1672"/>
      <c r="H249" s="1672"/>
      <c r="I249" s="1672"/>
      <c r="J249" s="1672"/>
      <c r="K249" s="1677">
        <f t="shared" si="21"/>
        <v>0</v>
      </c>
      <c r="L249" s="1572"/>
    </row>
    <row r="250" spans="1:12" x14ac:dyDescent="0.2">
      <c r="A250" s="1275" t="s">
        <v>1786</v>
      </c>
      <c r="B250" s="494" t="s">
        <v>281</v>
      </c>
      <c r="C250" s="1672"/>
      <c r="D250" s="1578"/>
      <c r="E250" s="1672"/>
      <c r="F250" s="1672"/>
      <c r="G250" s="1672"/>
      <c r="H250" s="1672"/>
      <c r="I250" s="1672"/>
      <c r="J250" s="1672"/>
      <c r="K250" s="1677">
        <f t="shared" si="21"/>
        <v>0</v>
      </c>
      <c r="L250" s="1572"/>
    </row>
    <row r="251" spans="1:12" x14ac:dyDescent="0.2">
      <c r="A251" s="1275" t="s">
        <v>236</v>
      </c>
      <c r="B251" s="494" t="s">
        <v>282</v>
      </c>
      <c r="C251" s="1672"/>
      <c r="D251" s="1578"/>
      <c r="E251" s="1672"/>
      <c r="F251" s="1672"/>
      <c r="G251" s="1672"/>
      <c r="H251" s="1672"/>
      <c r="I251" s="1672"/>
      <c r="J251" s="1672"/>
      <c r="K251" s="1677">
        <f t="shared" si="21"/>
        <v>0</v>
      </c>
      <c r="L251" s="1572"/>
    </row>
    <row r="252" spans="1:12" x14ac:dyDescent="0.2">
      <c r="A252" s="1275" t="s">
        <v>697</v>
      </c>
      <c r="B252" s="494" t="s">
        <v>283</v>
      </c>
      <c r="C252" s="1672"/>
      <c r="D252" s="1578"/>
      <c r="E252" s="1672"/>
      <c r="F252" s="1672"/>
      <c r="G252" s="1672"/>
      <c r="H252" s="1672"/>
      <c r="I252" s="1672"/>
      <c r="J252" s="1672"/>
      <c r="K252" s="1677">
        <f t="shared" si="21"/>
        <v>0</v>
      </c>
      <c r="L252" s="1572"/>
    </row>
    <row r="253" spans="1:12" x14ac:dyDescent="0.2">
      <c r="A253" s="1275" t="s">
        <v>237</v>
      </c>
      <c r="B253" s="494" t="s">
        <v>284</v>
      </c>
      <c r="C253" s="1672"/>
      <c r="D253" s="1578"/>
      <c r="E253" s="1672"/>
      <c r="F253" s="1672"/>
      <c r="G253" s="1672"/>
      <c r="H253" s="1672"/>
      <c r="I253" s="1672"/>
      <c r="J253" s="1672"/>
      <c r="K253" s="1677">
        <f t="shared" si="21"/>
        <v>0</v>
      </c>
      <c r="L253" s="1572"/>
    </row>
    <row r="254" spans="1:12" ht="22.5" x14ac:dyDescent="0.2">
      <c r="A254" s="1275" t="s">
        <v>1022</v>
      </c>
      <c r="B254" s="557" t="s">
        <v>285</v>
      </c>
      <c r="C254" s="1672"/>
      <c r="D254" s="1578"/>
      <c r="E254" s="1672"/>
      <c r="F254" s="1672"/>
      <c r="G254" s="1672"/>
      <c r="H254" s="1672"/>
      <c r="I254" s="1672"/>
      <c r="J254" s="1672"/>
      <c r="K254" s="1677">
        <f t="shared" si="21"/>
        <v>0</v>
      </c>
      <c r="L254" s="1572"/>
    </row>
    <row r="255" spans="1:12" x14ac:dyDescent="0.2">
      <c r="A255" s="1275" t="s">
        <v>1023</v>
      </c>
      <c r="B255" s="494" t="s">
        <v>286</v>
      </c>
      <c r="C255" s="1672"/>
      <c r="D255" s="1578"/>
      <c r="E255" s="1672"/>
      <c r="F255" s="1672"/>
      <c r="G255" s="1672"/>
      <c r="H255" s="1672"/>
      <c r="I255" s="1672"/>
      <c r="J255" s="1672"/>
      <c r="K255" s="1677">
        <f t="shared" si="21"/>
        <v>0</v>
      </c>
      <c r="L255" s="1572"/>
    </row>
    <row r="256" spans="1:12" x14ac:dyDescent="0.2">
      <c r="A256" s="1275" t="s">
        <v>965</v>
      </c>
      <c r="B256" s="503" t="s">
        <v>287</v>
      </c>
      <c r="C256" s="1672"/>
      <c r="D256" s="1578"/>
      <c r="E256" s="1672"/>
      <c r="F256" s="1672"/>
      <c r="G256" s="1672"/>
      <c r="H256" s="1672"/>
      <c r="I256" s="1672"/>
      <c r="J256" s="1672"/>
      <c r="K256" s="1677">
        <f t="shared" si="21"/>
        <v>0</v>
      </c>
      <c r="L256" s="1572"/>
    </row>
    <row r="257" spans="1:14" ht="12.75" customHeight="1" thickBot="1" x14ac:dyDescent="0.25">
      <c r="A257" s="1380" t="s">
        <v>712</v>
      </c>
      <c r="B257" s="1398">
        <v>2300</v>
      </c>
      <c r="C257" s="1672"/>
      <c r="D257" s="1673">
        <f>SUM(D245:D256)</f>
        <v>9718</v>
      </c>
      <c r="E257" s="1672"/>
      <c r="F257" s="1672"/>
      <c r="G257" s="1672"/>
      <c r="H257" s="1672"/>
      <c r="I257" s="1672"/>
      <c r="J257" s="1672"/>
      <c r="K257" s="1673">
        <f>SUM(K245:K256)</f>
        <v>9718</v>
      </c>
      <c r="L257" s="1673">
        <f>SUM(L245:L256)</f>
        <v>5825</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4" t="s">
        <v>1060</v>
      </c>
      <c r="B259" s="559">
        <v>2410</v>
      </c>
      <c r="C259" s="1672"/>
      <c r="D259" s="1585">
        <v>2844</v>
      </c>
      <c r="E259" s="1672"/>
      <c r="F259" s="1672"/>
      <c r="G259" s="1672"/>
      <c r="H259" s="1672"/>
      <c r="I259" s="1672"/>
      <c r="J259" s="1672"/>
      <c r="K259" s="1677">
        <f>D259</f>
        <v>2844</v>
      </c>
      <c r="L259" s="1585">
        <v>3100</v>
      </c>
    </row>
    <row r="260" spans="1:14" s="493" customFormat="1" x14ac:dyDescent="0.2">
      <c r="A260" s="1292" t="s">
        <v>1784</v>
      </c>
      <c r="B260" s="512">
        <v>2490</v>
      </c>
      <c r="C260" s="1672"/>
      <c r="D260" s="1572"/>
      <c r="E260" s="1672"/>
      <c r="F260" s="1672"/>
      <c r="G260" s="1672"/>
      <c r="H260" s="1672"/>
      <c r="I260" s="1672"/>
      <c r="J260" s="1672"/>
      <c r="K260" s="1677">
        <f>D260</f>
        <v>0</v>
      </c>
      <c r="L260" s="1572">
        <v>500</v>
      </c>
      <c r="M260" s="205"/>
      <c r="N260" s="205"/>
    </row>
    <row r="261" spans="1:14" ht="12.75" customHeight="1" thickBot="1" x14ac:dyDescent="0.25">
      <c r="A261" s="1394" t="s">
        <v>261</v>
      </c>
      <c r="B261" s="1399" t="s">
        <v>34</v>
      </c>
      <c r="C261" s="1672"/>
      <c r="D261" s="1673">
        <f>SUM(D259:D260)</f>
        <v>2844</v>
      </c>
      <c r="E261" s="1672"/>
      <c r="F261" s="1672"/>
      <c r="G261" s="1672"/>
      <c r="H261" s="1672"/>
      <c r="I261" s="1672"/>
      <c r="J261" s="1672"/>
      <c r="K261" s="1673">
        <f>SUM(K259:K260)</f>
        <v>2844</v>
      </c>
      <c r="L261" s="1673">
        <f>SUM(L259:L260)</f>
        <v>3600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4" t="s">
        <v>1061</v>
      </c>
      <c r="B263" s="559">
        <v>2510</v>
      </c>
      <c r="C263" s="1672"/>
      <c r="D263" s="1572"/>
      <c r="E263" s="1672"/>
      <c r="F263" s="1672"/>
      <c r="G263" s="1672"/>
      <c r="H263" s="1672"/>
      <c r="I263" s="1672"/>
      <c r="J263" s="1672"/>
      <c r="K263" s="1677">
        <f>D263</f>
        <v>0</v>
      </c>
      <c r="L263" s="1585"/>
    </row>
    <row r="264" spans="1:14" x14ac:dyDescent="0.2">
      <c r="A264" s="1274" t="s">
        <v>460</v>
      </c>
      <c r="B264" s="559">
        <v>2520</v>
      </c>
      <c r="C264" s="1672"/>
      <c r="D264" s="1572">
        <v>12038</v>
      </c>
      <c r="E264" s="1672"/>
      <c r="F264" s="1672"/>
      <c r="G264" s="1672"/>
      <c r="H264" s="1672"/>
      <c r="I264" s="1672"/>
      <c r="J264" s="1672"/>
      <c r="K264" s="1677">
        <f t="shared" ref="K264:K269" si="22">D264</f>
        <v>12038</v>
      </c>
      <c r="L264" s="1572">
        <v>16500</v>
      </c>
    </row>
    <row r="265" spans="1:14" x14ac:dyDescent="0.2">
      <c r="A265" s="1274" t="s">
        <v>4</v>
      </c>
      <c r="B265" s="503">
        <v>2530</v>
      </c>
      <c r="C265" s="1672"/>
      <c r="D265" s="1572"/>
      <c r="E265" s="1672"/>
      <c r="F265" s="1672"/>
      <c r="G265" s="1672"/>
      <c r="H265" s="1672"/>
      <c r="I265" s="1672"/>
      <c r="J265" s="1672"/>
      <c r="K265" s="1677">
        <f t="shared" si="22"/>
        <v>0</v>
      </c>
      <c r="L265" s="1572"/>
    </row>
    <row r="266" spans="1:14" x14ac:dyDescent="0.2">
      <c r="A266" s="1274" t="s">
        <v>195</v>
      </c>
      <c r="B266" s="503">
        <v>2540</v>
      </c>
      <c r="C266" s="1672"/>
      <c r="D266" s="1572">
        <v>63181</v>
      </c>
      <c r="E266" s="1672"/>
      <c r="F266" s="1672"/>
      <c r="G266" s="1672"/>
      <c r="H266" s="1672"/>
      <c r="I266" s="1672"/>
      <c r="J266" s="1672"/>
      <c r="K266" s="1677">
        <f t="shared" si="22"/>
        <v>63181</v>
      </c>
      <c r="L266" s="1572">
        <v>62750</v>
      </c>
    </row>
    <row r="267" spans="1:14" x14ac:dyDescent="0.2">
      <c r="A267" s="1274" t="s">
        <v>947</v>
      </c>
      <c r="B267" s="503">
        <v>2550</v>
      </c>
      <c r="C267" s="1672"/>
      <c r="D267" s="1572">
        <v>8592</v>
      </c>
      <c r="E267" s="1672"/>
      <c r="F267" s="1672"/>
      <c r="G267" s="1672"/>
      <c r="H267" s="1672"/>
      <c r="I267" s="1672"/>
      <c r="J267" s="1672"/>
      <c r="K267" s="1677">
        <f t="shared" si="22"/>
        <v>8592</v>
      </c>
      <c r="L267" s="1572">
        <v>8500</v>
      </c>
    </row>
    <row r="268" spans="1:14" x14ac:dyDescent="0.2">
      <c r="A268" s="1274" t="s">
        <v>100</v>
      </c>
      <c r="B268" s="503">
        <v>2560</v>
      </c>
      <c r="C268" s="1672"/>
      <c r="D268" s="1572">
        <v>30668</v>
      </c>
      <c r="E268" s="1672"/>
      <c r="F268" s="1672"/>
      <c r="G268" s="1672"/>
      <c r="H268" s="1672"/>
      <c r="I268" s="1672"/>
      <c r="J268" s="1672"/>
      <c r="K268" s="1677">
        <f t="shared" si="22"/>
        <v>30668</v>
      </c>
      <c r="L268" s="1572">
        <v>29600</v>
      </c>
    </row>
    <row r="269" spans="1:14" x14ac:dyDescent="0.2">
      <c r="A269" s="1274" t="s">
        <v>101</v>
      </c>
      <c r="B269" s="503">
        <v>2570</v>
      </c>
      <c r="C269" s="1672"/>
      <c r="D269" s="1572"/>
      <c r="E269" s="1672"/>
      <c r="F269" s="1672"/>
      <c r="G269" s="1672"/>
      <c r="H269" s="1672"/>
      <c r="I269" s="1672"/>
      <c r="J269" s="1672"/>
      <c r="K269" s="1677">
        <f t="shared" si="22"/>
        <v>0</v>
      </c>
      <c r="L269" s="1572"/>
    </row>
    <row r="270" spans="1:14" ht="12.75" customHeight="1" thickBot="1" x14ac:dyDescent="0.25">
      <c r="A270" s="1380" t="s">
        <v>714</v>
      </c>
      <c r="B270" s="1383" t="s">
        <v>35</v>
      </c>
      <c r="C270" s="1672"/>
      <c r="D270" s="1673">
        <f>SUM(D263:D269)</f>
        <v>114479</v>
      </c>
      <c r="E270" s="1672"/>
      <c r="F270" s="1672"/>
      <c r="G270" s="1672"/>
      <c r="H270" s="1672"/>
      <c r="I270" s="1672"/>
      <c r="J270" s="1672"/>
      <c r="K270" s="1673">
        <f>SUM(K263:K269)</f>
        <v>114479</v>
      </c>
      <c r="L270" s="1673">
        <f>SUM(L263:L269)</f>
        <v>117350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4" t="s">
        <v>1053</v>
      </c>
      <c r="B272" s="503">
        <v>2610</v>
      </c>
      <c r="C272" s="1672"/>
      <c r="D272" s="1585"/>
      <c r="E272" s="1672"/>
      <c r="F272" s="1672"/>
      <c r="G272" s="1672"/>
      <c r="H272" s="1672"/>
      <c r="I272" s="1672"/>
      <c r="J272" s="1672"/>
      <c r="K272" s="1677">
        <f>D272</f>
        <v>0</v>
      </c>
      <c r="L272" s="1585"/>
    </row>
    <row r="273" spans="1:12" x14ac:dyDescent="0.2">
      <c r="A273" s="1274" t="s">
        <v>603</v>
      </c>
      <c r="B273" s="512">
        <v>2620</v>
      </c>
      <c r="C273" s="1672"/>
      <c r="D273" s="1572"/>
      <c r="E273" s="1672"/>
      <c r="F273" s="1672"/>
      <c r="G273" s="1672"/>
      <c r="H273" s="1672"/>
      <c r="I273" s="1672"/>
      <c r="J273" s="1672"/>
      <c r="K273" s="1677">
        <f>D273</f>
        <v>0</v>
      </c>
      <c r="L273" s="1572"/>
    </row>
    <row r="274" spans="1:12" ht="12" customHeight="1" x14ac:dyDescent="0.2">
      <c r="A274" s="1274" t="s">
        <v>1054</v>
      </c>
      <c r="B274" s="503">
        <v>2630</v>
      </c>
      <c r="C274" s="1672"/>
      <c r="D274" s="1572"/>
      <c r="E274" s="1672"/>
      <c r="F274" s="1672"/>
      <c r="G274" s="1672"/>
      <c r="H274" s="1672"/>
      <c r="I274" s="1672"/>
      <c r="J274" s="1672"/>
      <c r="K274" s="1677">
        <f>D274</f>
        <v>0</v>
      </c>
      <c r="L274" s="1572"/>
    </row>
    <row r="275" spans="1:12" x14ac:dyDescent="0.2">
      <c r="A275" s="1274" t="s">
        <v>400</v>
      </c>
      <c r="B275" s="503">
        <v>2640</v>
      </c>
      <c r="C275" s="1672"/>
      <c r="D275" s="1572"/>
      <c r="E275" s="1672"/>
      <c r="F275" s="1672"/>
      <c r="G275" s="1672"/>
      <c r="H275" s="1672"/>
      <c r="I275" s="1672"/>
      <c r="J275" s="1672"/>
      <c r="K275" s="1677">
        <f>D275</f>
        <v>0</v>
      </c>
      <c r="L275" s="1572"/>
    </row>
    <row r="276" spans="1:12" x14ac:dyDescent="0.2">
      <c r="A276" s="1274" t="s">
        <v>401</v>
      </c>
      <c r="B276" s="503">
        <v>2660</v>
      </c>
      <c r="C276" s="1672"/>
      <c r="D276" s="1572">
        <v>16724</v>
      </c>
      <c r="E276" s="1672"/>
      <c r="F276" s="1672"/>
      <c r="G276" s="1672"/>
      <c r="H276" s="1672"/>
      <c r="I276" s="1672"/>
      <c r="J276" s="1672"/>
      <c r="K276" s="1677">
        <f>D276</f>
        <v>16724</v>
      </c>
      <c r="L276" s="1572">
        <v>15900</v>
      </c>
    </row>
    <row r="277" spans="1:12" ht="12.75" customHeight="1" thickBot="1" x14ac:dyDescent="0.25">
      <c r="A277" s="1393" t="s">
        <v>37</v>
      </c>
      <c r="B277" s="1381" t="s">
        <v>36</v>
      </c>
      <c r="C277" s="1672"/>
      <c r="D277" s="1673">
        <f>SUM(D272:D276)</f>
        <v>16724</v>
      </c>
      <c r="E277" s="1672"/>
      <c r="F277" s="1672"/>
      <c r="G277" s="1672"/>
      <c r="H277" s="1672"/>
      <c r="I277" s="1672"/>
      <c r="J277" s="1672"/>
      <c r="K277" s="1673">
        <f>SUM(K272:K276)</f>
        <v>16724</v>
      </c>
      <c r="L277" s="1673">
        <f>SUM(L272:L276)</f>
        <v>15900</v>
      </c>
    </row>
    <row r="278" spans="1:12" ht="13.5" customHeight="1" thickTop="1" x14ac:dyDescent="0.2">
      <c r="A278" s="1280" t="s">
        <v>973</v>
      </c>
      <c r="B278" s="531" t="s">
        <v>570</v>
      </c>
      <c r="C278" s="1672"/>
      <c r="D278" s="1694"/>
      <c r="E278" s="1672"/>
      <c r="F278" s="1672"/>
      <c r="G278" s="1672"/>
      <c r="H278" s="1672"/>
      <c r="I278" s="1672"/>
      <c r="J278" s="1672"/>
      <c r="K278" s="1695">
        <f>D278</f>
        <v>0</v>
      </c>
      <c r="L278" s="1694"/>
    </row>
    <row r="279" spans="1:12" ht="12.75" customHeight="1" thickBot="1" x14ac:dyDescent="0.25">
      <c r="A279" s="1400" t="s">
        <v>806</v>
      </c>
      <c r="B279" s="1387">
        <v>2000</v>
      </c>
      <c r="C279" s="1672"/>
      <c r="D279" s="1680">
        <f>SUM(D238,D243,D257,D261,D270,D277,D278)</f>
        <v>163080</v>
      </c>
      <c r="E279" s="1672"/>
      <c r="F279" s="1672"/>
      <c r="G279" s="1672"/>
      <c r="H279" s="1672"/>
      <c r="I279" s="1672"/>
      <c r="J279" s="1672"/>
      <c r="K279" s="1680">
        <f>SUM(K238,K243,K257,K261,K270,K277,K278)</f>
        <v>163080</v>
      </c>
      <c r="L279" s="1680">
        <f>SUM(L238,L243,L257,L261,L270,L277,L278)</f>
        <v>160075</v>
      </c>
    </row>
    <row r="280" spans="1:12" ht="15.75" customHeight="1" thickTop="1" thickBot="1" x14ac:dyDescent="0.25">
      <c r="A280" s="1362" t="s">
        <v>870</v>
      </c>
      <c r="B280" s="1351">
        <v>3000</v>
      </c>
      <c r="C280" s="1672"/>
      <c r="D280" s="1650"/>
      <c r="E280" s="1672"/>
      <c r="F280" s="1672"/>
      <c r="G280" s="1672"/>
      <c r="H280" s="1672"/>
      <c r="I280" s="1672"/>
      <c r="J280" s="1672"/>
      <c r="K280" s="1686">
        <f>D280</f>
        <v>0</v>
      </c>
      <c r="L280" s="1650"/>
    </row>
    <row r="281" spans="1:12" ht="15.75" customHeight="1" thickTop="1" x14ac:dyDescent="0.2">
      <c r="A281" s="1352" t="s">
        <v>141</v>
      </c>
      <c r="B281" s="1353" t="s">
        <v>855</v>
      </c>
      <c r="C281" s="1672"/>
      <c r="D281" s="1644"/>
      <c r="E281" s="1672"/>
      <c r="F281" s="1672"/>
      <c r="G281" s="1672"/>
      <c r="H281" s="1672"/>
      <c r="I281" s="1672"/>
      <c r="J281" s="1672"/>
      <c r="K281" s="1672"/>
      <c r="L281" s="1672"/>
    </row>
    <row r="282" spans="1:12" ht="15.75" customHeight="1" x14ac:dyDescent="0.2">
      <c r="A282" s="1466" t="s">
        <v>493</v>
      </c>
      <c r="B282" s="562" t="s">
        <v>1819</v>
      </c>
      <c r="C282" s="1672"/>
      <c r="D282" s="1573"/>
      <c r="E282" s="1672"/>
      <c r="F282" s="1672"/>
      <c r="G282" s="1672"/>
      <c r="H282" s="1672"/>
      <c r="I282" s="1672"/>
      <c r="J282" s="1672"/>
      <c r="K282" s="1671">
        <f>D282</f>
        <v>0</v>
      </c>
      <c r="L282" s="1573"/>
    </row>
    <row r="283" spans="1:12" x14ac:dyDescent="0.2">
      <c r="A283" s="1274" t="s">
        <v>301</v>
      </c>
      <c r="B283" s="503">
        <v>4120</v>
      </c>
      <c r="C283" s="1672"/>
      <c r="D283" s="1572"/>
      <c r="E283" s="1672"/>
      <c r="F283" s="1672"/>
      <c r="G283" s="1672"/>
      <c r="H283" s="1672"/>
      <c r="I283" s="1672"/>
      <c r="J283" s="1672"/>
      <c r="K283" s="1671">
        <f>D283</f>
        <v>0</v>
      </c>
      <c r="L283" s="1572"/>
    </row>
    <row r="284" spans="1:12" x14ac:dyDescent="0.2">
      <c r="A284" s="1274" t="s">
        <v>692</v>
      </c>
      <c r="B284" s="503">
        <v>4140</v>
      </c>
      <c r="C284" s="1672"/>
      <c r="D284" s="1573"/>
      <c r="E284" s="1672"/>
      <c r="F284" s="1672"/>
      <c r="G284" s="1672"/>
      <c r="H284" s="1672"/>
      <c r="I284" s="1672"/>
      <c r="J284" s="1672"/>
      <c r="K284" s="1671">
        <f>D284</f>
        <v>0</v>
      </c>
      <c r="L284" s="1572"/>
    </row>
    <row r="285" spans="1:12" ht="12.75" customHeight="1" thickBot="1" x14ac:dyDescent="0.25">
      <c r="A285" s="1380" t="s">
        <v>1473</v>
      </c>
      <c r="B285" s="1381"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871</v>
      </c>
      <c r="B286" s="1347"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2"/>
      <c r="I288" s="1672"/>
      <c r="J288" s="1672"/>
      <c r="K288" s="1671">
        <f>H288</f>
        <v>0</v>
      </c>
      <c r="L288" s="1572"/>
    </row>
    <row r="289" spans="1:14" x14ac:dyDescent="0.2">
      <c r="A289" s="1274" t="s">
        <v>88</v>
      </c>
      <c r="B289" s="503">
        <v>5120</v>
      </c>
      <c r="C289" s="1672"/>
      <c r="D289" s="1672"/>
      <c r="E289" s="1672"/>
      <c r="F289" s="1672"/>
      <c r="G289" s="1672"/>
      <c r="H289" s="1572"/>
      <c r="I289" s="1672"/>
      <c r="J289" s="1672"/>
      <c r="K289" s="1671">
        <f>H289</f>
        <v>0</v>
      </c>
      <c r="L289" s="1572"/>
    </row>
    <row r="290" spans="1:14" ht="12.75" customHeight="1" x14ac:dyDescent="0.2">
      <c r="A290" s="1274" t="s">
        <v>1162</v>
      </c>
      <c r="B290" s="512" t="s">
        <v>613</v>
      </c>
      <c r="C290" s="1672"/>
      <c r="D290" s="1672"/>
      <c r="E290" s="1672"/>
      <c r="F290" s="1672"/>
      <c r="G290" s="1672"/>
      <c r="H290" s="1572"/>
      <c r="I290" s="1672"/>
      <c r="J290" s="1672"/>
      <c r="K290" s="1671">
        <f>H290</f>
        <v>0</v>
      </c>
      <c r="L290" s="1572"/>
    </row>
    <row r="291" spans="1:14" x14ac:dyDescent="0.2">
      <c r="A291" s="1274" t="s">
        <v>89</v>
      </c>
      <c r="B291" s="503" t="s">
        <v>585</v>
      </c>
      <c r="C291" s="1672"/>
      <c r="D291" s="1672"/>
      <c r="E291" s="1672"/>
      <c r="F291" s="1672"/>
      <c r="G291" s="1672"/>
      <c r="H291" s="1572"/>
      <c r="I291" s="1672"/>
      <c r="J291" s="1672"/>
      <c r="K291" s="1671">
        <f>H291</f>
        <v>0</v>
      </c>
      <c r="L291" s="1572"/>
    </row>
    <row r="292" spans="1:14" x14ac:dyDescent="0.2">
      <c r="A292" s="1274" t="s">
        <v>757</v>
      </c>
      <c r="B292" s="503" t="s">
        <v>614</v>
      </c>
      <c r="C292" s="1672"/>
      <c r="D292" s="1672"/>
      <c r="E292" s="1672"/>
      <c r="F292" s="1672"/>
      <c r="G292" s="1672"/>
      <c r="H292" s="1572"/>
      <c r="I292" s="1672"/>
      <c r="J292" s="1672"/>
      <c r="K292" s="1671">
        <f>H292</f>
        <v>0</v>
      </c>
      <c r="L292" s="1572"/>
    </row>
    <row r="293" spans="1:14" ht="12.75" customHeight="1" thickBot="1" x14ac:dyDescent="0.25">
      <c r="A293" s="1380" t="s">
        <v>481</v>
      </c>
      <c r="B293" s="1381"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872</v>
      </c>
      <c r="B294" s="1351" t="s">
        <v>856</v>
      </c>
      <c r="C294" s="1672"/>
      <c r="D294" s="1675"/>
      <c r="E294" s="1672"/>
      <c r="F294" s="1672"/>
      <c r="G294" s="1672"/>
      <c r="H294" s="1705"/>
      <c r="I294" s="1672"/>
      <c r="J294" s="1672"/>
      <c r="K294" s="1705"/>
      <c r="L294" s="1652"/>
    </row>
    <row r="295" spans="1:14" ht="12.75" customHeight="1" thickTop="1" thickBot="1" x14ac:dyDescent="0.25">
      <c r="A295" s="2259" t="s">
        <v>502</v>
      </c>
      <c r="B295" s="2260"/>
      <c r="C295" s="1672"/>
      <c r="D295" s="1673">
        <f>SUM(D229,D279,D280,D285)</f>
        <v>296739</v>
      </c>
      <c r="E295" s="1672"/>
      <c r="F295" s="1672"/>
      <c r="G295" s="1672"/>
      <c r="H295" s="1673">
        <f>H293</f>
        <v>0</v>
      </c>
      <c r="I295" s="1672"/>
      <c r="J295" s="1672"/>
      <c r="K295" s="1673">
        <f>SUM(K229,K279,K280,K285,K293,K294)</f>
        <v>296739</v>
      </c>
      <c r="L295" s="1673">
        <f>SUM(L229,L279,L280,L285,L293,L294)</f>
        <v>285550</v>
      </c>
    </row>
    <row r="296" spans="1:14" ht="13.5" thickTop="1" x14ac:dyDescent="0.2">
      <c r="A296" s="2257" t="s">
        <v>989</v>
      </c>
      <c r="B296" s="2258"/>
      <c r="C296" s="1672"/>
      <c r="D296" s="1674"/>
      <c r="E296" s="1672"/>
      <c r="F296" s="1672"/>
      <c r="G296" s="1672"/>
      <c r="H296" s="1706"/>
      <c r="I296" s="1672"/>
      <c r="J296" s="1672"/>
      <c r="K296" s="1688">
        <f>'Revenues 9-14'!G268-'Expenditures 15-22'!K295</f>
        <v>-6278</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6" t="s">
        <v>142</v>
      </c>
      <c r="B298" s="2270"/>
      <c r="C298" s="1702"/>
      <c r="D298" s="1703"/>
      <c r="E298" s="1703"/>
      <c r="F298" s="1703"/>
      <c r="G298" s="1703"/>
      <c r="H298" s="1703"/>
      <c r="I298" s="1703"/>
      <c r="J298" s="1703"/>
      <c r="K298" s="1703"/>
      <c r="L298" s="1704"/>
    </row>
    <row r="299" spans="1:14" ht="15.75" customHeight="1" x14ac:dyDescent="0.2">
      <c r="A299" s="1350" t="s">
        <v>143</v>
      </c>
      <c r="B299" s="1353"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7" t="s">
        <v>604</v>
      </c>
      <c r="B301" s="561">
        <v>2530</v>
      </c>
      <c r="C301" s="1572"/>
      <c r="D301" s="1572"/>
      <c r="E301" s="1572">
        <v>472692</v>
      </c>
      <c r="F301" s="1572">
        <f>642928-600669-19929</f>
        <v>22330</v>
      </c>
      <c r="G301" s="1572">
        <f>110447+7213+600669+14209</f>
        <v>732538</v>
      </c>
      <c r="H301" s="1572"/>
      <c r="I301" s="1573">
        <v>5720</v>
      </c>
      <c r="J301" s="1573"/>
      <c r="K301" s="1671">
        <f>SUM(C301:J301)</f>
        <v>1233280</v>
      </c>
      <c r="L301" s="1573">
        <v>1300000</v>
      </c>
    </row>
    <row r="302" spans="1:14" ht="13.5" customHeight="1" x14ac:dyDescent="0.2">
      <c r="A302" s="1287" t="s">
        <v>973</v>
      </c>
      <c r="B302" s="503" t="s">
        <v>570</v>
      </c>
      <c r="C302" s="1572"/>
      <c r="D302" s="1572"/>
      <c r="E302" s="1572"/>
      <c r="F302" s="1572"/>
      <c r="G302" s="1572"/>
      <c r="H302" s="1572"/>
      <c r="I302" s="1573"/>
      <c r="J302" s="1573"/>
      <c r="K302" s="1671">
        <f>SUM(C302:J302)</f>
        <v>0</v>
      </c>
      <c r="L302" s="1572"/>
    </row>
    <row r="303" spans="1:14" ht="12.75" customHeight="1" thickBot="1" x14ac:dyDescent="0.25">
      <c r="A303" s="1380" t="s">
        <v>806</v>
      </c>
      <c r="B303" s="1381" t="s">
        <v>565</v>
      </c>
      <c r="C303" s="1680">
        <f>SUM(C301:C302)</f>
        <v>0</v>
      </c>
      <c r="D303" s="1680">
        <f t="shared" ref="D303:L303" si="23">SUM(D301:D302)</f>
        <v>0</v>
      </c>
      <c r="E303" s="1680">
        <f t="shared" si="23"/>
        <v>472692</v>
      </c>
      <c r="F303" s="1680">
        <f t="shared" si="23"/>
        <v>22330</v>
      </c>
      <c r="G303" s="1680">
        <f t="shared" si="23"/>
        <v>732538</v>
      </c>
      <c r="H303" s="1680">
        <f t="shared" si="23"/>
        <v>0</v>
      </c>
      <c r="I303" s="1680">
        <f t="shared" si="23"/>
        <v>5720</v>
      </c>
      <c r="J303" s="1680">
        <f t="shared" si="23"/>
        <v>0</v>
      </c>
      <c r="K303" s="1680">
        <f t="shared" si="23"/>
        <v>1233280</v>
      </c>
      <c r="L303" s="1680">
        <f t="shared" si="23"/>
        <v>1300000</v>
      </c>
    </row>
    <row r="304" spans="1:14" ht="15.75" customHeight="1" thickTop="1" x14ac:dyDescent="0.2">
      <c r="A304" s="1350" t="s">
        <v>144</v>
      </c>
      <c r="B304" s="1351"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8" t="s">
        <v>1824</v>
      </c>
      <c r="B306" s="562" t="s">
        <v>1819</v>
      </c>
      <c r="C306" s="1672"/>
      <c r="D306" s="1672"/>
      <c r="E306" s="1573"/>
      <c r="F306" s="1672"/>
      <c r="G306" s="1672"/>
      <c r="H306" s="1573"/>
      <c r="I306" s="1672"/>
      <c r="J306" s="1672"/>
      <c r="K306" s="1671">
        <f>SUM(E306,H306)</f>
        <v>0</v>
      </c>
      <c r="L306" s="1573"/>
    </row>
    <row r="307" spans="1:14" x14ac:dyDescent="0.2">
      <c r="A307" s="1274" t="s">
        <v>301</v>
      </c>
      <c r="B307" s="503">
        <v>4120</v>
      </c>
      <c r="C307" s="1672"/>
      <c r="D307" s="1672"/>
      <c r="E307" s="1573"/>
      <c r="F307" s="1672"/>
      <c r="G307" s="1672"/>
      <c r="H307" s="1573"/>
      <c r="I307" s="1581"/>
      <c r="J307" s="1672"/>
      <c r="K307" s="1671">
        <f>SUM(E307,H307)</f>
        <v>0</v>
      </c>
      <c r="L307" s="1572"/>
    </row>
    <row r="308" spans="1:14" x14ac:dyDescent="0.2">
      <c r="A308" s="1274" t="s">
        <v>692</v>
      </c>
      <c r="B308" s="503">
        <v>4140</v>
      </c>
      <c r="C308" s="1672"/>
      <c r="D308" s="1672"/>
      <c r="E308" s="1573"/>
      <c r="F308" s="1672"/>
      <c r="G308" s="1672"/>
      <c r="H308" s="1573"/>
      <c r="I308" s="1581"/>
      <c r="J308" s="1672"/>
      <c r="K308" s="1671">
        <f>SUM(E308,H308)</f>
        <v>0</v>
      </c>
      <c r="L308" s="1572"/>
    </row>
    <row r="309" spans="1:14" ht="12.75" customHeight="1" x14ac:dyDescent="0.2">
      <c r="A309" s="1278" t="s">
        <v>693</v>
      </c>
      <c r="B309" s="512">
        <v>4190</v>
      </c>
      <c r="C309" s="1672"/>
      <c r="D309" s="1672"/>
      <c r="E309" s="1573"/>
      <c r="F309" s="1672"/>
      <c r="G309" s="1672"/>
      <c r="H309" s="1573"/>
      <c r="I309" s="1581"/>
      <c r="J309" s="1672"/>
      <c r="K309" s="1671">
        <f>SUM(E309,H309)</f>
        <v>0</v>
      </c>
      <c r="L309" s="1572"/>
    </row>
    <row r="310" spans="1:14" ht="12.75" customHeight="1" thickBot="1" x14ac:dyDescent="0.25">
      <c r="A310" s="1380" t="s">
        <v>1473</v>
      </c>
      <c r="B310" s="1383"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7" t="s">
        <v>889</v>
      </c>
      <c r="B311" s="1349" t="s">
        <v>856</v>
      </c>
      <c r="C311" s="1675"/>
      <c r="D311" s="1675"/>
      <c r="E311" s="1675"/>
      <c r="F311" s="1675"/>
      <c r="G311" s="1675"/>
      <c r="H311" s="1675"/>
      <c r="I311" s="1675"/>
      <c r="J311" s="1672"/>
      <c r="K311" s="1675"/>
      <c r="L311" s="1650"/>
    </row>
    <row r="312" spans="1:14" s="548" customFormat="1" ht="12.75" customHeight="1" thickTop="1" thickBot="1" x14ac:dyDescent="0.25">
      <c r="A312" s="2281" t="s">
        <v>275</v>
      </c>
      <c r="B312" s="2282"/>
      <c r="C312" s="1673">
        <f>SUM(C303)</f>
        <v>0</v>
      </c>
      <c r="D312" s="1673">
        <f>SUM(D303)</f>
        <v>0</v>
      </c>
      <c r="E312" s="1673">
        <f>SUM(E303,E310)</f>
        <v>472692</v>
      </c>
      <c r="F312" s="1673">
        <f>SUM(F303)</f>
        <v>22330</v>
      </c>
      <c r="G312" s="1673">
        <f>SUM(G303)</f>
        <v>732538</v>
      </c>
      <c r="H312" s="1673">
        <f>SUM(H303,H310)</f>
        <v>0</v>
      </c>
      <c r="I312" s="1673">
        <f>SUM(I303)</f>
        <v>5720</v>
      </c>
      <c r="J312" s="1673">
        <f>SUM(J303)</f>
        <v>0</v>
      </c>
      <c r="K312" s="1673">
        <f>SUM(K303,K310,K311)</f>
        <v>1233280</v>
      </c>
      <c r="L312" s="1673">
        <f>SUM(L303,L310,L311)</f>
        <v>1300000</v>
      </c>
      <c r="M312" s="539"/>
      <c r="N312" s="539"/>
    </row>
    <row r="313" spans="1:14" ht="13.5" thickTop="1" x14ac:dyDescent="0.2">
      <c r="A313" s="2277" t="s">
        <v>989</v>
      </c>
      <c r="B313" s="2278"/>
      <c r="C313" s="1676"/>
      <c r="D313" s="1676"/>
      <c r="E313" s="1676"/>
      <c r="F313" s="1676"/>
      <c r="G313" s="1676"/>
      <c r="H313" s="1676"/>
      <c r="I313" s="1676"/>
      <c r="J313" s="1676"/>
      <c r="K313" s="1695">
        <f>'Revenues 9-14'!H268-'Expenditures 15-22'!K312</f>
        <v>-852161</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65" t="s">
        <v>148</v>
      </c>
      <c r="B315" s="2266"/>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67" t="s">
        <v>892</v>
      </c>
      <c r="B317" s="2266"/>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9"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3" t="s">
        <v>1785</v>
      </c>
      <c r="B320" s="568" t="s">
        <v>280</v>
      </c>
      <c r="C320" s="1573"/>
      <c r="D320" s="1573"/>
      <c r="E320" s="1573"/>
      <c r="F320" s="1573"/>
      <c r="G320" s="1573"/>
      <c r="H320" s="1573"/>
      <c r="I320" s="1573"/>
      <c r="J320" s="1573"/>
      <c r="K320" s="1671">
        <f t="shared" ref="K320:K327" si="24">SUM(C320:J320)</f>
        <v>0</v>
      </c>
      <c r="L320" s="1573"/>
      <c r="M320" s="539"/>
      <c r="N320" s="539"/>
    </row>
    <row r="321" spans="1:14" s="548" customFormat="1" x14ac:dyDescent="0.2">
      <c r="A321" s="1289"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9" t="s">
        <v>236</v>
      </c>
      <c r="B322" s="567" t="s">
        <v>282</v>
      </c>
      <c r="C322" s="1573"/>
      <c r="D322" s="1573"/>
      <c r="E322" s="1573">
        <v>75127</v>
      </c>
      <c r="F322" s="1573"/>
      <c r="G322" s="1573"/>
      <c r="H322" s="1573"/>
      <c r="I322" s="1573"/>
      <c r="J322" s="1573"/>
      <c r="K322" s="1671">
        <f t="shared" si="24"/>
        <v>75127</v>
      </c>
      <c r="L322" s="1573">
        <v>75000</v>
      </c>
      <c r="M322" s="539"/>
      <c r="N322" s="539"/>
    </row>
    <row r="323" spans="1:14" s="548" customFormat="1" x14ac:dyDescent="0.2">
      <c r="A323" s="1289"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9"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9"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9"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9" t="s">
        <v>965</v>
      </c>
      <c r="B327" s="567" t="s">
        <v>287</v>
      </c>
      <c r="C327" s="1573"/>
      <c r="D327" s="1573"/>
      <c r="E327" s="1573"/>
      <c r="F327" s="1573"/>
      <c r="G327" s="1573"/>
      <c r="H327" s="1573"/>
      <c r="I327" s="1573"/>
      <c r="J327" s="1573"/>
      <c r="K327" s="1671">
        <f t="shared" si="24"/>
        <v>0</v>
      </c>
      <c r="L327" s="1573">
        <v>15000</v>
      </c>
      <c r="M327" s="539"/>
      <c r="N327" s="539"/>
    </row>
    <row r="328" spans="1:14" s="548" customFormat="1" x14ac:dyDescent="0.2">
      <c r="A328" s="1290" t="s">
        <v>469</v>
      </c>
      <c r="B328" s="562" t="s">
        <v>1124</v>
      </c>
      <c r="C328" s="1578"/>
      <c r="D328" s="1578"/>
      <c r="E328" s="1578"/>
      <c r="F328" s="1578"/>
      <c r="G328" s="1578"/>
      <c r="H328" s="1578"/>
      <c r="I328" s="1578"/>
      <c r="J328" s="1578"/>
      <c r="K328" s="1712">
        <f>SUM(C328:J328)</f>
        <v>0</v>
      </c>
      <c r="L328" s="1578"/>
      <c r="M328" s="539"/>
      <c r="N328" s="539"/>
    </row>
    <row r="329" spans="1:14" s="548" customFormat="1" x14ac:dyDescent="0.2">
      <c r="A329" s="1290" t="s">
        <v>1125</v>
      </c>
      <c r="B329" s="562" t="s">
        <v>1126</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1" t="s">
        <v>712</v>
      </c>
      <c r="B330" s="1381" t="s">
        <v>565</v>
      </c>
      <c r="C330" s="1673">
        <f>SUM(C319:C329)</f>
        <v>0</v>
      </c>
      <c r="D330" s="1673">
        <f t="shared" ref="D330:J330" si="25">SUM(D319:D329)</f>
        <v>0</v>
      </c>
      <c r="E330" s="1673">
        <f t="shared" si="25"/>
        <v>75127</v>
      </c>
      <c r="F330" s="1673">
        <f t="shared" si="25"/>
        <v>0</v>
      </c>
      <c r="G330" s="1673">
        <f t="shared" si="25"/>
        <v>0</v>
      </c>
      <c r="H330" s="1673">
        <f t="shared" si="25"/>
        <v>0</v>
      </c>
      <c r="I330" s="1673">
        <f t="shared" si="25"/>
        <v>0</v>
      </c>
      <c r="J330" s="1673">
        <f t="shared" si="25"/>
        <v>0</v>
      </c>
      <c r="K330" s="1673">
        <f>SUM(K319:K329)</f>
        <v>75127</v>
      </c>
      <c r="L330" s="1673">
        <f>SUM(L319:L329)</f>
        <v>90000</v>
      </c>
      <c r="M330" s="539"/>
      <c r="N330" s="539"/>
    </row>
    <row r="331" spans="1:14" s="548" customFormat="1" ht="12.75" customHeight="1" thickTop="1" x14ac:dyDescent="0.2">
      <c r="A331" s="1467" t="s">
        <v>1825</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8" t="s">
        <v>493</v>
      </c>
      <c r="B332" s="1463" t="s">
        <v>1819</v>
      </c>
      <c r="C332" s="1713"/>
      <c r="D332" s="1713"/>
      <c r="E332" s="1713"/>
      <c r="F332" s="1713"/>
      <c r="G332" s="1713"/>
      <c r="H332" s="1573"/>
      <c r="I332" s="1713"/>
      <c r="J332" s="1713"/>
      <c r="K332" s="1671">
        <f>H332</f>
        <v>0</v>
      </c>
      <c r="L332" s="1573"/>
      <c r="M332" s="539"/>
      <c r="N332" s="539"/>
    </row>
    <row r="333" spans="1:14" s="548" customFormat="1" ht="12.75" customHeight="1" x14ac:dyDescent="0.2">
      <c r="A333" s="1468" t="s">
        <v>301</v>
      </c>
      <c r="B333" s="1463" t="s">
        <v>1821</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8" t="s">
        <v>1826</v>
      </c>
      <c r="B334" s="1463"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893</v>
      </c>
      <c r="B335" s="1345"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8" t="s">
        <v>87</v>
      </c>
      <c r="B337" s="562" t="s">
        <v>894</v>
      </c>
      <c r="C337" s="1683"/>
      <c r="D337" s="1683"/>
      <c r="E337" s="1683"/>
      <c r="F337" s="1683"/>
      <c r="G337" s="1683"/>
      <c r="H337" s="1582"/>
      <c r="I337" s="1683"/>
      <c r="J337" s="1683"/>
      <c r="K337" s="1671">
        <f>H337</f>
        <v>0</v>
      </c>
      <c r="L337" s="1582"/>
    </row>
    <row r="338" spans="1:14" ht="12.75" customHeight="1" x14ac:dyDescent="0.2">
      <c r="A338" s="1288" t="s">
        <v>1162</v>
      </c>
      <c r="B338" s="562" t="s">
        <v>613</v>
      </c>
      <c r="C338" s="1683"/>
      <c r="D338" s="1683"/>
      <c r="E338" s="1683"/>
      <c r="F338" s="1683"/>
      <c r="G338" s="1683"/>
      <c r="H338" s="1582"/>
      <c r="I338" s="1683"/>
      <c r="J338" s="1683"/>
      <c r="K338" s="1671">
        <f>H338</f>
        <v>0</v>
      </c>
      <c r="L338" s="1582"/>
    </row>
    <row r="339" spans="1:14" x14ac:dyDescent="0.2">
      <c r="A339" s="1274" t="s">
        <v>895</v>
      </c>
      <c r="B339" s="512">
        <v>5150</v>
      </c>
      <c r="C339" s="1683"/>
      <c r="D339" s="1683"/>
      <c r="E339" s="1683"/>
      <c r="F339" s="1683"/>
      <c r="G339" s="1683"/>
      <c r="H339" s="1573"/>
      <c r="I339" s="1683"/>
      <c r="J339" s="1683"/>
      <c r="K339" s="1671">
        <f>H339</f>
        <v>0</v>
      </c>
      <c r="L339" s="1573"/>
    </row>
    <row r="340" spans="1:14" ht="13.5" thickBot="1" x14ac:dyDescent="0.25">
      <c r="A340" s="1396" t="s">
        <v>896</v>
      </c>
      <c r="B340" s="1381"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7" t="s">
        <v>897</v>
      </c>
      <c r="B341" s="1349" t="s">
        <v>856</v>
      </c>
      <c r="C341" s="1672"/>
      <c r="D341" s="1672"/>
      <c r="E341" s="1581"/>
      <c r="F341" s="1574"/>
      <c r="G341" s="1574"/>
      <c r="H341" s="1581"/>
      <c r="I341" s="1581"/>
      <c r="J341" s="1574"/>
      <c r="K341" s="1581"/>
      <c r="L341" s="1650"/>
    </row>
    <row r="342" spans="1:14" ht="12.75" customHeight="1" thickTop="1" thickBot="1" x14ac:dyDescent="0.25">
      <c r="A342" s="1389" t="s">
        <v>502</v>
      </c>
      <c r="B342" s="1402"/>
      <c r="C342" s="1673">
        <f>SUM(C330)</f>
        <v>0</v>
      </c>
      <c r="D342" s="1673">
        <f>SUM(D330)</f>
        <v>0</v>
      </c>
      <c r="E342" s="1673">
        <f>SUM(E330)</f>
        <v>75127</v>
      </c>
      <c r="F342" s="1673">
        <f>SUM(F330)</f>
        <v>0</v>
      </c>
      <c r="G342" s="1673">
        <f>SUM(G330)</f>
        <v>0</v>
      </c>
      <c r="H342" s="1673">
        <f>SUM(H330,H334,H340)</f>
        <v>0</v>
      </c>
      <c r="I342" s="1673">
        <f>SUM(I330)</f>
        <v>0</v>
      </c>
      <c r="J342" s="1673">
        <f>SUM(J330)</f>
        <v>0</v>
      </c>
      <c r="K342" s="1673">
        <f>SUM(K330,K334,K340)</f>
        <v>75127</v>
      </c>
      <c r="L342" s="1680">
        <f>SUM(L330,L334,L340,L341)</f>
        <v>90000</v>
      </c>
    </row>
    <row r="343" spans="1:14" ht="12.75" customHeight="1" thickTop="1" x14ac:dyDescent="0.2">
      <c r="A343" s="2279" t="s">
        <v>989</v>
      </c>
      <c r="B343" s="2280"/>
      <c r="C343" s="1672"/>
      <c r="D343" s="1672"/>
      <c r="E343" s="1672"/>
      <c r="F343" s="1672"/>
      <c r="G343" s="1672"/>
      <c r="H343" s="1672"/>
      <c r="I343" s="1672"/>
      <c r="J343" s="1672"/>
      <c r="K343" s="1688">
        <f>'Revenues 9-14'!J268-'Expenditures 15-22'!K342</f>
        <v>18208</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9" t="s">
        <v>960</v>
      </c>
      <c r="B345" s="2270"/>
      <c r="C345" s="1702"/>
      <c r="D345" s="1703"/>
      <c r="E345" s="1703"/>
      <c r="F345" s="1703"/>
      <c r="G345" s="1703"/>
      <c r="H345" s="1703"/>
      <c r="I345" s="1703"/>
      <c r="J345" s="1703"/>
      <c r="K345" s="1703"/>
      <c r="L345" s="1704"/>
      <c r="M345" s="541"/>
      <c r="N345" s="541"/>
    </row>
    <row r="346" spans="1:14" s="321" customFormat="1" ht="15.75" customHeight="1" x14ac:dyDescent="0.2">
      <c r="A346" s="1361" t="s">
        <v>839</v>
      </c>
      <c r="B346" s="1353"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4" t="s">
        <v>4</v>
      </c>
      <c r="B348" s="503">
        <v>2530</v>
      </c>
      <c r="C348" s="1572"/>
      <c r="D348" s="1572"/>
      <c r="E348" s="1572"/>
      <c r="F348" s="1572"/>
      <c r="G348" s="1572"/>
      <c r="H348" s="1572"/>
      <c r="I348" s="1573"/>
      <c r="J348" s="1573"/>
      <c r="K348" s="1671">
        <f>SUM(C348:J348)</f>
        <v>0</v>
      </c>
      <c r="L348" s="1572"/>
    </row>
    <row r="349" spans="1:14" x14ac:dyDescent="0.2">
      <c r="A349" s="1274" t="s">
        <v>195</v>
      </c>
      <c r="B349" s="503">
        <v>2540</v>
      </c>
      <c r="C349" s="1572"/>
      <c r="D349" s="1572"/>
      <c r="E349" s="1572">
        <v>2974</v>
      </c>
      <c r="F349" s="1572"/>
      <c r="G349" s="1572">
        <v>6451</v>
      </c>
      <c r="H349" s="1572"/>
      <c r="I349" s="1573"/>
      <c r="J349" s="1573"/>
      <c r="K349" s="1671">
        <f>SUM(C349:J349)</f>
        <v>9425</v>
      </c>
      <c r="L349" s="1572">
        <v>32000</v>
      </c>
    </row>
    <row r="350" spans="1:14" ht="12.75" customHeight="1" thickBot="1" x14ac:dyDescent="0.25">
      <c r="A350" s="1380" t="s">
        <v>714</v>
      </c>
      <c r="B350" s="1381" t="s">
        <v>35</v>
      </c>
      <c r="C350" s="1673">
        <f>SUM(C348:C349)</f>
        <v>0</v>
      </c>
      <c r="D350" s="1673">
        <f t="shared" ref="D350:L350" si="26">SUM(D348:D349)</f>
        <v>0</v>
      </c>
      <c r="E350" s="1673">
        <f t="shared" si="26"/>
        <v>2974</v>
      </c>
      <c r="F350" s="1673">
        <f t="shared" si="26"/>
        <v>0</v>
      </c>
      <c r="G350" s="1673">
        <f t="shared" si="26"/>
        <v>6451</v>
      </c>
      <c r="H350" s="1673">
        <f t="shared" si="26"/>
        <v>0</v>
      </c>
      <c r="I350" s="1673">
        <f t="shared" si="26"/>
        <v>0</v>
      </c>
      <c r="J350" s="1673">
        <f t="shared" si="26"/>
        <v>0</v>
      </c>
      <c r="K350" s="1673">
        <f t="shared" si="26"/>
        <v>9425</v>
      </c>
      <c r="L350" s="1673">
        <f t="shared" si="26"/>
        <v>32000</v>
      </c>
    </row>
    <row r="351" spans="1:14" ht="12.75" customHeight="1" thickTop="1" x14ac:dyDescent="0.2">
      <c r="A351" s="1280" t="s">
        <v>973</v>
      </c>
      <c r="B351" s="521" t="s">
        <v>570</v>
      </c>
      <c r="C351" s="1585"/>
      <c r="D351" s="1585"/>
      <c r="E351" s="1585"/>
      <c r="F351" s="1585"/>
      <c r="G351" s="1585"/>
      <c r="H351" s="1585"/>
      <c r="I351" s="1582"/>
      <c r="J351" s="1582"/>
      <c r="K351" s="1714">
        <f>SUM(C351:J351)</f>
        <v>0</v>
      </c>
      <c r="L351" s="1585"/>
    </row>
    <row r="352" spans="1:14" ht="12.75" customHeight="1" thickBot="1" x14ac:dyDescent="0.25">
      <c r="A352" s="1380" t="s">
        <v>620</v>
      </c>
      <c r="B352" s="1383" t="s">
        <v>565</v>
      </c>
      <c r="C352" s="1673">
        <f>SUM(C350:C351)</f>
        <v>0</v>
      </c>
      <c r="D352" s="1673">
        <f t="shared" ref="D352:L352" si="27">SUM(D350:D351)</f>
        <v>0</v>
      </c>
      <c r="E352" s="1673">
        <f t="shared" si="27"/>
        <v>2974</v>
      </c>
      <c r="F352" s="1673">
        <f t="shared" si="27"/>
        <v>0</v>
      </c>
      <c r="G352" s="1673">
        <f t="shared" si="27"/>
        <v>6451</v>
      </c>
      <c r="H352" s="1673">
        <f t="shared" si="27"/>
        <v>0</v>
      </c>
      <c r="I352" s="1673">
        <f t="shared" si="27"/>
        <v>0</v>
      </c>
      <c r="J352" s="1673">
        <f t="shared" si="27"/>
        <v>0</v>
      </c>
      <c r="K352" s="1673">
        <f t="shared" si="27"/>
        <v>9425</v>
      </c>
      <c r="L352" s="1673">
        <f t="shared" si="27"/>
        <v>32000</v>
      </c>
    </row>
    <row r="353" spans="1:14" s="321" customFormat="1" ht="15.75" customHeight="1" thickTop="1" x14ac:dyDescent="0.2">
      <c r="A353" s="1350" t="s">
        <v>621</v>
      </c>
      <c r="B353" s="1347" t="s">
        <v>855</v>
      </c>
      <c r="C353" s="1672"/>
      <c r="D353" s="1672"/>
      <c r="E353" s="1672"/>
      <c r="F353" s="1672"/>
      <c r="G353" s="1672"/>
      <c r="H353" s="1672"/>
      <c r="I353" s="1672"/>
      <c r="J353" s="1672"/>
      <c r="K353" s="1672"/>
      <c r="L353" s="1672"/>
      <c r="M353" s="501"/>
      <c r="N353" s="501"/>
    </row>
    <row r="354" spans="1:14" x14ac:dyDescent="0.2">
      <c r="A354" s="1469" t="s">
        <v>1827</v>
      </c>
      <c r="B354" s="557" t="s">
        <v>1819</v>
      </c>
      <c r="C354" s="1672"/>
      <c r="D354" s="1672"/>
      <c r="E354" s="1672"/>
      <c r="F354" s="1672"/>
      <c r="G354" s="1672"/>
      <c r="H354" s="1578"/>
      <c r="I354" s="1715"/>
      <c r="J354" s="1672"/>
      <c r="K354" s="1712">
        <f>H354</f>
        <v>0</v>
      </c>
      <c r="L354" s="1576"/>
    </row>
    <row r="355" spans="1:14" ht="12.75" customHeight="1" x14ac:dyDescent="0.2">
      <c r="A355" s="1283" t="s">
        <v>1828</v>
      </c>
      <c r="B355" s="562" t="s">
        <v>1821</v>
      </c>
      <c r="C355" s="1672"/>
      <c r="D355" s="1672"/>
      <c r="E355" s="1672"/>
      <c r="F355" s="1672"/>
      <c r="G355" s="1672"/>
      <c r="H355" s="1573"/>
      <c r="I355" s="1715"/>
      <c r="J355" s="1672"/>
      <c r="K355" s="1606">
        <f>H355</f>
        <v>0</v>
      </c>
      <c r="L355" s="1573"/>
    </row>
    <row r="356" spans="1:14" ht="12.75" customHeight="1" x14ac:dyDescent="0.2">
      <c r="A356" s="1469" t="s">
        <v>693</v>
      </c>
      <c r="B356" s="557" t="s">
        <v>554</v>
      </c>
      <c r="C356" s="1672"/>
      <c r="D356" s="1672"/>
      <c r="E356" s="1672"/>
      <c r="F356" s="1672"/>
      <c r="G356" s="1672"/>
      <c r="H356" s="1583"/>
      <c r="I356" s="1715"/>
      <c r="J356" s="1672"/>
      <c r="K356" s="1599">
        <f>H356</f>
        <v>0</v>
      </c>
      <c r="L356" s="1583"/>
    </row>
    <row r="357" spans="1:14" ht="12.75" customHeight="1" thickBot="1" x14ac:dyDescent="0.25">
      <c r="A357" s="1380" t="s">
        <v>1473</v>
      </c>
      <c r="B357" s="1381"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50" t="s">
        <v>942</v>
      </c>
      <c r="B358" s="1347"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3"/>
      <c r="I360" s="1672"/>
      <c r="J360" s="1672"/>
      <c r="K360" s="1671">
        <f>SUM(C360:J360)</f>
        <v>0</v>
      </c>
      <c r="L360" s="1572"/>
    </row>
    <row r="361" spans="1:14" ht="12.75" customHeight="1" x14ac:dyDescent="0.2">
      <c r="A361" s="1275" t="s">
        <v>615</v>
      </c>
      <c r="B361" s="494" t="s">
        <v>614</v>
      </c>
      <c r="C361" s="1672"/>
      <c r="D361" s="1672"/>
      <c r="E361" s="1672"/>
      <c r="F361" s="1672"/>
      <c r="G361" s="1672"/>
      <c r="H361" s="1573"/>
      <c r="I361" s="1672"/>
      <c r="J361" s="1672"/>
      <c r="K361" s="1671">
        <f>SUM(C361:J361)</f>
        <v>0</v>
      </c>
      <c r="L361" s="1572"/>
    </row>
    <row r="362" spans="1:14" ht="12.75" customHeight="1" thickBot="1" x14ac:dyDescent="0.25">
      <c r="A362" s="1380" t="s">
        <v>622</v>
      </c>
      <c r="B362" s="1381"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1656</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1"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943</v>
      </c>
      <c r="B366" s="1351" t="s">
        <v>856</v>
      </c>
      <c r="C366" s="1675"/>
      <c r="D366" s="1675"/>
      <c r="E366" s="1675"/>
      <c r="F366" s="1675"/>
      <c r="G366" s="1675"/>
      <c r="H366" s="1675"/>
      <c r="I366" s="1675"/>
      <c r="J366" s="1672"/>
      <c r="K366" s="1675"/>
      <c r="L366" s="1648"/>
      <c r="M366" s="501"/>
      <c r="N366" s="501"/>
    </row>
    <row r="367" spans="1:14" ht="12.75" customHeight="1" thickTop="1" thickBot="1" x14ac:dyDescent="0.25">
      <c r="A367" s="1394" t="s">
        <v>502</v>
      </c>
      <c r="B367" s="1403"/>
      <c r="C367" s="1673">
        <f t="shared" ref="C367:L367" si="28">SUM(C352,C357,C365,C366)</f>
        <v>0</v>
      </c>
      <c r="D367" s="1673">
        <f t="shared" si="28"/>
        <v>0</v>
      </c>
      <c r="E367" s="1673">
        <f t="shared" si="28"/>
        <v>2974</v>
      </c>
      <c r="F367" s="1673">
        <f t="shared" si="28"/>
        <v>0</v>
      </c>
      <c r="G367" s="1673">
        <f t="shared" si="28"/>
        <v>6451</v>
      </c>
      <c r="H367" s="1673">
        <f t="shared" si="28"/>
        <v>0</v>
      </c>
      <c r="I367" s="1673">
        <f t="shared" si="28"/>
        <v>0</v>
      </c>
      <c r="J367" s="1673">
        <f t="shared" si="28"/>
        <v>0</v>
      </c>
      <c r="K367" s="1673">
        <f t="shared" si="28"/>
        <v>9425</v>
      </c>
      <c r="L367" s="1673">
        <f t="shared" si="28"/>
        <v>32000</v>
      </c>
    </row>
    <row r="368" spans="1:14" ht="13.5" thickTop="1" x14ac:dyDescent="0.2">
      <c r="A368" s="2257" t="s">
        <v>989</v>
      </c>
      <c r="B368" s="2258"/>
      <c r="C368" s="1693"/>
      <c r="D368" s="1693"/>
      <c r="E368" s="1676"/>
      <c r="F368" s="1676"/>
      <c r="G368" s="1676"/>
      <c r="H368" s="1676"/>
      <c r="I368" s="1676"/>
      <c r="J368" s="1675"/>
      <c r="K368" s="1671">
        <f>'Revenues 9-14'!K268-'Expenditures 15-22'!K367</f>
        <v>10604</v>
      </c>
      <c r="L368" s="1693"/>
    </row>
  </sheetData>
  <sheetProtection sheet="1" objects="1" scenarios="1"/>
  <mergeCells count="20">
    <mergeCell ref="A343:B343"/>
    <mergeCell ref="A312:B312"/>
    <mergeCell ref="A151:B151"/>
    <mergeCell ref="A368:B368"/>
    <mergeCell ref="A175:B175"/>
    <mergeCell ref="A211:B211"/>
    <mergeCell ref="A296:B296"/>
    <mergeCell ref="A1:A2"/>
    <mergeCell ref="A345:B345"/>
    <mergeCell ref="A117:B117"/>
    <mergeCell ref="A154:B154"/>
    <mergeCell ref="A3:B3"/>
    <mergeCell ref="A298:B298"/>
    <mergeCell ref="A115:B115"/>
    <mergeCell ref="A295:B295"/>
    <mergeCell ref="A152:B152"/>
    <mergeCell ref="A213:B213"/>
    <mergeCell ref="A315:B315"/>
    <mergeCell ref="A317:B317"/>
    <mergeCell ref="A313:B313"/>
  </mergeCells>
  <phoneticPr fontId="7" type="noConversion"/>
  <printOptions headings="1" gridLinesSet="0"/>
  <pageMargins left="0.1" right="0.2" top="0.61" bottom="0.35" header="0.37"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&amp;F&amp;C&amp;"Arial,Bold Italic"The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6"/>
  <sheetViews>
    <sheetView showGridLines="0" defaultGridColor="0" colorId="8" zoomScale="110" zoomScaleNormal="110" workbookViewId="0">
      <selection activeCell="D21" sqref="D2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4" t="s">
        <v>1782</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5"/>
      <c r="B3" s="1294"/>
      <c r="C3" s="1295"/>
      <c r="D3" s="1296" t="s">
        <v>254</v>
      </c>
      <c r="E3" s="1295"/>
      <c r="F3" s="1296" t="s">
        <v>255</v>
      </c>
    </row>
    <row r="4" spans="1:8" ht="13.7" customHeight="1" x14ac:dyDescent="0.2">
      <c r="A4" s="579" t="s">
        <v>1147</v>
      </c>
      <c r="B4" s="1720">
        <f>'Revenues 9-14'!C5</f>
        <v>3480991</v>
      </c>
      <c r="C4" s="1721"/>
      <c r="D4" s="1722">
        <f>B4-C4</f>
        <v>3480991</v>
      </c>
      <c r="E4" s="1721">
        <v>3595466</v>
      </c>
      <c r="F4" s="1722">
        <f>E4-C4</f>
        <v>3595466</v>
      </c>
    </row>
    <row r="5" spans="1:8" ht="13.7" customHeight="1" x14ac:dyDescent="0.2">
      <c r="A5" s="579" t="s">
        <v>865</v>
      </c>
      <c r="B5" s="1723">
        <f>'Revenues 9-14'!D5</f>
        <v>650946</v>
      </c>
      <c r="C5" s="1663"/>
      <c r="D5" s="1724">
        <f t="shared" ref="D5:D18" si="0">B5-C5</f>
        <v>650946</v>
      </c>
      <c r="E5" s="1663">
        <v>727270</v>
      </c>
      <c r="F5" s="1724">
        <f>E5-C5</f>
        <v>727270</v>
      </c>
    </row>
    <row r="6" spans="1:8" ht="13.7" customHeight="1" x14ac:dyDescent="0.2">
      <c r="A6" s="579" t="s">
        <v>408</v>
      </c>
      <c r="B6" s="1723">
        <f>'Revenues 9-14'!E5</f>
        <v>0</v>
      </c>
      <c r="C6" s="1663"/>
      <c r="D6" s="1724">
        <f t="shared" si="0"/>
        <v>0</v>
      </c>
      <c r="E6" s="1663"/>
      <c r="F6" s="1724">
        <f t="shared" ref="F6:F18" si="1">E6-C6</f>
        <v>0</v>
      </c>
    </row>
    <row r="7" spans="1:8" ht="13.7" customHeight="1" x14ac:dyDescent="0.2">
      <c r="A7" s="579" t="s">
        <v>154</v>
      </c>
      <c r="B7" s="1723">
        <f>'Revenues 9-14'!F5</f>
        <v>620375</v>
      </c>
      <c r="C7" s="1663"/>
      <c r="D7" s="1724">
        <f t="shared" si="0"/>
        <v>620375</v>
      </c>
      <c r="E7" s="1663">
        <v>610876</v>
      </c>
      <c r="F7" s="1724">
        <f t="shared" si="1"/>
        <v>610876</v>
      </c>
    </row>
    <row r="8" spans="1:8" ht="13.7" customHeight="1" x14ac:dyDescent="0.2">
      <c r="A8" s="579" t="s">
        <v>1171</v>
      </c>
      <c r="B8" s="1723">
        <f>'Revenues 9-14'!G5</f>
        <v>145177</v>
      </c>
      <c r="C8" s="1663"/>
      <c r="D8" s="1724">
        <f t="shared" si="0"/>
        <v>145177</v>
      </c>
      <c r="E8" s="1663">
        <v>154124</v>
      </c>
      <c r="F8" s="1724">
        <f t="shared" si="1"/>
        <v>154124</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0</v>
      </c>
      <c r="C10" s="1663"/>
      <c r="D10" s="1724">
        <f t="shared" si="0"/>
        <v>0</v>
      </c>
      <c r="E10" s="1663"/>
      <c r="F10" s="1724">
        <f t="shared" si="1"/>
        <v>0</v>
      </c>
    </row>
    <row r="11" spans="1:8" x14ac:dyDescent="0.2">
      <c r="A11" s="579" t="s">
        <v>406</v>
      </c>
      <c r="B11" s="1723">
        <f>'Revenues 9-14'!J5</f>
        <v>93301</v>
      </c>
      <c r="C11" s="1663"/>
      <c r="D11" s="1724">
        <f t="shared" si="0"/>
        <v>93301</v>
      </c>
      <c r="E11" s="1663">
        <v>104737</v>
      </c>
      <c r="F11" s="1724">
        <f t="shared" si="1"/>
        <v>104737</v>
      </c>
    </row>
    <row r="12" spans="1:8" ht="13.7" customHeight="1" x14ac:dyDescent="0.2">
      <c r="A12" s="579" t="s">
        <v>156</v>
      </c>
      <c r="B12" s="1723">
        <f>'Revenues 9-14'!K5</f>
        <v>20022</v>
      </c>
      <c r="C12" s="1663"/>
      <c r="D12" s="1724">
        <f t="shared" si="0"/>
        <v>20022</v>
      </c>
      <c r="E12" s="1663">
        <v>26734</v>
      </c>
      <c r="F12" s="1724">
        <f t="shared" si="1"/>
        <v>26734</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701679</v>
      </c>
      <c r="C14" s="1663"/>
      <c r="D14" s="1724">
        <f t="shared" si="0"/>
        <v>701679</v>
      </c>
      <c r="E14" s="1663">
        <v>739659</v>
      </c>
      <c r="F14" s="1724">
        <f t="shared" si="1"/>
        <v>739659</v>
      </c>
    </row>
    <row r="15" spans="1:8" ht="13.7" customHeight="1" x14ac:dyDescent="0.2">
      <c r="A15" s="579" t="s">
        <v>1150</v>
      </c>
      <c r="B15" s="1723">
        <f>SUM('Revenues 9-14'!D9:E9,'Revenues 9-14'!H9)</f>
        <v>0</v>
      </c>
      <c r="C15" s="1663"/>
      <c r="D15" s="1724">
        <f t="shared" si="0"/>
        <v>0</v>
      </c>
      <c r="E15" s="1663"/>
      <c r="F15" s="1724">
        <f t="shared" si="1"/>
        <v>0</v>
      </c>
    </row>
    <row r="16" spans="1:8" ht="13.7" customHeight="1" x14ac:dyDescent="0.2">
      <c r="A16" s="579" t="s">
        <v>1151</v>
      </c>
      <c r="B16" s="1723">
        <f>'Revenues 9-14'!G8</f>
        <v>145177</v>
      </c>
      <c r="C16" s="1663"/>
      <c r="D16" s="1724">
        <f t="shared" si="0"/>
        <v>145177</v>
      </c>
      <c r="E16" s="1663">
        <v>154124</v>
      </c>
      <c r="F16" s="1724">
        <f t="shared" si="1"/>
        <v>154124</v>
      </c>
    </row>
    <row r="17" spans="1:6" ht="13.7" customHeight="1" x14ac:dyDescent="0.2">
      <c r="A17" s="579" t="s">
        <v>1152</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2" t="s">
        <v>1153</v>
      </c>
      <c r="B19" s="1725">
        <f>SUM(B4:B18)</f>
        <v>5857668</v>
      </c>
      <c r="C19" s="1725">
        <f>SUM(C4:C18)</f>
        <v>0</v>
      </c>
      <c r="D19" s="1725">
        <f>SUM(D4:D18)</f>
        <v>5857668</v>
      </c>
      <c r="E19" s="1725">
        <f>SUM(E4:E18)</f>
        <v>6112990</v>
      </c>
      <c r="F19" s="1725">
        <f>SUM(F4:F18)</f>
        <v>6112990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sheet="1" objects="1" scenarios="1"/>
  <mergeCells count="1">
    <mergeCell ref="A2:A3"/>
  </mergeCells>
  <phoneticPr fontId="7" type="noConversion"/>
  <printOptions headings="1" gridLinesSet="0"/>
  <pageMargins left="0.25" right="0.15" top="1.65" bottom="0.52" header="0.5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9" colorId="8" zoomScale="110" zoomScaleNormal="110" workbookViewId="0">
      <selection activeCell="F52" sqref="F52:G52"/>
    </sheetView>
  </sheetViews>
  <sheetFormatPr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8" t="s">
        <v>625</v>
      </c>
      <c r="B1" s="2298"/>
      <c r="C1" s="585"/>
    </row>
    <row r="2" spans="1:7" ht="33.75" x14ac:dyDescent="0.2">
      <c r="A2" s="2313" t="s">
        <v>1782</v>
      </c>
      <c r="B2" s="2314"/>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299" t="s">
        <v>1106</v>
      </c>
      <c r="B3" s="2300"/>
      <c r="C3" s="2309"/>
      <c r="D3" s="2310"/>
      <c r="E3" s="2310"/>
      <c r="F3" s="2311"/>
    </row>
    <row r="4" spans="1:7" ht="12.75" customHeight="1" thickBot="1" x14ac:dyDescent="0.25">
      <c r="A4" s="2295" t="s">
        <v>626</v>
      </c>
      <c r="B4" s="2296"/>
      <c r="C4" s="1655"/>
      <c r="D4" s="1655"/>
      <c r="E4" s="1655"/>
      <c r="F4" s="1731">
        <f>SUM(C4+D4)-E4</f>
        <v>0</v>
      </c>
    </row>
    <row r="5" spans="1:7" ht="15.75" customHeight="1" thickTop="1" x14ac:dyDescent="0.2">
      <c r="A5" s="2307" t="s">
        <v>1103</v>
      </c>
      <c r="B5" s="2294"/>
      <c r="C5" s="2286"/>
      <c r="D5" s="2287"/>
      <c r="E5" s="2287"/>
      <c r="F5" s="2288"/>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1149</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291" t="s">
        <v>627</v>
      </c>
      <c r="B15" s="2292"/>
      <c r="C15" s="1731">
        <f>SUM(C6:C14)</f>
        <v>0</v>
      </c>
      <c r="D15" s="1731">
        <f>SUM(D6:D14)</f>
        <v>0</v>
      </c>
      <c r="E15" s="1731">
        <f>SUM(E6:E14)</f>
        <v>0</v>
      </c>
      <c r="F15" s="1731">
        <f>SUM(F6:F14)</f>
        <v>0</v>
      </c>
      <c r="G15" s="473"/>
    </row>
    <row r="16" spans="1:7" s="197" customFormat="1" ht="15.75" customHeight="1" thickTop="1" x14ac:dyDescent="0.2">
      <c r="A16" s="2312" t="s">
        <v>1104</v>
      </c>
      <c r="B16" s="2294"/>
      <c r="C16" s="2286"/>
      <c r="D16" s="2287"/>
      <c r="E16" s="2287"/>
      <c r="F16" s="2288"/>
    </row>
    <row r="17" spans="1:11" ht="12.75" customHeight="1" thickBot="1" x14ac:dyDescent="0.25">
      <c r="A17" s="2289" t="s">
        <v>64</v>
      </c>
      <c r="B17" s="2290"/>
      <c r="C17" s="1732"/>
      <c r="D17" s="1663"/>
      <c r="E17" s="1732"/>
      <c r="F17" s="1731">
        <f>SUM(C17+D17)-E17</f>
        <v>0</v>
      </c>
    </row>
    <row r="18" spans="1:11" ht="12.75" customHeight="1" thickTop="1" thickBot="1" x14ac:dyDescent="0.25">
      <c r="A18" s="2289" t="s">
        <v>6</v>
      </c>
      <c r="B18" s="2290"/>
      <c r="C18" s="1732"/>
      <c r="D18" s="1663"/>
      <c r="E18" s="1732"/>
      <c r="F18" s="1731">
        <f>SUM(C18+D18)-E18</f>
        <v>0</v>
      </c>
    </row>
    <row r="19" spans="1:11" ht="12.75" customHeight="1" thickTop="1" thickBot="1" x14ac:dyDescent="0.25">
      <c r="A19" s="2289" t="s">
        <v>385</v>
      </c>
      <c r="B19" s="2290"/>
      <c r="C19" s="1732"/>
      <c r="D19" s="1663"/>
      <c r="E19" s="1732"/>
      <c r="F19" s="1731">
        <f>SUM(C19+D19)-E19</f>
        <v>0</v>
      </c>
    </row>
    <row r="20" spans="1:11" ht="12.75" customHeight="1" thickTop="1" thickBot="1" x14ac:dyDescent="0.25">
      <c r="A20" s="2289" t="s">
        <v>445</v>
      </c>
      <c r="B20" s="2290"/>
      <c r="C20" s="1732"/>
      <c r="D20" s="1663"/>
      <c r="E20" s="1732"/>
      <c r="F20" s="1731">
        <f>SUM(C20+D20)-E20</f>
        <v>0</v>
      </c>
    </row>
    <row r="21" spans="1:11" ht="14.25" thickTop="1" thickBot="1" x14ac:dyDescent="0.25">
      <c r="A21" s="2291" t="s">
        <v>628</v>
      </c>
      <c r="B21" s="2292"/>
      <c r="C21" s="1731">
        <f>SUM(C17:C20)</f>
        <v>0</v>
      </c>
      <c r="D21" s="1731">
        <f>SUM(D17:D20)</f>
        <v>0</v>
      </c>
      <c r="E21" s="1731">
        <f>SUM(E17:E20)</f>
        <v>0</v>
      </c>
      <c r="F21" s="1731">
        <f>SUM(F17:F20)</f>
        <v>0</v>
      </c>
      <c r="G21" s="473"/>
    </row>
    <row r="22" spans="1:11" ht="15.75" customHeight="1" thickTop="1" x14ac:dyDescent="0.2">
      <c r="A22" s="2293" t="s">
        <v>1105</v>
      </c>
      <c r="B22" s="2294"/>
      <c r="C22" s="2286"/>
      <c r="D22" s="2287"/>
      <c r="E22" s="2287"/>
      <c r="F22" s="2288"/>
    </row>
    <row r="23" spans="1:11" ht="13.5" thickBot="1" x14ac:dyDescent="0.25">
      <c r="A23" s="2295" t="s">
        <v>629</v>
      </c>
      <c r="B23" s="2296"/>
      <c r="C23" s="1655"/>
      <c r="D23" s="1655"/>
      <c r="E23" s="1655"/>
      <c r="F23" s="1731">
        <f>SUM(C23+D23)-E23</f>
        <v>0</v>
      </c>
      <c r="G23" s="473"/>
    </row>
    <row r="24" spans="1:11" ht="15.75" customHeight="1" thickTop="1" x14ac:dyDescent="0.2">
      <c r="A24" s="2293" t="s">
        <v>2009</v>
      </c>
      <c r="B24" s="2294"/>
      <c r="C24" s="2286"/>
      <c r="D24" s="2287"/>
      <c r="E24" s="2287"/>
      <c r="F24" s="2288"/>
    </row>
    <row r="25" spans="1:11" ht="13.5" thickBot="1" x14ac:dyDescent="0.25">
      <c r="A25" s="2295" t="s">
        <v>2010</v>
      </c>
      <c r="B25" s="2296"/>
      <c r="C25" s="1655"/>
      <c r="D25" s="1655"/>
      <c r="E25" s="1655"/>
      <c r="F25" s="1731">
        <f>SUM(C25+D25)-E25</f>
        <v>0</v>
      </c>
      <c r="G25" s="473"/>
    </row>
    <row r="26" spans="1:11" ht="15.75" customHeight="1" thickTop="1" x14ac:dyDescent="0.2">
      <c r="A26" s="2307" t="s">
        <v>652</v>
      </c>
      <c r="B26" s="2294"/>
      <c r="C26" s="589"/>
      <c r="D26" s="589"/>
      <c r="E26" s="589"/>
      <c r="F26" s="590"/>
    </row>
    <row r="27" spans="1:11" ht="13.5" thickBot="1" x14ac:dyDescent="0.25">
      <c r="A27" s="2291" t="s">
        <v>1063</v>
      </c>
      <c r="B27" s="2292"/>
      <c r="C27" s="1663"/>
      <c r="D27" s="1663"/>
      <c r="E27" s="1663"/>
      <c r="F27" s="1731">
        <f>SUM(C27+D27)-E27</f>
        <v>0</v>
      </c>
      <c r="G27" s="473"/>
    </row>
    <row r="28" spans="1:11" ht="7.5" customHeight="1" thickTop="1" x14ac:dyDescent="0.2">
      <c r="A28" s="489"/>
    </row>
    <row r="29" spans="1:11" ht="23.25" customHeight="1" x14ac:dyDescent="0.2">
      <c r="A29" s="2297" t="s">
        <v>578</v>
      </c>
      <c r="B29" s="2298"/>
      <c r="C29" s="591"/>
      <c r="D29" s="591"/>
      <c r="E29" s="591"/>
      <c r="F29" s="591"/>
      <c r="G29" s="591"/>
      <c r="H29" s="591"/>
      <c r="I29" s="591"/>
      <c r="J29" s="591"/>
    </row>
    <row r="30" spans="1:11" ht="33.75" x14ac:dyDescent="0.2">
      <c r="A30" s="1297"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1880</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1918" t="s">
        <v>2039</v>
      </c>
      <c r="B31" s="1919">
        <v>41061</v>
      </c>
      <c r="C31" s="1920">
        <v>3900000</v>
      </c>
      <c r="D31" s="1921">
        <v>8</v>
      </c>
      <c r="E31" s="1733">
        <v>1735000</v>
      </c>
      <c r="F31" s="1733"/>
      <c r="G31" s="1733"/>
      <c r="H31" s="1733">
        <v>560000</v>
      </c>
      <c r="I31" s="1735">
        <f>((E31+F31)-H31)+G31</f>
        <v>1175000</v>
      </c>
      <c r="J31" s="1733">
        <v>1169964</v>
      </c>
      <c r="K31" s="596"/>
    </row>
    <row r="32" spans="1:11" ht="12" customHeight="1" x14ac:dyDescent="0.2">
      <c r="A32" s="1918"/>
      <c r="B32" s="1919"/>
      <c r="C32" s="1920"/>
      <c r="D32" s="1921"/>
      <c r="E32" s="1733">
        <v>0</v>
      </c>
      <c r="F32" s="1733"/>
      <c r="G32" s="1733"/>
      <c r="H32" s="1733"/>
      <c r="I32" s="1735">
        <f>((E32+F32)-H32)+G32</f>
        <v>0</v>
      </c>
      <c r="J32" s="1733"/>
      <c r="K32" s="596"/>
    </row>
    <row r="33" spans="1:11" ht="12" customHeight="1" x14ac:dyDescent="0.2">
      <c r="A33" s="594" t="s">
        <v>2047</v>
      </c>
      <c r="B33" s="595">
        <v>43952</v>
      </c>
      <c r="C33" s="1733">
        <v>1500000</v>
      </c>
      <c r="D33" s="1734">
        <v>7</v>
      </c>
      <c r="E33" s="1733">
        <v>0</v>
      </c>
      <c r="F33" s="1733">
        <v>1500000</v>
      </c>
      <c r="G33" s="1733"/>
      <c r="H33" s="1733"/>
      <c r="I33" s="1735">
        <f t="shared" ref="I33:I48" si="1">((E33+F33)-H33)+G33</f>
        <v>1500000</v>
      </c>
      <c r="J33" s="1733">
        <v>1500000</v>
      </c>
      <c r="K33" s="596"/>
    </row>
    <row r="34" spans="1:11" ht="12" customHeight="1" x14ac:dyDescent="0.2">
      <c r="A34" s="594"/>
      <c r="B34" s="595"/>
      <c r="C34" s="1733"/>
      <c r="D34" s="1734"/>
      <c r="E34" s="1733">
        <v>0</v>
      </c>
      <c r="F34" s="1733"/>
      <c r="G34" s="1733"/>
      <c r="H34" s="1733"/>
      <c r="I34" s="1735">
        <f t="shared" si="1"/>
        <v>0</v>
      </c>
      <c r="J34" s="1733"/>
      <c r="K34" s="597"/>
    </row>
    <row r="35" spans="1:11" ht="12" customHeight="1" x14ac:dyDescent="0.2">
      <c r="A35" s="594"/>
      <c r="B35" s="595"/>
      <c r="C35" s="1736"/>
      <c r="D35" s="1734"/>
      <c r="E35" s="1736">
        <v>0</v>
      </c>
      <c r="F35" s="1736"/>
      <c r="G35" s="1736"/>
      <c r="H35" s="1736"/>
      <c r="I35" s="1735">
        <f t="shared" si="1"/>
        <v>0</v>
      </c>
      <c r="J35" s="1736"/>
      <c r="K35" s="597"/>
    </row>
    <row r="36" spans="1:11" ht="12" customHeight="1" x14ac:dyDescent="0.2">
      <c r="A36" s="594"/>
      <c r="B36" s="595"/>
      <c r="C36" s="1733"/>
      <c r="D36" s="1734"/>
      <c r="E36" s="1733">
        <v>0</v>
      </c>
      <c r="F36" s="1733"/>
      <c r="G36" s="1733"/>
      <c r="H36" s="1733"/>
      <c r="I36" s="1735">
        <f t="shared" si="1"/>
        <v>0</v>
      </c>
      <c r="J36" s="1733"/>
      <c r="K36" s="598"/>
    </row>
    <row r="37" spans="1:11" ht="12" customHeight="1" x14ac:dyDescent="0.2">
      <c r="A37" s="594"/>
      <c r="B37" s="595"/>
      <c r="C37" s="1573"/>
      <c r="D37" s="1737"/>
      <c r="E37" s="1573">
        <v>0</v>
      </c>
      <c r="F37" s="1573"/>
      <c r="G37" s="1573"/>
      <c r="H37" s="1573"/>
      <c r="I37" s="1735">
        <f t="shared" si="1"/>
        <v>0</v>
      </c>
      <c r="J37" s="1573"/>
      <c r="K37" s="597"/>
    </row>
    <row r="38" spans="1:11" ht="12" customHeight="1" x14ac:dyDescent="0.2">
      <c r="A38" s="594"/>
      <c r="B38" s="595"/>
      <c r="C38" s="1733"/>
      <c r="D38" s="1738"/>
      <c r="E38" s="1739">
        <v>0</v>
      </c>
      <c r="F38" s="1739"/>
      <c r="G38" s="1739"/>
      <c r="H38" s="1739"/>
      <c r="I38" s="1735">
        <f t="shared" si="1"/>
        <v>0</v>
      </c>
      <c r="J38" s="1740" t="s">
        <v>262</v>
      </c>
      <c r="K38" s="599"/>
    </row>
    <row r="39" spans="1:11" ht="12" customHeight="1" x14ac:dyDescent="0.2">
      <c r="A39" s="594"/>
      <c r="B39" s="595"/>
      <c r="C39" s="1733"/>
      <c r="D39" s="1738"/>
      <c r="E39" s="1739">
        <v>0</v>
      </c>
      <c r="F39" s="1739"/>
      <c r="G39" s="1739"/>
      <c r="H39" s="1739"/>
      <c r="I39" s="1735">
        <f t="shared" si="1"/>
        <v>0</v>
      </c>
      <c r="J39" s="1740"/>
      <c r="K39" s="599"/>
    </row>
    <row r="40" spans="1:11" ht="12" customHeight="1" x14ac:dyDescent="0.2">
      <c r="A40" s="594"/>
      <c r="B40" s="595"/>
      <c r="C40" s="1733"/>
      <c r="D40" s="1738"/>
      <c r="E40" s="1739">
        <v>0</v>
      </c>
      <c r="F40" s="1739"/>
      <c r="G40" s="1739"/>
      <c r="H40" s="1739"/>
      <c r="I40" s="1735">
        <f t="shared" si="1"/>
        <v>0</v>
      </c>
      <c r="J40" s="1740"/>
      <c r="K40" s="599"/>
    </row>
    <row r="41" spans="1:11" ht="12" customHeight="1" x14ac:dyDescent="0.2">
      <c r="A41" s="594"/>
      <c r="B41" s="595"/>
      <c r="C41" s="1733"/>
      <c r="D41" s="1738"/>
      <c r="E41" s="1739">
        <v>0</v>
      </c>
      <c r="F41" s="1739"/>
      <c r="G41" s="1739"/>
      <c r="H41" s="1739"/>
      <c r="I41" s="1735">
        <f t="shared" si="1"/>
        <v>0</v>
      </c>
      <c r="J41" s="1740"/>
      <c r="K41" s="599"/>
    </row>
    <row r="42" spans="1:11" ht="12" customHeight="1" x14ac:dyDescent="0.2">
      <c r="A42" s="594"/>
      <c r="B42" s="595"/>
      <c r="C42" s="1733"/>
      <c r="D42" s="1738"/>
      <c r="E42" s="1739">
        <v>0</v>
      </c>
      <c r="F42" s="1739"/>
      <c r="G42" s="1739"/>
      <c r="H42" s="1739"/>
      <c r="I42" s="1735">
        <f t="shared" si="1"/>
        <v>0</v>
      </c>
      <c r="J42" s="1740"/>
      <c r="K42" s="599"/>
    </row>
    <row r="43" spans="1:11" ht="12" customHeight="1" x14ac:dyDescent="0.2">
      <c r="A43" s="594"/>
      <c r="B43" s="595"/>
      <c r="C43" s="1733"/>
      <c r="D43" s="1738"/>
      <c r="E43" s="1739">
        <v>0</v>
      </c>
      <c r="F43" s="1739"/>
      <c r="G43" s="1739"/>
      <c r="H43" s="1739"/>
      <c r="I43" s="1735">
        <f t="shared" si="1"/>
        <v>0</v>
      </c>
      <c r="J43" s="1740"/>
      <c r="K43" s="599"/>
    </row>
    <row r="44" spans="1:11" ht="12" customHeight="1" x14ac:dyDescent="0.2">
      <c r="A44" s="594"/>
      <c r="B44" s="595"/>
      <c r="C44" s="1733"/>
      <c r="D44" s="1734"/>
      <c r="E44" s="1733">
        <v>0</v>
      </c>
      <c r="F44" s="1733"/>
      <c r="G44" s="1733"/>
      <c r="H44" s="1733"/>
      <c r="I44" s="1735">
        <f t="shared" si="1"/>
        <v>0</v>
      </c>
      <c r="J44" s="1733"/>
      <c r="K44" s="597"/>
    </row>
    <row r="45" spans="1:11" ht="12" customHeight="1" x14ac:dyDescent="0.2">
      <c r="A45" s="594"/>
      <c r="B45" s="595"/>
      <c r="C45" s="1733"/>
      <c r="D45" s="1734"/>
      <c r="E45" s="1733">
        <v>0</v>
      </c>
      <c r="F45" s="1733"/>
      <c r="G45" s="1733"/>
      <c r="H45" s="1733"/>
      <c r="I45" s="1735">
        <f t="shared" si="1"/>
        <v>0</v>
      </c>
      <c r="J45" s="1733"/>
      <c r="K45" s="597"/>
    </row>
    <row r="46" spans="1:11" ht="12" customHeight="1" x14ac:dyDescent="0.2">
      <c r="A46" s="594"/>
      <c r="B46" s="595"/>
      <c r="C46" s="1733"/>
      <c r="D46" s="1734"/>
      <c r="E46" s="1733">
        <v>0</v>
      </c>
      <c r="F46" s="1733"/>
      <c r="G46" s="1733"/>
      <c r="H46" s="1733"/>
      <c r="I46" s="1735">
        <f t="shared" si="1"/>
        <v>0</v>
      </c>
      <c r="J46" s="1733"/>
      <c r="K46" s="597"/>
    </row>
    <row r="47" spans="1:11" ht="12" customHeight="1" x14ac:dyDescent="0.2">
      <c r="A47" s="594"/>
      <c r="B47" s="595"/>
      <c r="C47" s="1736"/>
      <c r="D47" s="1734"/>
      <c r="E47" s="1736">
        <v>0</v>
      </c>
      <c r="F47" s="1736"/>
      <c r="G47" s="1736"/>
      <c r="H47" s="1736"/>
      <c r="I47" s="1735">
        <f t="shared" si="1"/>
        <v>0</v>
      </c>
      <c r="J47" s="1736"/>
      <c r="K47" s="597"/>
    </row>
    <row r="48" spans="1:11" ht="12" customHeight="1" x14ac:dyDescent="0.2">
      <c r="A48" s="594"/>
      <c r="B48" s="595"/>
      <c r="C48" s="1733"/>
      <c r="D48" s="1734"/>
      <c r="E48" s="1733">
        <v>0</v>
      </c>
      <c r="F48" s="1733"/>
      <c r="G48" s="1733"/>
      <c r="H48" s="1733"/>
      <c r="I48" s="1735">
        <f t="shared" si="1"/>
        <v>0</v>
      </c>
      <c r="J48" s="1733"/>
      <c r="K48" s="597"/>
    </row>
    <row r="49" spans="1:11" ht="12" customHeight="1" x14ac:dyDescent="0.2">
      <c r="A49" s="594"/>
      <c r="B49" s="595"/>
      <c r="C49" s="1735">
        <f>SUM(C31:C48)</f>
        <v>5400000</v>
      </c>
      <c r="D49" s="1741"/>
      <c r="E49" s="1735">
        <f t="shared" ref="E49:J49" si="2">SUM(E31:E48)</f>
        <v>1735000</v>
      </c>
      <c r="F49" s="1735">
        <f t="shared" si="2"/>
        <v>1500000</v>
      </c>
      <c r="G49" s="1735">
        <f t="shared" si="2"/>
        <v>0</v>
      </c>
      <c r="H49" s="1735">
        <f t="shared" si="2"/>
        <v>560000</v>
      </c>
      <c r="I49" s="1735">
        <f t="shared" si="2"/>
        <v>2675000</v>
      </c>
      <c r="J49" s="1735">
        <f t="shared" si="2"/>
        <v>2669964</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1" t="s">
        <v>580</v>
      </c>
      <c r="C52" s="2302"/>
      <c r="D52" s="2302"/>
      <c r="E52" s="603" t="s">
        <v>840</v>
      </c>
      <c r="F52" s="2303" t="s">
        <v>2048</v>
      </c>
      <c r="G52" s="2304"/>
      <c r="H52" s="596"/>
      <c r="I52" s="596"/>
      <c r="J52" s="600"/>
    </row>
    <row r="53" spans="1:11" ht="11.25" customHeight="1" x14ac:dyDescent="0.2">
      <c r="A53" s="604" t="s">
        <v>907</v>
      </c>
      <c r="B53" s="605" t="s">
        <v>945</v>
      </c>
      <c r="C53" s="600"/>
      <c r="D53" s="597"/>
      <c r="E53" s="603" t="s">
        <v>494</v>
      </c>
      <c r="F53" s="2305" t="s">
        <v>2049</v>
      </c>
      <c r="G53" s="2306"/>
      <c r="H53" s="596"/>
      <c r="I53" s="596"/>
      <c r="J53" s="600"/>
    </row>
    <row r="54" spans="1:11" ht="11.25" customHeight="1" x14ac:dyDescent="0.2">
      <c r="A54" s="606" t="s">
        <v>908</v>
      </c>
      <c r="B54" s="601" t="s">
        <v>946</v>
      </c>
      <c r="C54" s="600"/>
      <c r="D54" s="597"/>
      <c r="E54" s="603" t="s">
        <v>495</v>
      </c>
      <c r="F54" s="2305"/>
      <c r="G54" s="230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sheet="1" objects="1" scenarios="1"/>
  <mergeCells count="28">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s>
  <phoneticPr fontId="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5" bottom="0.25" header="0.28999999999999998" footer="0.1"/>
  <pageSetup scale="73"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8"/>
  <sheetViews>
    <sheetView showGridLines="0" defaultGridColor="0" topLeftCell="A4" colorId="8" zoomScale="110" zoomScaleNormal="110" workbookViewId="0">
      <selection activeCell="H15" sqref="H15"/>
    </sheetView>
  </sheetViews>
  <sheetFormatPr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851</v>
      </c>
      <c r="B1" s="2323"/>
      <c r="C1" s="2323"/>
      <c r="D1" s="2323"/>
      <c r="E1" s="2323"/>
      <c r="F1" s="2323"/>
      <c r="G1" s="2324"/>
      <c r="H1" s="1298"/>
      <c r="I1" s="614"/>
      <c r="J1" s="400"/>
    </row>
    <row r="2" spans="1:11" ht="26.25" x14ac:dyDescent="0.2">
      <c r="A2" s="2335" t="s">
        <v>1661</v>
      </c>
      <c r="B2" s="2336"/>
      <c r="C2" s="2336"/>
      <c r="D2" s="2336"/>
      <c r="E2" s="2337"/>
      <c r="F2" s="615" t="s">
        <v>898</v>
      </c>
      <c r="G2" s="616" t="s">
        <v>1658</v>
      </c>
      <c r="H2" s="616" t="s">
        <v>407</v>
      </c>
      <c r="I2" s="616" t="s">
        <v>1150</v>
      </c>
      <c r="J2" s="616" t="s">
        <v>1792</v>
      </c>
      <c r="K2" s="616" t="s">
        <v>137</v>
      </c>
    </row>
    <row r="3" spans="1:11" x14ac:dyDescent="0.2">
      <c r="A3" s="2338" t="str">
        <f>"Cash Basis Fund Balance as of July 1, "&amp;'AFR20'!E2-1</f>
        <v>Cash Basis Fund Balance as of July 1, 2019</v>
      </c>
      <c r="B3" s="2339"/>
      <c r="C3" s="2339"/>
      <c r="D3" s="2339"/>
      <c r="E3" s="2340"/>
      <c r="F3" s="617"/>
      <c r="G3" s="1743"/>
      <c r="H3" s="1743"/>
      <c r="I3" s="1743"/>
      <c r="J3" s="1744"/>
      <c r="K3" s="1744"/>
    </row>
    <row r="4" spans="1:11" x14ac:dyDescent="0.2">
      <c r="A4" s="2341" t="s">
        <v>366</v>
      </c>
      <c r="B4" s="2342"/>
      <c r="C4" s="2342"/>
      <c r="D4" s="2342"/>
      <c r="E4" s="2302"/>
      <c r="F4" s="620"/>
      <c r="G4" s="1745"/>
      <c r="H4" s="1746"/>
      <c r="I4" s="1745"/>
      <c r="J4" s="1747"/>
      <c r="K4" s="1747"/>
    </row>
    <row r="5" spans="1:11" x14ac:dyDescent="0.2">
      <c r="A5" s="2325" t="s">
        <v>1062</v>
      </c>
      <c r="B5" s="2315"/>
      <c r="C5" s="2315"/>
      <c r="D5" s="2315"/>
      <c r="E5" s="2326"/>
      <c r="F5" s="622" t="s">
        <v>843</v>
      </c>
      <c r="G5" s="1748"/>
      <c r="H5" s="1743">
        <v>700894</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597">
        <v>22271</v>
      </c>
    </row>
    <row r="8" spans="1:11" x14ac:dyDescent="0.2">
      <c r="A8" s="629" t="s">
        <v>342</v>
      </c>
      <c r="B8" s="630"/>
      <c r="C8" s="630"/>
      <c r="D8" s="630"/>
      <c r="E8" s="631"/>
      <c r="F8" s="622" t="s">
        <v>846</v>
      </c>
      <c r="G8" s="1752"/>
      <c r="H8" s="1752"/>
      <c r="I8" s="1752"/>
      <c r="J8" s="1597">
        <v>373906</v>
      </c>
      <c r="K8" s="1747"/>
    </row>
    <row r="9" spans="1:11" ht="13.5" thickBot="1" x14ac:dyDescent="0.25">
      <c r="A9" s="629" t="s">
        <v>137</v>
      </c>
      <c r="B9" s="630"/>
      <c r="C9" s="630"/>
      <c r="D9" s="630"/>
      <c r="E9" s="631"/>
      <c r="F9" s="628" t="s">
        <v>848</v>
      </c>
      <c r="G9" s="1752"/>
      <c r="H9" s="1748"/>
      <c r="I9" s="1748"/>
      <c r="J9" s="1751"/>
      <c r="K9" s="1648">
        <v>21491</v>
      </c>
    </row>
    <row r="10" spans="1:11" ht="13.5" thickTop="1" x14ac:dyDescent="0.2">
      <c r="A10" s="2325" t="s">
        <v>1793</v>
      </c>
      <c r="B10" s="2315"/>
      <c r="C10" s="2315"/>
      <c r="D10" s="2315"/>
      <c r="E10" s="2327"/>
      <c r="F10" s="633" t="s">
        <v>857</v>
      </c>
      <c r="G10" s="1752"/>
      <c r="H10" s="1753"/>
      <c r="I10" s="1743"/>
      <c r="J10" s="1744"/>
      <c r="K10" s="1744"/>
    </row>
    <row r="11" spans="1:11" x14ac:dyDescent="0.2">
      <c r="A11" s="2325" t="s">
        <v>159</v>
      </c>
      <c r="B11" s="2315"/>
      <c r="C11" s="2315"/>
      <c r="D11" s="2315"/>
      <c r="E11" s="2326"/>
      <c r="F11" s="622" t="s">
        <v>847</v>
      </c>
      <c r="G11" s="1748"/>
      <c r="H11" s="1743"/>
      <c r="I11" s="1743"/>
      <c r="J11" s="1744"/>
      <c r="K11" s="1750"/>
    </row>
    <row r="12" spans="1:11" ht="13.5" thickBot="1" x14ac:dyDescent="0.25">
      <c r="A12" s="2346" t="s">
        <v>899</v>
      </c>
      <c r="B12" s="2347"/>
      <c r="C12" s="2347"/>
      <c r="D12" s="2347"/>
      <c r="E12" s="2348"/>
      <c r="F12" s="1433"/>
      <c r="G12" s="1754">
        <f>SUM(G5:G11)</f>
        <v>0</v>
      </c>
      <c r="H12" s="1754">
        <f>SUM(H5:H11)</f>
        <v>700894</v>
      </c>
      <c r="I12" s="1754">
        <f>SUM(I5:I11)</f>
        <v>0</v>
      </c>
      <c r="J12" s="1754">
        <f>SUM(J5:J11)</f>
        <v>373906</v>
      </c>
      <c r="K12" s="1754">
        <f>SUM(K5:K11)</f>
        <v>43762</v>
      </c>
    </row>
    <row r="13" spans="1:11" ht="13.5" thickTop="1" x14ac:dyDescent="0.2">
      <c r="A13" s="2343" t="s">
        <v>367</v>
      </c>
      <c r="B13" s="2344"/>
      <c r="C13" s="2344"/>
      <c r="D13" s="2344"/>
      <c r="E13" s="2345"/>
      <c r="F13" s="634"/>
      <c r="G13" s="1755"/>
      <c r="H13" s="1756"/>
      <c r="I13" s="1757"/>
      <c r="J13" s="1757"/>
      <c r="K13" s="1757"/>
    </row>
    <row r="14" spans="1:11" x14ac:dyDescent="0.2">
      <c r="A14" s="2331" t="s">
        <v>453</v>
      </c>
      <c r="B14" s="2331"/>
      <c r="C14" s="2331"/>
      <c r="D14" s="2331"/>
      <c r="E14" s="2332"/>
      <c r="F14" s="635" t="s">
        <v>849</v>
      </c>
      <c r="G14" s="1752"/>
      <c r="H14" s="1743">
        <v>700894</v>
      </c>
      <c r="I14" s="1748"/>
      <c r="J14" s="1750"/>
      <c r="K14" s="1744">
        <v>43762</v>
      </c>
    </row>
    <row r="15" spans="1:11" x14ac:dyDescent="0.2">
      <c r="A15" s="2315" t="s">
        <v>4</v>
      </c>
      <c r="B15" s="2315"/>
      <c r="C15" s="2315"/>
      <c r="D15" s="2315"/>
      <c r="E15" s="2326"/>
      <c r="F15" s="635" t="s">
        <v>850</v>
      </c>
      <c r="G15" s="1748"/>
      <c r="H15" s="1743"/>
      <c r="I15" s="1743"/>
      <c r="J15" s="1744">
        <v>373906</v>
      </c>
      <c r="K15" s="1744"/>
    </row>
    <row r="16" spans="1:11" x14ac:dyDescent="0.2">
      <c r="A16" s="2315" t="s">
        <v>295</v>
      </c>
      <c r="B16" s="2315"/>
      <c r="C16" s="2315"/>
      <c r="D16" s="2315"/>
      <c r="E16" s="2326"/>
      <c r="F16" s="635" t="s">
        <v>917</v>
      </c>
      <c r="G16" s="1749"/>
      <c r="H16" s="1745"/>
      <c r="I16" s="1745"/>
      <c r="J16" s="1747"/>
      <c r="K16" s="1747"/>
    </row>
    <row r="17" spans="1:15" x14ac:dyDescent="0.2">
      <c r="A17" s="2320" t="s">
        <v>929</v>
      </c>
      <c r="B17" s="2320"/>
      <c r="C17" s="2320"/>
      <c r="D17" s="2320"/>
      <c r="E17" s="2321"/>
      <c r="F17" s="636"/>
      <c r="G17" s="1758"/>
      <c r="H17" s="1759"/>
      <c r="I17" s="1759"/>
      <c r="J17" s="1760"/>
      <c r="K17" s="1761"/>
    </row>
    <row r="18" spans="1:15" x14ac:dyDescent="0.2">
      <c r="A18" s="2317" t="s">
        <v>365</v>
      </c>
      <c r="B18" s="2318"/>
      <c r="C18" s="2318"/>
      <c r="D18" s="2318"/>
      <c r="E18" s="2319"/>
      <c r="F18" s="635" t="s">
        <v>926</v>
      </c>
      <c r="G18" s="1752"/>
      <c r="H18" s="1752"/>
      <c r="I18" s="1752"/>
      <c r="J18" s="1744"/>
      <c r="K18" s="1762"/>
    </row>
    <row r="19" spans="1:15" ht="21.75" customHeight="1" x14ac:dyDescent="0.2">
      <c r="A19" s="2315" t="s">
        <v>1789</v>
      </c>
      <c r="B19" s="2315"/>
      <c r="C19" s="2315"/>
      <c r="D19" s="2315"/>
      <c r="E19" s="2316"/>
      <c r="F19" s="635" t="s">
        <v>927</v>
      </c>
      <c r="G19" s="1752"/>
      <c r="H19" s="1752"/>
      <c r="I19" s="1752"/>
      <c r="J19" s="1744"/>
      <c r="K19" s="1762"/>
    </row>
    <row r="20" spans="1:15" x14ac:dyDescent="0.2">
      <c r="A20" s="2317" t="s">
        <v>1794</v>
      </c>
      <c r="B20" s="2318"/>
      <c r="C20" s="2318"/>
      <c r="D20" s="2318"/>
      <c r="E20" s="2319"/>
      <c r="F20" s="635" t="s">
        <v>928</v>
      </c>
      <c r="G20" s="1752"/>
      <c r="H20" s="1752"/>
      <c r="I20" s="1752"/>
      <c r="J20" s="1744"/>
      <c r="K20" s="1762"/>
    </row>
    <row r="21" spans="1:15" ht="13.5" thickBot="1" x14ac:dyDescent="0.25">
      <c r="A21" s="2349" t="s">
        <v>633</v>
      </c>
      <c r="B21" s="2349"/>
      <c r="C21" s="2349"/>
      <c r="D21" s="2349"/>
      <c r="E21" s="2349"/>
      <c r="F21" s="1434"/>
      <c r="G21" s="1759"/>
      <c r="H21" s="1763"/>
      <c r="I21" s="1763"/>
      <c r="J21" s="1764">
        <f>SUM(J18:J20)</f>
        <v>0</v>
      </c>
      <c r="K21" s="1760"/>
    </row>
    <row r="22" spans="1:15" ht="13.5" thickTop="1" x14ac:dyDescent="0.2">
      <c r="A22" s="2315" t="s">
        <v>1795</v>
      </c>
      <c r="B22" s="2315"/>
      <c r="C22" s="2315"/>
      <c r="D22" s="2315"/>
      <c r="E22" s="2326"/>
      <c r="F22" s="635" t="s">
        <v>857</v>
      </c>
      <c r="G22" s="1752"/>
      <c r="H22" s="1743"/>
      <c r="I22" s="1743"/>
      <c r="J22" s="1765"/>
      <c r="K22" s="1744"/>
    </row>
    <row r="23" spans="1:15" ht="13.5" thickBot="1" x14ac:dyDescent="0.25">
      <c r="A23" s="2350" t="s">
        <v>900</v>
      </c>
      <c r="B23" s="2349"/>
      <c r="C23" s="2349"/>
      <c r="D23" s="2349"/>
      <c r="E23" s="2349"/>
      <c r="F23" s="1436"/>
      <c r="G23" s="1754">
        <f>SUM(G14:G16,G21,G22)</f>
        <v>0</v>
      </c>
      <c r="H23" s="1754">
        <f>SUM(H14:H16,H21,H22)</f>
        <v>700894</v>
      </c>
      <c r="I23" s="1754">
        <f>SUM(I14:I16,I21,I22)</f>
        <v>0</v>
      </c>
      <c r="J23" s="1754">
        <f>SUM(J14:J16,J21,J22)</f>
        <v>373906</v>
      </c>
      <c r="K23" s="1754">
        <f>SUM(K14:K16,K21,K22)</f>
        <v>43762</v>
      </c>
      <c r="M23" s="1845"/>
      <c r="N23" s="1845"/>
      <c r="O23" s="1845"/>
    </row>
    <row r="24" spans="1:15" ht="14.25" thickTop="1" thickBot="1" x14ac:dyDescent="0.25">
      <c r="A24" s="2351" t="str">
        <f>"Ending Cash Basis Fund Balance as of June 30, "&amp;'AFR20'!E2</f>
        <v>Ending Cash Basis Fund Balance as of June 30, 2020</v>
      </c>
      <c r="B24" s="2352"/>
      <c r="C24" s="2352"/>
      <c r="D24" s="2352"/>
      <c r="E24" s="2352"/>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1161</v>
      </c>
      <c r="B33" s="341"/>
      <c r="C33" s="341"/>
      <c r="D33" s="341"/>
      <c r="E33" s="341"/>
      <c r="F33" s="341"/>
      <c r="G33" s="653"/>
      <c r="H33" s="2330"/>
      <c r="I33" s="2329"/>
      <c r="J33" s="2329"/>
      <c r="K33" s="2329"/>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5" t="s">
        <v>538</v>
      </c>
      <c r="B41" s="2333"/>
      <c r="C41" s="2333"/>
      <c r="D41" s="2333"/>
      <c r="E41" s="2333"/>
      <c r="F41" s="233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sheet="1" objects="1" scenarios="1"/>
  <mergeCells count="22">
    <mergeCell ref="A13:E13"/>
    <mergeCell ref="A18:E18"/>
    <mergeCell ref="A12:E12"/>
    <mergeCell ref="A21:E21"/>
    <mergeCell ref="A23:E23"/>
    <mergeCell ref="A24:E24"/>
    <mergeCell ref="H31:K33"/>
    <mergeCell ref="A14:E14"/>
    <mergeCell ref="A15:E15"/>
    <mergeCell ref="A16:E16"/>
    <mergeCell ref="A22:E22"/>
    <mergeCell ref="A41:F41"/>
    <mergeCell ref="A19:E19"/>
    <mergeCell ref="A20:E20"/>
    <mergeCell ref="A17:E17"/>
    <mergeCell ref="A1:G1"/>
    <mergeCell ref="A5:E5"/>
    <mergeCell ref="A11:E11"/>
    <mergeCell ref="A10:E10"/>
    <mergeCell ref="A2:E2"/>
    <mergeCell ref="A3:E3"/>
    <mergeCell ref="A4:E4"/>
  </mergeCells>
  <phoneticPr fontId="7" type="noConversion"/>
  <printOptions headings="1"/>
  <pageMargins left="0.35" right="0.17" top="0.57999999999999996" bottom="0.4" header="0.28999999999999998"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2" sqref="F12:F14"/>
    </sheetView>
  </sheetViews>
  <sheetFormatPr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5" t="s">
        <v>1878</v>
      </c>
      <c r="B1" s="2356"/>
      <c r="C1" s="2357"/>
      <c r="D1" s="666"/>
      <c r="E1" s="667"/>
      <c r="F1" s="667"/>
      <c r="G1" s="668"/>
      <c r="H1" s="669"/>
      <c r="I1" s="670"/>
      <c r="J1" s="2353"/>
      <c r="K1" s="2354"/>
      <c r="L1" s="2354"/>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886</v>
      </c>
      <c r="B3" s="1365">
        <v>210</v>
      </c>
      <c r="C3" s="1768">
        <v>0</v>
      </c>
      <c r="D3" s="1768"/>
      <c r="E3" s="1768"/>
      <c r="F3" s="1764">
        <f>(C3+D3)-E3</f>
        <v>0</v>
      </c>
      <c r="G3" s="675"/>
      <c r="H3" s="674">
        <v>0</v>
      </c>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887</v>
      </c>
      <c r="B5" s="679">
        <v>221</v>
      </c>
      <c r="C5" s="1769">
        <v>70404</v>
      </c>
      <c r="D5" s="1769"/>
      <c r="E5" s="1769"/>
      <c r="F5" s="1764">
        <f>(C5+D5)-E5</f>
        <v>70404</v>
      </c>
      <c r="G5" s="676"/>
      <c r="H5" s="680"/>
      <c r="I5" s="680"/>
      <c r="J5" s="680"/>
      <c r="K5" s="637"/>
      <c r="L5" s="1442">
        <f>F5-K5</f>
        <v>70404</v>
      </c>
    </row>
    <row r="6" spans="1:14" ht="14.25" thickTop="1" thickBot="1" x14ac:dyDescent="0.25">
      <c r="A6" s="629" t="s">
        <v>1109</v>
      </c>
      <c r="B6" s="679">
        <v>222</v>
      </c>
      <c r="C6" s="1744">
        <v>0</v>
      </c>
      <c r="D6" s="1744"/>
      <c r="E6" s="1744"/>
      <c r="F6" s="1764">
        <f>(C6+D6)-E6</f>
        <v>0</v>
      </c>
      <c r="G6" s="676">
        <v>50</v>
      </c>
      <c r="H6" s="619">
        <v>0</v>
      </c>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1110</v>
      </c>
      <c r="B8" s="679">
        <v>231</v>
      </c>
      <c r="C8" s="1770">
        <v>16158665</v>
      </c>
      <c r="D8" s="1770">
        <v>718329</v>
      </c>
      <c r="E8" s="1770"/>
      <c r="F8" s="1764">
        <f>(C8+D8)-E8</f>
        <v>16876994</v>
      </c>
      <c r="G8" s="681">
        <v>50</v>
      </c>
      <c r="H8" s="619">
        <v>7155041</v>
      </c>
      <c r="I8" s="619">
        <v>337540</v>
      </c>
      <c r="J8" s="619"/>
      <c r="K8" s="1442">
        <f>(H8+I8)-J8</f>
        <v>7492581</v>
      </c>
      <c r="L8" s="1442">
        <f>F8-K8</f>
        <v>9384413</v>
      </c>
    </row>
    <row r="9" spans="1:14" ht="14.25" thickTop="1" thickBot="1" x14ac:dyDescent="0.25">
      <c r="A9" s="629" t="s">
        <v>1111</v>
      </c>
      <c r="B9" s="679">
        <v>232</v>
      </c>
      <c r="C9" s="1744">
        <v>0</v>
      </c>
      <c r="D9" s="1744"/>
      <c r="E9" s="1744"/>
      <c r="F9" s="1764">
        <f>(C9+D9)-E9</f>
        <v>0</v>
      </c>
      <c r="G9" s="681">
        <v>20</v>
      </c>
      <c r="H9" s="619">
        <v>0</v>
      </c>
      <c r="I9" s="619"/>
      <c r="J9" s="619"/>
      <c r="K9" s="1442">
        <f>(H9+I9)-J9</f>
        <v>0</v>
      </c>
      <c r="L9" s="1442">
        <f>F9-K9</f>
        <v>0</v>
      </c>
    </row>
    <row r="10" spans="1:14" ht="24" thickTop="1" thickBot="1" x14ac:dyDescent="0.25">
      <c r="A10" s="682" t="s">
        <v>1112</v>
      </c>
      <c r="B10" s="679">
        <v>240</v>
      </c>
      <c r="C10" s="1771">
        <v>1581431</v>
      </c>
      <c r="D10" s="1771">
        <v>1877</v>
      </c>
      <c r="E10" s="1771"/>
      <c r="F10" s="1772">
        <f>(C10+D10)-E10</f>
        <v>1583308</v>
      </c>
      <c r="G10" s="681">
        <v>20</v>
      </c>
      <c r="H10" s="683">
        <v>825420</v>
      </c>
      <c r="I10" s="683">
        <v>64282</v>
      </c>
      <c r="J10" s="683"/>
      <c r="K10" s="1442">
        <f>(H10+I10)-J10</f>
        <v>889702</v>
      </c>
      <c r="L10" s="1442">
        <f>F10-K10</f>
        <v>693606</v>
      </c>
    </row>
    <row r="11" spans="1:14" ht="13.5" thickTop="1" x14ac:dyDescent="0.2">
      <c r="A11" s="1367" t="s">
        <v>1128</v>
      </c>
      <c r="B11" s="1365">
        <v>250</v>
      </c>
      <c r="C11" s="1751"/>
      <c r="D11" s="1751"/>
      <c r="E11" s="1751"/>
      <c r="F11" s="1750"/>
      <c r="G11" s="681"/>
      <c r="H11" s="632"/>
      <c r="I11" s="632"/>
      <c r="J11" s="632"/>
      <c r="K11" s="624"/>
      <c r="L11" s="624"/>
    </row>
    <row r="12" spans="1:14" ht="13.5" thickBot="1" x14ac:dyDescent="0.25">
      <c r="A12" s="684" t="s">
        <v>1113</v>
      </c>
      <c r="B12" s="679">
        <v>251</v>
      </c>
      <c r="C12" s="1770">
        <v>2779181</v>
      </c>
      <c r="D12" s="1770">
        <v>64851</v>
      </c>
      <c r="E12" s="1770"/>
      <c r="F12" s="1764">
        <f>(C12+D12)-E12</f>
        <v>2844032</v>
      </c>
      <c r="G12" s="681">
        <v>10</v>
      </c>
      <c r="H12" s="619">
        <v>2520872</v>
      </c>
      <c r="I12" s="619">
        <v>71317</v>
      </c>
      <c r="J12" s="619"/>
      <c r="K12" s="1442">
        <f>(H12+I12)-J12</f>
        <v>2592189</v>
      </c>
      <c r="L12" s="1442">
        <f>F12-K12</f>
        <v>251843</v>
      </c>
    </row>
    <row r="13" spans="1:14" ht="14.25" thickTop="1" thickBot="1" x14ac:dyDescent="0.25">
      <c r="A13" s="684" t="s">
        <v>1114</v>
      </c>
      <c r="B13" s="679">
        <v>252</v>
      </c>
      <c r="C13" s="1770">
        <v>1325828</v>
      </c>
      <c r="D13" s="1770"/>
      <c r="E13" s="1770"/>
      <c r="F13" s="1764">
        <f>(C13+D13)-E13</f>
        <v>1325828</v>
      </c>
      <c r="G13" s="681">
        <v>5</v>
      </c>
      <c r="H13" s="619">
        <v>1283224</v>
      </c>
      <c r="I13" s="619">
        <v>12261</v>
      </c>
      <c r="J13" s="619"/>
      <c r="K13" s="1442">
        <f>(H13+I13)-J13</f>
        <v>1295485</v>
      </c>
      <c r="L13" s="1442">
        <f>F13-K13</f>
        <v>30343</v>
      </c>
    </row>
    <row r="14" spans="1:14" ht="14.25" thickTop="1" thickBot="1" x14ac:dyDescent="0.25">
      <c r="A14" s="684" t="s">
        <v>1115</v>
      </c>
      <c r="B14" s="679">
        <v>253</v>
      </c>
      <c r="C14" s="1744">
        <v>0</v>
      </c>
      <c r="D14" s="1744">
        <v>19443</v>
      </c>
      <c r="E14" s="1744"/>
      <c r="F14" s="1764">
        <f>(C14+D14)-E14</f>
        <v>19443</v>
      </c>
      <c r="G14" s="681">
        <v>3</v>
      </c>
      <c r="H14" s="619">
        <v>0</v>
      </c>
      <c r="I14" s="619">
        <v>6481</v>
      </c>
      <c r="J14" s="619"/>
      <c r="K14" s="1442">
        <f>(H14+I14)-J14</f>
        <v>6481</v>
      </c>
      <c r="L14" s="1442">
        <f>F14-K14</f>
        <v>12962</v>
      </c>
    </row>
    <row r="15" spans="1:14" ht="15" customHeight="1" thickTop="1" thickBot="1" x14ac:dyDescent="0.25">
      <c r="A15" s="1366" t="s">
        <v>525</v>
      </c>
      <c r="B15" s="1365">
        <v>260</v>
      </c>
      <c r="C15" s="1770">
        <v>0</v>
      </c>
      <c r="D15" s="1770"/>
      <c r="E15" s="1770"/>
      <c r="F15" s="1764">
        <f>(C15+D15)-E15</f>
        <v>0</v>
      </c>
      <c r="G15" s="685" t="s">
        <v>857</v>
      </c>
      <c r="H15" s="632"/>
      <c r="I15" s="632"/>
      <c r="J15" s="632"/>
      <c r="K15" s="632"/>
      <c r="L15" s="1442">
        <f>F15-K15</f>
        <v>0</v>
      </c>
    </row>
    <row r="16" spans="1:14" ht="15" customHeight="1" thickTop="1" thickBot="1" x14ac:dyDescent="0.25">
      <c r="A16" s="1438" t="s">
        <v>638</v>
      </c>
      <c r="B16" s="1439">
        <v>200</v>
      </c>
      <c r="C16" s="1764">
        <f>SUM(C3,C5:C6,C8:C10,C12:C15)</f>
        <v>21915509</v>
      </c>
      <c r="D16" s="1764">
        <f>SUM(D3,D5:D6,D8:D10,D12:D15)</f>
        <v>804500</v>
      </c>
      <c r="E16" s="1764">
        <f>SUM(E3,E5:E6,E8:E10,E12:E15)</f>
        <v>0</v>
      </c>
      <c r="F16" s="1764">
        <f>SUM(F3,F5:F6,F8:F10,F12:F15)</f>
        <v>22720009</v>
      </c>
      <c r="G16" s="681"/>
      <c r="H16" s="1435">
        <f>SUM(H3,H6,H8:H10,H12:H14,)</f>
        <v>11784557</v>
      </c>
      <c r="I16" s="1435">
        <f>SUM(I3,I6,I8:I10,I12:I14,)</f>
        <v>491881</v>
      </c>
      <c r="J16" s="1435">
        <f>SUM(J3,J6,J8:J10,J12:J14,)</f>
        <v>0</v>
      </c>
      <c r="K16" s="1435">
        <f>(H16+I16)-J16</f>
        <v>12276438</v>
      </c>
      <c r="L16" s="1435">
        <f>F16-K16</f>
        <v>10443571</v>
      </c>
    </row>
    <row r="17" spans="1:12" ht="15" customHeight="1" thickTop="1" thickBot="1" x14ac:dyDescent="0.25">
      <c r="A17" s="1368" t="s">
        <v>288</v>
      </c>
      <c r="B17" s="1365">
        <v>700</v>
      </c>
      <c r="C17" s="1747"/>
      <c r="D17" s="1747"/>
      <c r="E17" s="1747"/>
      <c r="F17" s="1764">
        <f>SUM('Expenditures 15-22'!I114,'Expenditures 15-22'!I151,'Expenditures 15-22'!I210,'Expenditures 15-22'!I312,'Expenditures 15-22'!I342,'Expenditures 15-22'!I367)</f>
        <v>41676</v>
      </c>
      <c r="G17" s="676">
        <v>10</v>
      </c>
      <c r="H17" s="621"/>
      <c r="I17" s="1442">
        <f>F17/G17</f>
        <v>4167.6000000000004</v>
      </c>
      <c r="J17" s="621"/>
      <c r="K17" s="638"/>
      <c r="L17" s="638"/>
    </row>
    <row r="18" spans="1:12" ht="14.25" thickTop="1" thickBot="1" x14ac:dyDescent="0.25">
      <c r="A18" s="1440" t="s">
        <v>680</v>
      </c>
      <c r="B18" s="1441"/>
      <c r="C18" s="623"/>
      <c r="D18" s="623"/>
      <c r="E18" s="623"/>
      <c r="F18" s="686"/>
      <c r="G18" s="687"/>
      <c r="H18" s="624"/>
      <c r="I18" s="1435">
        <f>SUM(I16,I17)</f>
        <v>496048.6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sheet="1" objects="1" scenarios="1"/>
  <mergeCells count="2">
    <mergeCell ref="J1:L1"/>
    <mergeCell ref="A1:C1"/>
  </mergeCells>
  <phoneticPr fontId="7" type="noConversion"/>
  <printOptions headings="1"/>
  <pageMargins left="0.25" right="0.17" top="1.1000000000000001" bottom="0.66" header="0.46"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203"/>
  <sheetViews>
    <sheetView showGridLines="0" defaultGridColor="0" colorId="8" zoomScale="110" zoomScaleNormal="110" workbookViewId="0">
      <pane ySplit="5" topLeftCell="A129" activePane="bottomLeft" state="frozen"/>
      <selection activeCell="A47" sqref="A47"/>
      <selection pane="bottomLeft" activeCell="R193" sqref="R19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1"/>
      <c r="I1" s="701"/>
    </row>
    <row r="2" spans="1:9" ht="15" customHeight="1" thickBot="1" x14ac:dyDescent="0.25">
      <c r="A2" s="2364" t="s">
        <v>474</v>
      </c>
      <c r="B2" s="2365"/>
      <c r="C2" s="2365"/>
      <c r="D2" s="2365"/>
      <c r="E2" s="2365"/>
      <c r="F2" s="2366"/>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7"/>
      <c r="B5" s="2368"/>
      <c r="C5" s="2368"/>
      <c r="D5" s="2368"/>
      <c r="E5" s="2368"/>
      <c r="F5" s="2368"/>
    </row>
    <row r="6" spans="1:9" ht="13.5" customHeight="1" thickBot="1" x14ac:dyDescent="0.25">
      <c r="A6" s="2358" t="s">
        <v>1097</v>
      </c>
      <c r="B6" s="2359"/>
      <c r="C6" s="2359"/>
      <c r="D6" s="2359"/>
      <c r="E6" s="2359"/>
      <c r="F6" s="2360"/>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7490839</v>
      </c>
      <c r="G8" s="701"/>
    </row>
    <row r="9" spans="1:9" x14ac:dyDescent="0.2">
      <c r="A9" s="705" t="s">
        <v>457</v>
      </c>
      <c r="B9" s="706" t="s">
        <v>1851</v>
      </c>
      <c r="C9" s="707"/>
      <c r="D9" s="705" t="s">
        <v>498</v>
      </c>
      <c r="E9" s="704"/>
      <c r="F9" s="1774">
        <f>'Expenditures 15-22'!K151</f>
        <v>762039</v>
      </c>
      <c r="G9" s="708"/>
    </row>
    <row r="10" spans="1:9" x14ac:dyDescent="0.2">
      <c r="A10" s="705" t="s">
        <v>496</v>
      </c>
      <c r="B10" s="706" t="s">
        <v>1852</v>
      </c>
      <c r="C10" s="707"/>
      <c r="D10" s="705" t="s">
        <v>498</v>
      </c>
      <c r="E10" s="704"/>
      <c r="F10" s="1774">
        <f>'Expenditures 15-22'!K174</f>
        <v>603625</v>
      </c>
      <c r="G10" s="708"/>
    </row>
    <row r="11" spans="1:9" x14ac:dyDescent="0.2">
      <c r="A11" s="705" t="s">
        <v>458</v>
      </c>
      <c r="B11" s="706" t="s">
        <v>1853</v>
      </c>
      <c r="C11" s="707"/>
      <c r="D11" s="705" t="s">
        <v>498</v>
      </c>
      <c r="E11" s="704"/>
      <c r="F11" s="1774">
        <f>'Expenditures 15-22'!K210</f>
        <v>565466</v>
      </c>
      <c r="G11" s="708"/>
    </row>
    <row r="12" spans="1:9" x14ac:dyDescent="0.2">
      <c r="A12" s="705" t="s">
        <v>459</v>
      </c>
      <c r="B12" s="706" t="s">
        <v>1854</v>
      </c>
      <c r="C12" s="707"/>
      <c r="D12" s="705" t="s">
        <v>498</v>
      </c>
      <c r="E12" s="704"/>
      <c r="F12" s="1774">
        <f>'Expenditures 15-22'!K295</f>
        <v>296739</v>
      </c>
      <c r="G12" s="708"/>
    </row>
    <row r="13" spans="1:9" x14ac:dyDescent="0.2">
      <c r="A13" s="705" t="s">
        <v>106</v>
      </c>
      <c r="B13" s="706" t="s">
        <v>1855</v>
      </c>
      <c r="C13" s="707"/>
      <c r="D13" s="705" t="s">
        <v>498</v>
      </c>
      <c r="E13" s="704"/>
      <c r="F13" s="1774">
        <f>'Expenditures 15-22'!K342</f>
        <v>75127</v>
      </c>
      <c r="G13" s="709"/>
    </row>
    <row r="14" spans="1:9" ht="12" customHeight="1" thickBot="1" x14ac:dyDescent="0.25">
      <c r="A14" s="1443"/>
      <c r="B14" s="1444"/>
      <c r="C14" s="1445"/>
      <c r="D14" s="1446" t="s">
        <v>498</v>
      </c>
      <c r="E14" s="1447" t="s">
        <v>952</v>
      </c>
      <c r="F14" s="1775">
        <f>SUM(F8:F13)</f>
        <v>9793835</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1912</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6056</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1">
        <f>'Expenditures 15-22'!K102</f>
        <v>713715</v>
      </c>
      <c r="G53" s="701"/>
    </row>
    <row r="54" spans="1:7" x14ac:dyDescent="0.2">
      <c r="A54" s="705" t="s">
        <v>456</v>
      </c>
      <c r="B54" s="705" t="s">
        <v>1462</v>
      </c>
      <c r="C54" s="724" t="s">
        <v>975</v>
      </c>
      <c r="D54" s="720" t="s">
        <v>1088</v>
      </c>
      <c r="E54" s="704"/>
      <c r="F54" s="1781">
        <f>'Expenditures 15-22'!G114</f>
        <v>57367</v>
      </c>
      <c r="G54" s="701"/>
    </row>
    <row r="55" spans="1:7" x14ac:dyDescent="0.2">
      <c r="A55" s="705" t="s">
        <v>456</v>
      </c>
      <c r="B55" s="705" t="s">
        <v>1463</v>
      </c>
      <c r="C55" s="724" t="s">
        <v>975</v>
      </c>
      <c r="D55" s="720" t="s">
        <v>288</v>
      </c>
      <c r="E55" s="704"/>
      <c r="F55" s="1781">
        <f>'Expenditures 15-22'!I114</f>
        <v>27069</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1">
        <f>'Expenditures 15-22'!K139</f>
        <v>0</v>
      </c>
      <c r="G57" s="701"/>
    </row>
    <row r="58" spans="1:7" x14ac:dyDescent="0.2">
      <c r="A58" s="705" t="s">
        <v>457</v>
      </c>
      <c r="B58" s="705" t="s">
        <v>1857</v>
      </c>
      <c r="C58" s="721" t="s">
        <v>975</v>
      </c>
      <c r="D58" s="720" t="s">
        <v>1088</v>
      </c>
      <c r="E58" s="704"/>
      <c r="F58" s="1783">
        <f>'Expenditures 15-22'!G151</f>
        <v>8144</v>
      </c>
      <c r="G58" s="701"/>
    </row>
    <row r="59" spans="1:7" x14ac:dyDescent="0.2">
      <c r="A59" s="728" t="s">
        <v>457</v>
      </c>
      <c r="B59" s="692" t="s">
        <v>1858</v>
      </c>
      <c r="C59" s="729" t="s">
        <v>975</v>
      </c>
      <c r="D59" s="692" t="s">
        <v>288</v>
      </c>
      <c r="F59" s="1784">
        <f>'Expenditures 15-22'!I151</f>
        <v>8887</v>
      </c>
      <c r="G59" s="701"/>
    </row>
    <row r="60" spans="1:7" x14ac:dyDescent="0.2">
      <c r="A60" s="728" t="s">
        <v>496</v>
      </c>
      <c r="B60" s="692" t="s">
        <v>1859</v>
      </c>
      <c r="C60" s="729">
        <v>4000</v>
      </c>
      <c r="D60" s="692" t="s">
        <v>309</v>
      </c>
      <c r="F60" s="1782">
        <f>'Expenditures 15-22'!K160</f>
        <v>0</v>
      </c>
      <c r="G60" s="701"/>
    </row>
    <row r="61" spans="1:7" x14ac:dyDescent="0.2">
      <c r="A61" s="730" t="s">
        <v>496</v>
      </c>
      <c r="B61" s="730" t="s">
        <v>1860</v>
      </c>
      <c r="C61" s="731" t="str">
        <f>'Expenditures 15-22'!B170</f>
        <v>5300</v>
      </c>
      <c r="D61" s="732" t="s">
        <v>308</v>
      </c>
      <c r="E61" s="715"/>
      <c r="F61" s="1781">
        <f>'Expenditures 15-22'!K170</f>
        <v>560000</v>
      </c>
      <c r="G61" s="701"/>
    </row>
    <row r="62" spans="1:7" x14ac:dyDescent="0.2">
      <c r="A62" s="705" t="s">
        <v>458</v>
      </c>
      <c r="B62" s="705" t="s">
        <v>1861</v>
      </c>
      <c r="C62" s="721">
        <f>'Expenditures 15-22'!B185</f>
        <v>3000</v>
      </c>
      <c r="D62" s="712" t="s">
        <v>446</v>
      </c>
      <c r="E62" s="704"/>
      <c r="F62" s="178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1863</v>
      </c>
      <c r="C64" s="731" t="str">
        <f>'Expenditures 15-22'!B206</f>
        <v>5300</v>
      </c>
      <c r="D64" s="727" t="s">
        <v>308</v>
      </c>
      <c r="E64" s="704"/>
      <c r="F64" s="1781">
        <f>'Expenditures 15-22'!K206</f>
        <v>0</v>
      </c>
      <c r="G64" s="701"/>
    </row>
    <row r="65" spans="1:9" x14ac:dyDescent="0.2">
      <c r="A65" s="705" t="s">
        <v>458</v>
      </c>
      <c r="B65" s="705" t="s">
        <v>1864</v>
      </c>
      <c r="C65" s="721" t="s">
        <v>975</v>
      </c>
      <c r="D65" s="720" t="s">
        <v>1088</v>
      </c>
      <c r="E65" s="704"/>
      <c r="F65" s="1781">
        <f>'Expenditures 15-22'!G210</f>
        <v>0</v>
      </c>
      <c r="G65" s="701"/>
    </row>
    <row r="66" spans="1:9" x14ac:dyDescent="0.2">
      <c r="A66" s="705" t="s">
        <v>458</v>
      </c>
      <c r="B66" s="705" t="s">
        <v>1865</v>
      </c>
      <c r="C66" s="721" t="s">
        <v>975</v>
      </c>
      <c r="D66" s="720" t="s">
        <v>288</v>
      </c>
      <c r="E66" s="704"/>
      <c r="F66" s="1781">
        <f>'Expenditures 15-22'!I210</f>
        <v>0</v>
      </c>
      <c r="G66" s="701"/>
    </row>
    <row r="67" spans="1:9" x14ac:dyDescent="0.2">
      <c r="A67" s="705" t="s">
        <v>459</v>
      </c>
      <c r="B67" s="705" t="s">
        <v>1866</v>
      </c>
      <c r="C67" s="721" t="str">
        <f>'Expenditures 15-22'!B216</f>
        <v>1125</v>
      </c>
      <c r="D67" s="727" t="str">
        <f>'Expenditures 15-22'!A216</f>
        <v>Pre-K Programs</v>
      </c>
      <c r="E67" s="704"/>
      <c r="F67" s="1781">
        <f>'Expenditures 15-22'!K216</f>
        <v>0</v>
      </c>
      <c r="G67" s="701"/>
    </row>
    <row r="68" spans="1:9" x14ac:dyDescent="0.2">
      <c r="A68" s="705" t="s">
        <v>459</v>
      </c>
      <c r="B68" s="705" t="s">
        <v>1465</v>
      </c>
      <c r="C68" s="721" t="str">
        <f>'Expenditures 15-22'!B218</f>
        <v>1225</v>
      </c>
      <c r="D68" s="727" t="str">
        <f>'Expenditures 15-22'!A218</f>
        <v>Special Education Programs - Pre-K</v>
      </c>
      <c r="E68" s="704"/>
      <c r="F68" s="178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1868</v>
      </c>
      <c r="C70" s="721">
        <f>'Expenditures 15-22'!B221</f>
        <v>1300</v>
      </c>
      <c r="D70" s="722" t="str">
        <f>'Expenditures 15-22'!A221</f>
        <v>Adult/Continuing Education Programs</v>
      </c>
      <c r="E70" s="704"/>
      <c r="F70" s="1781">
        <f>'Expenditures 15-22'!K221</f>
        <v>0</v>
      </c>
      <c r="G70" s="701"/>
    </row>
    <row r="71" spans="1:9" x14ac:dyDescent="0.2">
      <c r="A71" s="705" t="s">
        <v>459</v>
      </c>
      <c r="B71" s="705" t="s">
        <v>1869</v>
      </c>
      <c r="C71" s="721">
        <f>'Expenditures 15-22'!B224</f>
        <v>1600</v>
      </c>
      <c r="D71" s="722" t="str">
        <f>'Expenditures 15-22'!A224</f>
        <v>Summer School Programs</v>
      </c>
      <c r="E71" s="704"/>
      <c r="F71" s="1781">
        <f>'Expenditures 15-22'!K224</f>
        <v>195</v>
      </c>
      <c r="G71" s="701"/>
    </row>
    <row r="72" spans="1:9" x14ac:dyDescent="0.2">
      <c r="A72" s="705" t="s">
        <v>459</v>
      </c>
      <c r="B72" s="705" t="s">
        <v>1870</v>
      </c>
      <c r="C72" s="721">
        <f>'Expenditures 15-22'!B280</f>
        <v>3000</v>
      </c>
      <c r="D72" s="712" t="s">
        <v>446</v>
      </c>
      <c r="E72" s="704"/>
      <c r="F72" s="1781">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1">
        <f>'Expenditures 15-22'!K285</f>
        <v>0</v>
      </c>
      <c r="G73" s="701"/>
    </row>
    <row r="74" spans="1:9" x14ac:dyDescent="0.2">
      <c r="A74" s="705" t="s">
        <v>433</v>
      </c>
      <c r="B74" s="705" t="s">
        <v>1872</v>
      </c>
      <c r="C74" s="721" t="s">
        <v>855</v>
      </c>
      <c r="D74" s="722" t="s">
        <v>1473</v>
      </c>
      <c r="E74" s="704"/>
      <c r="F74" s="1785">
        <f>'Expenditures 15-22'!K334</f>
        <v>0</v>
      </c>
      <c r="G74" s="701"/>
    </row>
    <row r="75" spans="1:9" x14ac:dyDescent="0.2">
      <c r="A75" s="705" t="s">
        <v>2011</v>
      </c>
      <c r="B75" s="705" t="s">
        <v>2012</v>
      </c>
      <c r="C75" s="721" t="s">
        <v>975</v>
      </c>
      <c r="D75" s="722" t="s">
        <v>1088</v>
      </c>
      <c r="E75" s="704"/>
      <c r="F75" s="1785">
        <f>'Expenditures 15-22'!G342</f>
        <v>0</v>
      </c>
      <c r="G75" s="701"/>
    </row>
    <row r="76" spans="1:9" ht="10.5" customHeight="1" x14ac:dyDescent="0.2">
      <c r="A76" s="701" t="s">
        <v>433</v>
      </c>
      <c r="B76" s="705" t="s">
        <v>2013</v>
      </c>
      <c r="C76" s="711" t="s">
        <v>975</v>
      </c>
      <c r="D76" s="701" t="s">
        <v>288</v>
      </c>
      <c r="E76" s="704"/>
      <c r="F76" s="1785">
        <f>'Expenditures 15-22'!I342</f>
        <v>0</v>
      </c>
      <c r="G76" s="703"/>
    </row>
    <row r="77" spans="1:9" ht="12" thickBot="1" x14ac:dyDescent="0.25">
      <c r="A77" s="1443"/>
      <c r="B77" s="1448"/>
      <c r="C77" s="1445"/>
      <c r="D77" s="1449" t="s">
        <v>2014</v>
      </c>
      <c r="E77" s="1447" t="s">
        <v>952</v>
      </c>
      <c r="F77" s="1786">
        <f>SUM(F18:F76)</f>
        <v>1381433</v>
      </c>
      <c r="G77" s="701"/>
    </row>
    <row r="78" spans="1:9" s="728" customFormat="1" ht="12" customHeight="1" thickTop="1" thickBot="1" x14ac:dyDescent="0.25">
      <c r="A78" s="1450"/>
      <c r="B78" s="1448"/>
      <c r="C78" s="1445"/>
      <c r="D78" s="1449" t="s">
        <v>2015</v>
      </c>
      <c r="E78" s="1447"/>
      <c r="F78" s="1787">
        <f>(F14-F77)</f>
        <v>8412402</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629.5</v>
      </c>
      <c r="G79" s="733"/>
      <c r="H79" s="705"/>
      <c r="I79" s="705"/>
    </row>
    <row r="80" spans="1:9" s="728" customFormat="1" ht="12" customHeight="1" thickBot="1" x14ac:dyDescent="0.25">
      <c r="A80" s="1452"/>
      <c r="B80" s="1448"/>
      <c r="C80" s="1445"/>
      <c r="D80" s="1449" t="s">
        <v>2016</v>
      </c>
      <c r="E80" s="1447" t="s">
        <v>952</v>
      </c>
      <c r="F80" s="1789">
        <f>IF(F79&gt;0,F78/F79," Complete Line 79")</f>
        <v>13363.625099285147</v>
      </c>
      <c r="G80" s="705"/>
    </row>
    <row r="81" spans="1:7" s="728" customFormat="1" ht="8.25" customHeight="1" thickTop="1" x14ac:dyDescent="0.2">
      <c r="A81" s="734"/>
      <c r="B81" s="705"/>
      <c r="C81" s="707"/>
      <c r="D81" s="735"/>
      <c r="E81" s="704"/>
      <c r="F81" s="1790"/>
      <c r="G81" s="705"/>
    </row>
    <row r="82" spans="1:7" s="728" customFormat="1" ht="12" thickBot="1" x14ac:dyDescent="0.25">
      <c r="A82" s="2358" t="s">
        <v>1098</v>
      </c>
      <c r="B82" s="2359"/>
      <c r="C82" s="2359"/>
      <c r="D82" s="2359"/>
      <c r="E82" s="2359"/>
      <c r="F82" s="236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259852</v>
      </c>
      <c r="G95" s="745"/>
    </row>
    <row r="96" spans="1:7" x14ac:dyDescent="0.2">
      <c r="A96" s="741" t="s">
        <v>139</v>
      </c>
      <c r="B96" s="741" t="s">
        <v>174</v>
      </c>
      <c r="C96" s="743">
        <v>1700</v>
      </c>
      <c r="D96" s="751" t="str">
        <f>'Revenues 9-14'!A82</f>
        <v>Total District/School Activity Income</v>
      </c>
      <c r="E96" s="739"/>
      <c r="F96" s="1792">
        <f>SUM('Revenues 9-14'!C82,'Revenues 9-14'!D82)</f>
        <v>29375</v>
      </c>
      <c r="G96" s="745"/>
    </row>
    <row r="97" spans="1:7" x14ac:dyDescent="0.2">
      <c r="A97" s="741" t="s">
        <v>456</v>
      </c>
      <c r="B97" s="741" t="s">
        <v>175</v>
      </c>
      <c r="C97" s="743">
        <f>'Revenues 9-14'!B84</f>
        <v>1811</v>
      </c>
      <c r="D97" s="744" t="str">
        <f>'Revenues 9-14'!A84</f>
        <v>Rentals - Regular Textbooks</v>
      </c>
      <c r="E97" s="739"/>
      <c r="F97" s="1792">
        <f>'Revenues 9-14'!C84</f>
        <v>71065</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700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54800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1913</v>
      </c>
      <c r="C106" s="746">
        <v>3100</v>
      </c>
      <c r="D106" s="752" t="str">
        <f>'Revenues 9-14'!A132</f>
        <v>Total Special Education</v>
      </c>
      <c r="E106" s="739"/>
      <c r="F106" s="1792">
        <f>SUM('Revenues 9-14'!C132:D132,'Revenues 9-14'!F132)</f>
        <v>64452</v>
      </c>
      <c r="G106" s="745"/>
    </row>
    <row r="107" spans="1:7" x14ac:dyDescent="0.2">
      <c r="A107" s="741" t="s">
        <v>668</v>
      </c>
      <c r="B107" s="741" t="s">
        <v>1914</v>
      </c>
      <c r="C107" s="753">
        <v>3200</v>
      </c>
      <c r="D107" s="744" t="str">
        <f>'Revenues 9-14'!A141</f>
        <v>Total Career and Technical Education</v>
      </c>
      <c r="E107" s="739"/>
      <c r="F107" s="1792">
        <f>SUM('Revenues 9-14'!C141,'Revenues 9-14'!D141,'Revenues 9-14'!G141)</f>
        <v>30623</v>
      </c>
      <c r="G107" s="745"/>
    </row>
    <row r="108" spans="1:7" x14ac:dyDescent="0.2">
      <c r="A108" s="754" t="s">
        <v>659</v>
      </c>
      <c r="B108" s="741" t="s">
        <v>1915</v>
      </c>
      <c r="C108" s="753">
        <v>3300</v>
      </c>
      <c r="D108" s="744" t="str">
        <f>'Revenues 9-14'!A145</f>
        <v>Total Bilingual Ed</v>
      </c>
      <c r="E108" s="739"/>
      <c r="F108" s="179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2">
        <f>'Revenues 9-14'!C146</f>
        <v>2157</v>
      </c>
      <c r="G109" s="745"/>
    </row>
    <row r="110" spans="1:7" x14ac:dyDescent="0.2">
      <c r="A110" s="741" t="s">
        <v>668</v>
      </c>
      <c r="B110" s="741" t="s">
        <v>1917</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2">
        <f>SUM('Revenues 9-14'!C148,'Revenues 9-14'!D148)</f>
        <v>21491</v>
      </c>
      <c r="G111" s="745"/>
    </row>
    <row r="112" spans="1:7" x14ac:dyDescent="0.2">
      <c r="A112" s="741" t="s">
        <v>663</v>
      </c>
      <c r="B112" s="741" t="s">
        <v>1919</v>
      </c>
      <c r="C112" s="755">
        <v>3500</v>
      </c>
      <c r="D112" s="744" t="str">
        <f>'Revenues 9-14'!A155</f>
        <v>Total Transportation</v>
      </c>
      <c r="E112" s="739"/>
      <c r="F112" s="1792">
        <f>SUM('Revenues 9-14'!C155,'Revenues 9-14'!D155,'Revenues 9-14'!F155,'Revenues 9-14'!G155)</f>
        <v>290618</v>
      </c>
      <c r="G112" s="745"/>
    </row>
    <row r="113" spans="1:7" x14ac:dyDescent="0.2">
      <c r="A113" s="741" t="s">
        <v>456</v>
      </c>
      <c r="B113" s="741" t="s">
        <v>1920</v>
      </c>
      <c r="C113" s="753">
        <f>'Revenues 9-14'!B156</f>
        <v>3610</v>
      </c>
      <c r="D113" s="744" t="str">
        <f>'Revenues 9-14'!A156</f>
        <v>Learning Improvement - Change Grants</v>
      </c>
      <c r="E113" s="739"/>
      <c r="F113" s="1792">
        <f>'Revenues 9-14'!C156</f>
        <v>0</v>
      </c>
      <c r="G113" s="745"/>
    </row>
    <row r="114" spans="1:7" x14ac:dyDescent="0.2">
      <c r="A114" s="741" t="s">
        <v>663</v>
      </c>
      <c r="B114" s="741" t="s">
        <v>1921</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1">
        <f>SUM('Revenues 9-14'!C162,'Revenues 9-14'!D162,'Revenues 9-14'!E162,'Revenues 9-14'!F162,'Revenues 9-14'!G162)</f>
        <v>54114</v>
      </c>
      <c r="G118" s="745"/>
    </row>
    <row r="119" spans="1:7" x14ac:dyDescent="0.2">
      <c r="A119" s="756" t="s">
        <v>1002</v>
      </c>
      <c r="B119" s="756" t="s">
        <v>1926</v>
      </c>
      <c r="C119" s="757">
        <f>'Revenues 9-14'!B163</f>
        <v>3780</v>
      </c>
      <c r="D119" s="758" t="str">
        <f>'Revenues 9-14'!A163</f>
        <v>Technology - Technology for Success</v>
      </c>
      <c r="E119" s="739"/>
      <c r="F119" s="1791">
        <f>SUM('Revenues 9-14'!C163:G163)</f>
        <v>0</v>
      </c>
      <c r="G119" s="745"/>
    </row>
    <row r="120" spans="1:7" x14ac:dyDescent="0.2">
      <c r="A120" s="756" t="s">
        <v>501</v>
      </c>
      <c r="B120" s="756" t="s">
        <v>1927</v>
      </c>
      <c r="C120" s="757">
        <f>'Revenues 9-14'!B164</f>
        <v>3815</v>
      </c>
      <c r="D120" s="758" t="str">
        <f>'Revenues 9-14'!A164</f>
        <v>State Charter Schools</v>
      </c>
      <c r="E120" s="739"/>
      <c r="F120" s="179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2">
        <f>'Revenues 9-14'!D167</f>
        <v>0</v>
      </c>
      <c r="G121" s="763"/>
    </row>
    <row r="122" spans="1:7" x14ac:dyDescent="0.2">
      <c r="A122" s="760" t="s">
        <v>497</v>
      </c>
      <c r="B122" s="760" t="s">
        <v>1929</v>
      </c>
      <c r="C122" s="761">
        <f>'Revenues 9-14'!B168</f>
        <v>3999</v>
      </c>
      <c r="D122" s="762" t="s">
        <v>540</v>
      </c>
      <c r="E122" s="764"/>
      <c r="F122" s="1792">
        <f>SUM('Revenues 9-14'!C168:G168,'Revenues 9-14'!J168)</f>
        <v>1500</v>
      </c>
      <c r="G122" s="763"/>
    </row>
    <row r="123" spans="1:7" x14ac:dyDescent="0.2">
      <c r="A123" s="760" t="s">
        <v>456</v>
      </c>
      <c r="B123" s="760" t="s">
        <v>1930</v>
      </c>
      <c r="C123" s="765">
        <f>'Revenues 9-14'!B177</f>
        <v>4045</v>
      </c>
      <c r="D123" s="762" t="str">
        <f>'Revenues 9-14'!A177 &amp; " (Subtract)"</f>
        <v>Head Start (Subtract)</v>
      </c>
      <c r="E123" s="739"/>
      <c r="F123" s="179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1932</v>
      </c>
      <c r="C125" s="765">
        <v>4100</v>
      </c>
      <c r="D125" s="766" t="str">
        <f>'Revenues 9-14'!A188</f>
        <v>Total Title V</v>
      </c>
      <c r="E125" s="739"/>
      <c r="F125" s="179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2">
        <f>SUM('Revenues 9-14'!C198,'Revenues 9-14'!G198)</f>
        <v>123236</v>
      </c>
      <c r="G126" s="763"/>
    </row>
    <row r="127" spans="1:7" x14ac:dyDescent="0.2">
      <c r="A127" s="760" t="s">
        <v>663</v>
      </c>
      <c r="B127" s="760" t="s">
        <v>1934</v>
      </c>
      <c r="C127" s="765">
        <v>4300</v>
      </c>
      <c r="D127" s="766" t="str">
        <f>'Revenues 9-14'!A204</f>
        <v>Total Title I</v>
      </c>
      <c r="E127" s="739"/>
      <c r="F127" s="1792">
        <f>SUM('Revenues 9-14'!C204,'Revenues 9-14'!D204,'Revenues 9-14'!F204,'Revenues 9-14'!G204)</f>
        <v>154765</v>
      </c>
      <c r="G127" s="763"/>
    </row>
    <row r="128" spans="1:7" x14ac:dyDescent="0.2">
      <c r="A128" s="760" t="s">
        <v>663</v>
      </c>
      <c r="B128" s="760" t="s">
        <v>1935</v>
      </c>
      <c r="C128" s="765">
        <v>4400</v>
      </c>
      <c r="D128" s="766" t="str">
        <f>'Revenues 9-14'!A209</f>
        <v>Total Title IV</v>
      </c>
      <c r="E128" s="739"/>
      <c r="F128" s="1792">
        <f>SUM('Revenues 9-14'!C209,'Revenues 9-14'!D209,'Revenues 9-14'!F209,'Revenues 9-14'!G209)</f>
        <v>31774</v>
      </c>
      <c r="G128" s="763"/>
    </row>
    <row r="129" spans="1:7" x14ac:dyDescent="0.2">
      <c r="A129" s="760" t="s">
        <v>663</v>
      </c>
      <c r="B129" s="760" t="s">
        <v>1936</v>
      </c>
      <c r="C129" s="765">
        <f>'Revenues 9-14'!B213</f>
        <v>4620</v>
      </c>
      <c r="D129" s="766" t="str">
        <f>'Revenues 9-14'!A213</f>
        <v>Fed - Spec Education - IDEA - Flow Through</v>
      </c>
      <c r="E129" s="739"/>
      <c r="F129" s="1792">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1939</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2">
        <v>0</v>
      </c>
      <c r="G139" s="738"/>
    </row>
    <row r="140" spans="1:7" s="703" customFormat="1" hidden="1" x14ac:dyDescent="0.2">
      <c r="A140" s="767" t="s">
        <v>204</v>
      </c>
      <c r="B140" s="767" t="s">
        <v>1946</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1954</v>
      </c>
      <c r="C158" s="773" t="s">
        <v>836</v>
      </c>
      <c r="D158" s="774" t="s">
        <v>772</v>
      </c>
      <c r="E158" s="775"/>
      <c r="F158" s="1792">
        <f>SUM(F134:F157)</f>
        <v>0</v>
      </c>
      <c r="G158" s="738"/>
    </row>
    <row r="159" spans="1:7" s="703" customFormat="1" x14ac:dyDescent="0.2">
      <c r="A159" s="771" t="s">
        <v>456</v>
      </c>
      <c r="B159" s="772" t="s">
        <v>1955</v>
      </c>
      <c r="C159" s="773" t="s">
        <v>1413</v>
      </c>
      <c r="D159" s="774" t="s">
        <v>1414</v>
      </c>
      <c r="E159" s="775"/>
      <c r="F159" s="1792">
        <f>SUM('Revenues 9-14'!C253)</f>
        <v>0</v>
      </c>
      <c r="G159" s="738"/>
    </row>
    <row r="160" spans="1:7" s="703" customFormat="1" x14ac:dyDescent="0.2">
      <c r="A160" s="771" t="s">
        <v>497</v>
      </c>
      <c r="B160" s="772" t="s">
        <v>1956</v>
      </c>
      <c r="C160" s="773" t="s">
        <v>1452</v>
      </c>
      <c r="D160" s="774" t="s">
        <v>1453</v>
      </c>
      <c r="E160" s="775"/>
      <c r="F160" s="179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1">
        <f>SUM('Revenues 9-14'!C259,'Revenues 9-14'!D259,'Revenues 9-14'!F259,'Revenues 9-14'!G259)</f>
        <v>27429</v>
      </c>
      <c r="G165" s="763"/>
    </row>
    <row r="166" spans="1:7" x14ac:dyDescent="0.2">
      <c r="A166" s="760" t="s">
        <v>663</v>
      </c>
      <c r="B166" s="760" t="s">
        <v>1962</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2">
        <f>SUM('Revenues 9-14'!C263:D263,'Revenues 9-14'!F263:G263)</f>
        <v>1824</v>
      </c>
      <c r="G169" s="780">
        <v>6320</v>
      </c>
    </row>
    <row r="170" spans="1:7" x14ac:dyDescent="0.2">
      <c r="A170" s="760" t="s">
        <v>663</v>
      </c>
      <c r="B170" s="760" t="s">
        <v>1964</v>
      </c>
      <c r="C170" s="765">
        <f>'Revenues 9-14'!B264</f>
        <v>4992</v>
      </c>
      <c r="D170" s="766" t="str">
        <f>'Revenues 9-14'!A264</f>
        <v>Medicaid Matching Funds - Fee-for-Service Program</v>
      </c>
      <c r="E170" s="739"/>
      <c r="F170" s="1792">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9" t="s">
        <v>5</v>
      </c>
      <c r="B172" s="1530" t="s">
        <v>1888</v>
      </c>
      <c r="C172" s="1531">
        <v>3100</v>
      </c>
      <c r="D172" s="1532" t="s">
        <v>1890</v>
      </c>
      <c r="E172" s="739"/>
      <c r="F172" s="1793">
        <v>263309</v>
      </c>
      <c r="G172" s="760"/>
    </row>
    <row r="173" spans="1:7" x14ac:dyDescent="0.2">
      <c r="A173" s="1529" t="s">
        <v>659</v>
      </c>
      <c r="B173" s="1530" t="s">
        <v>1888</v>
      </c>
      <c r="C173" s="1531">
        <v>3300</v>
      </c>
      <c r="D173" s="1532" t="s">
        <v>1891</v>
      </c>
      <c r="E173" s="739"/>
      <c r="F173" s="1793">
        <v>0</v>
      </c>
      <c r="G173" s="760"/>
    </row>
    <row r="174" spans="1:7" ht="6" customHeight="1" x14ac:dyDescent="0.2">
      <c r="A174" s="760"/>
      <c r="B174" s="760"/>
      <c r="C174" s="782"/>
      <c r="D174" s="760"/>
      <c r="E174" s="739"/>
      <c r="F174" s="1794"/>
      <c r="G174" s="780"/>
    </row>
    <row r="175" spans="1:7" x14ac:dyDescent="0.2">
      <c r="A175" s="1443"/>
      <c r="B175" s="1453"/>
      <c r="C175" s="1454"/>
      <c r="D175" s="1455" t="s">
        <v>2019</v>
      </c>
      <c r="E175" s="1456" t="s">
        <v>952</v>
      </c>
      <c r="F175" s="1795">
        <f>SUM(F85:F133,F158:F173)</f>
        <v>1483084</v>
      </c>
    </row>
    <row r="176" spans="1:7" ht="12" customHeight="1" x14ac:dyDescent="0.2">
      <c r="A176" s="1443"/>
      <c r="B176" s="1453"/>
      <c r="C176" s="1454"/>
      <c r="D176" s="1455" t="s">
        <v>2017</v>
      </c>
      <c r="E176" s="1456"/>
      <c r="F176" s="1792">
        <f>'PCTC-OEPP 27-28'!F78-F175</f>
        <v>6929318</v>
      </c>
    </row>
    <row r="177" spans="1:9" ht="12" customHeight="1" x14ac:dyDescent="0.2">
      <c r="A177" s="1443"/>
      <c r="B177" s="1453"/>
      <c r="C177" s="1454"/>
      <c r="D177" s="1455" t="s">
        <v>1797</v>
      </c>
      <c r="E177" s="1456"/>
      <c r="F177" s="1792">
        <f>'Cap Outlay Deprec 26'!I18</f>
        <v>496048.6</v>
      </c>
    </row>
    <row r="178" spans="1:9" ht="12" customHeight="1" x14ac:dyDescent="0.2">
      <c r="A178" s="1443"/>
      <c r="B178" s="1453"/>
      <c r="C178" s="1454"/>
      <c r="D178" s="1455" t="s">
        <v>2018</v>
      </c>
      <c r="E178" s="1456"/>
      <c r="F178" s="1792">
        <f>F176+F177</f>
        <v>7425366.5999999996</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629.5</v>
      </c>
      <c r="G179" s="763"/>
      <c r="I179" s="701"/>
    </row>
    <row r="180" spans="1:9" ht="12" customHeight="1" thickBot="1" x14ac:dyDescent="0.25">
      <c r="A180" s="1443"/>
      <c r="B180" s="1457"/>
      <c r="C180" s="1454"/>
      <c r="D180" s="1455" t="s">
        <v>2020</v>
      </c>
      <c r="E180" s="1456" t="s">
        <v>1531</v>
      </c>
      <c r="F180" s="1797">
        <f>F178/F179</f>
        <v>11795.657823669579</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4"/>
    </row>
    <row r="184" spans="1:9" s="1533"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sheet="1" objects="1" scenarios="1"/>
  <mergeCells count="5">
    <mergeCell ref="A6:F6"/>
    <mergeCell ref="A1:F1"/>
    <mergeCell ref="A82:F82"/>
    <mergeCell ref="A2:F2"/>
    <mergeCell ref="A5:F5"/>
  </mergeCells>
  <phoneticPr fontId="7" type="noConversion"/>
  <hyperlinks>
    <hyperlink ref="B186"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showGridLines="0" zoomScaleNormal="100" workbookViewId="0">
      <selection activeCell="B33" sqref="B33"/>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1810</v>
      </c>
      <c r="B1" s="1859"/>
      <c r="C1" s="1860"/>
      <c r="D1" s="1860"/>
      <c r="E1" s="1860"/>
      <c r="F1" s="1860"/>
    </row>
    <row r="2" spans="1:6" x14ac:dyDescent="0.25">
      <c r="A2" s="1862"/>
      <c r="B2" s="1863"/>
      <c r="C2" s="1911" t="s">
        <v>2006</v>
      </c>
      <c r="D2" s="1862"/>
      <c r="E2" s="1862"/>
      <c r="F2" s="1862"/>
    </row>
    <row r="3" spans="1:6" ht="5.25" customHeight="1" x14ac:dyDescent="0.25">
      <c r="A3" s="1864"/>
      <c r="B3" s="1865"/>
      <c r="C3" s="1864"/>
      <c r="D3" s="1864"/>
      <c r="E3" s="1864"/>
      <c r="F3" s="1864"/>
    </row>
    <row r="4" spans="1:6" ht="18.75" customHeight="1" x14ac:dyDescent="0.25">
      <c r="A4" s="2372" t="s">
        <v>1798</v>
      </c>
      <c r="B4" s="2373"/>
      <c r="C4" s="2373"/>
      <c r="D4" s="2373"/>
      <c r="E4" s="2373"/>
      <c r="F4" s="2374"/>
    </row>
    <row r="5" spans="1:6" x14ac:dyDescent="0.25">
      <c r="A5" s="2375"/>
      <c r="B5" s="2376"/>
      <c r="C5" s="2376"/>
      <c r="D5" s="2376"/>
      <c r="E5" s="2376"/>
      <c r="F5" s="2377"/>
    </row>
    <row r="6" spans="1:6" ht="18.75" x14ac:dyDescent="0.25">
      <c r="A6" s="1866" t="s">
        <v>1799</v>
      </c>
      <c r="B6" s="1867"/>
      <c r="C6" s="1868"/>
      <c r="D6" s="1868"/>
      <c r="E6" s="1868"/>
      <c r="F6" s="1869"/>
    </row>
    <row r="7" spans="1:6" ht="47.25" customHeight="1" x14ac:dyDescent="0.25">
      <c r="A7" s="2378" t="s">
        <v>1988</v>
      </c>
      <c r="B7" s="2379"/>
      <c r="C7" s="2379"/>
      <c r="D7" s="2379"/>
      <c r="E7" s="2379"/>
      <c r="F7" s="2380"/>
    </row>
    <row r="8" spans="1:6" ht="20.25" customHeight="1" x14ac:dyDescent="0.25">
      <c r="A8" s="1900" t="s">
        <v>1990</v>
      </c>
      <c r="B8" s="1901"/>
      <c r="C8" s="1901"/>
      <c r="D8" s="1901"/>
      <c r="E8" s="1870"/>
      <c r="F8" s="1871"/>
    </row>
    <row r="9" spans="1:6" ht="18" customHeight="1" x14ac:dyDescent="0.25">
      <c r="A9" s="1872" t="s">
        <v>1987</v>
      </c>
      <c r="B9" s="1874"/>
      <c r="C9" s="1874"/>
      <c r="D9" s="1874"/>
      <c r="E9" s="1870"/>
      <c r="F9" s="1871"/>
    </row>
    <row r="10" spans="1:6" ht="15.75" customHeight="1" x14ac:dyDescent="0.25">
      <c r="A10" s="2381" t="s">
        <v>1984</v>
      </c>
      <c r="B10" s="2382"/>
      <c r="C10" s="2382"/>
      <c r="D10" s="2382"/>
      <c r="E10" s="2382"/>
      <c r="F10" s="2383"/>
    </row>
    <row r="11" spans="1:6" ht="33" customHeight="1" x14ac:dyDescent="0.25">
      <c r="A11" s="2378" t="s">
        <v>1989</v>
      </c>
      <c r="B11" s="2379"/>
      <c r="C11" s="2379"/>
      <c r="D11" s="2379"/>
      <c r="E11" s="2379"/>
      <c r="F11" s="2380"/>
    </row>
    <row r="12" spans="1:6" ht="15" customHeight="1" x14ac:dyDescent="0.25">
      <c r="A12" s="1872" t="s">
        <v>1985</v>
      </c>
      <c r="B12" s="1873"/>
      <c r="C12" s="1874"/>
      <c r="D12" s="1874"/>
      <c r="E12" s="1874"/>
      <c r="F12" s="1875"/>
    </row>
    <row r="13" spans="1:6" ht="17.25" customHeight="1" x14ac:dyDescent="0.25">
      <c r="A13" s="2378" t="s">
        <v>1986</v>
      </c>
      <c r="B13" s="2379"/>
      <c r="C13" s="2379"/>
      <c r="D13" s="2379"/>
      <c r="E13" s="2379"/>
      <c r="F13" s="2380"/>
    </row>
    <row r="14" spans="1:6" ht="15" customHeight="1" x14ac:dyDescent="0.25">
      <c r="A14" s="1872" t="s">
        <v>1803</v>
      </c>
      <c r="B14" s="1873"/>
      <c r="C14" s="1874"/>
      <c r="D14" s="1874"/>
      <c r="E14" s="1874"/>
      <c r="F14" s="1875"/>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876" t="s">
        <v>1804</v>
      </c>
      <c r="B16" s="1877" t="s">
        <v>1805</v>
      </c>
      <c r="C16" s="1876" t="s">
        <v>1806</v>
      </c>
      <c r="D16" s="1878" t="s">
        <v>1807</v>
      </c>
      <c r="E16" s="1878" t="s">
        <v>1808</v>
      </c>
      <c r="F16" s="1878" t="s">
        <v>1809</v>
      </c>
    </row>
    <row r="17" spans="1:7" x14ac:dyDescent="0.25">
      <c r="A17" s="1879" t="s">
        <v>1811</v>
      </c>
      <c r="B17" s="1905" t="s">
        <v>1802</v>
      </c>
      <c r="C17" s="1880" t="s">
        <v>1800</v>
      </c>
      <c r="D17" s="1881">
        <v>500000</v>
      </c>
      <c r="E17" s="1881" t="str">
        <f>IF(D17&lt;25000,D17,"25,000")</f>
        <v>25,000</v>
      </c>
      <c r="F17" s="1882">
        <f>IF(D17&gt;=25000,(D17-E17),"0")</f>
        <v>475000</v>
      </c>
    </row>
    <row r="18" spans="1:7" x14ac:dyDescent="0.25">
      <c r="A18" s="1923" t="s">
        <v>2046</v>
      </c>
      <c r="B18" s="1906"/>
      <c r="C18" s="1923" t="s">
        <v>2046</v>
      </c>
      <c r="D18" s="1884">
        <v>0</v>
      </c>
      <c r="E18" s="1904">
        <f t="shared" ref="E18:E31" si="0">IF(D18&lt;25000,D18,"25,000")</f>
        <v>0</v>
      </c>
      <c r="F18" s="1904" t="str">
        <f t="shared" ref="F18:F31" si="1">IF(D18&gt;=25000,(D18-E18),"0")</f>
        <v>0</v>
      </c>
      <c r="G18" s="1885"/>
    </row>
    <row r="19" spans="1:7" x14ac:dyDescent="0.25">
      <c r="A19" s="1886"/>
      <c r="B19" s="1906"/>
      <c r="C19" s="1883"/>
      <c r="D19" s="1884"/>
      <c r="E19" s="1904">
        <f t="shared" si="0"/>
        <v>0</v>
      </c>
      <c r="F19" s="1904" t="str">
        <f t="shared" si="1"/>
        <v>0</v>
      </c>
    </row>
    <row r="20" spans="1:7" x14ac:dyDescent="0.25">
      <c r="A20" s="1886"/>
      <c r="B20" s="1906"/>
      <c r="C20" s="1887"/>
      <c r="D20" s="1884"/>
      <c r="E20" s="1904">
        <f t="shared" si="0"/>
        <v>0</v>
      </c>
      <c r="F20" s="1904" t="str">
        <f t="shared" si="1"/>
        <v>0</v>
      </c>
    </row>
    <row r="21" spans="1:7" x14ac:dyDescent="0.25">
      <c r="A21" s="1886"/>
      <c r="B21" s="1906"/>
      <c r="C21" s="1887"/>
      <c r="D21" s="1884"/>
      <c r="E21" s="1904">
        <f t="shared" si="0"/>
        <v>0</v>
      </c>
      <c r="F21" s="1904" t="str">
        <f t="shared" si="1"/>
        <v>0</v>
      </c>
    </row>
    <row r="22" spans="1:7" x14ac:dyDescent="0.25">
      <c r="A22" s="1886"/>
      <c r="B22" s="1906"/>
      <c r="C22" s="1887"/>
      <c r="D22" s="1884"/>
      <c r="E22" s="1904">
        <f t="shared" si="0"/>
        <v>0</v>
      </c>
      <c r="F22" s="1904" t="str">
        <f t="shared" si="1"/>
        <v>0</v>
      </c>
    </row>
    <row r="23" spans="1:7" x14ac:dyDescent="0.25">
      <c r="A23" s="1886"/>
      <c r="B23" s="1906"/>
      <c r="C23" s="1887"/>
      <c r="D23" s="1884"/>
      <c r="E23" s="1904">
        <f t="shared" si="0"/>
        <v>0</v>
      </c>
      <c r="F23" s="1904" t="str">
        <f t="shared" si="1"/>
        <v>0</v>
      </c>
    </row>
    <row r="24" spans="1:7" x14ac:dyDescent="0.25">
      <c r="A24" s="1886"/>
      <c r="B24" s="1906"/>
      <c r="C24" s="1887"/>
      <c r="D24" s="1884"/>
      <c r="E24" s="1904">
        <f t="shared" si="0"/>
        <v>0</v>
      </c>
      <c r="F24" s="1904" t="str">
        <f t="shared" si="1"/>
        <v>0</v>
      </c>
    </row>
    <row r="25" spans="1:7" x14ac:dyDescent="0.25">
      <c r="A25" s="1886"/>
      <c r="B25" s="1906"/>
      <c r="C25" s="1887"/>
      <c r="D25" s="1884"/>
      <c r="E25" s="1904">
        <f t="shared" si="0"/>
        <v>0</v>
      </c>
      <c r="F25" s="1904" t="str">
        <f t="shared" si="1"/>
        <v>0</v>
      </c>
    </row>
    <row r="26" spans="1:7" x14ac:dyDescent="0.25">
      <c r="A26" s="1886"/>
      <c r="B26" s="1906"/>
      <c r="C26" s="1887"/>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7"/>
      <c r="C28" s="1887"/>
      <c r="D28" s="1884"/>
      <c r="E28" s="1904">
        <f t="shared" si="0"/>
        <v>0</v>
      </c>
      <c r="F28" s="1904" t="str">
        <f t="shared" si="1"/>
        <v>0</v>
      </c>
    </row>
    <row r="29" spans="1:7" x14ac:dyDescent="0.25">
      <c r="A29" s="1886"/>
      <c r="B29" s="1907"/>
      <c r="C29" s="1887"/>
      <c r="D29" s="1884"/>
      <c r="E29" s="1904">
        <f t="shared" si="0"/>
        <v>0</v>
      </c>
      <c r="F29" s="1904" t="str">
        <f t="shared" si="1"/>
        <v>0</v>
      </c>
    </row>
    <row r="30" spans="1:7" x14ac:dyDescent="0.25">
      <c r="A30" s="1886"/>
      <c r="B30" s="1907"/>
      <c r="C30" s="1887"/>
      <c r="D30" s="1884"/>
      <c r="E30" s="1904">
        <f t="shared" si="0"/>
        <v>0</v>
      </c>
      <c r="F30" s="1904" t="str">
        <f t="shared" si="1"/>
        <v>0</v>
      </c>
    </row>
    <row r="31" spans="1:7" x14ac:dyDescent="0.25">
      <c r="A31" s="1886"/>
      <c r="B31" s="1907"/>
      <c r="C31" s="1887"/>
      <c r="D31" s="1884"/>
      <c r="E31" s="1904">
        <f t="shared" si="0"/>
        <v>0</v>
      </c>
      <c r="F31" s="1904" t="str">
        <f t="shared" si="1"/>
        <v>0</v>
      </c>
    </row>
    <row r="32" spans="1:7" x14ac:dyDescent="0.25">
      <c r="A32" s="1886"/>
      <c r="B32" s="1907"/>
      <c r="C32" s="1887"/>
      <c r="D32" s="1884"/>
      <c r="E32" s="1904">
        <f>IF(D32&lt;25000,D32,"25,000")</f>
        <v>0</v>
      </c>
      <c r="F32" s="1904" t="str">
        <f>IF(D32&gt;=25000,(D32-E32),"0")</f>
        <v>0</v>
      </c>
    </row>
    <row r="33" spans="1:6" x14ac:dyDescent="0.25">
      <c r="A33" s="1886"/>
      <c r="B33" s="1907"/>
      <c r="C33" s="1887"/>
      <c r="D33" s="1884"/>
      <c r="E33" s="1904">
        <f>IF(D33&lt;25000,D33,"25,000")</f>
        <v>0</v>
      </c>
      <c r="F33" s="1904" t="str">
        <f>IF(D33&gt;=25000,(D33-E33),"0")</f>
        <v>0</v>
      </c>
    </row>
    <row r="34" spans="1:6" x14ac:dyDescent="0.25">
      <c r="A34" s="1886"/>
      <c r="B34" s="1907"/>
      <c r="C34" s="1887"/>
      <c r="D34" s="1884"/>
      <c r="E34" s="1904">
        <f>IF(D34&lt;25000,D34,"25,000")</f>
        <v>0</v>
      </c>
      <c r="F34" s="1904" t="str">
        <f>IF(D34&gt;=25000,(D34-E34),"0")</f>
        <v>0</v>
      </c>
    </row>
    <row r="35" spans="1:6" x14ac:dyDescent="0.25">
      <c r="A35" s="1886"/>
      <c r="B35" s="1907"/>
      <c r="C35" s="1887"/>
      <c r="D35" s="1884"/>
      <c r="E35" s="1904">
        <f>IF(D35&lt;25000,D35,"25,000")</f>
        <v>0</v>
      </c>
      <c r="F35" s="1904" t="str">
        <f>IF(D35&gt;=25000,(D35-E35),"0")</f>
        <v>0</v>
      </c>
    </row>
    <row r="36" spans="1:6" x14ac:dyDescent="0.25">
      <c r="A36" s="1886"/>
      <c r="B36" s="1908"/>
      <c r="C36" s="1887"/>
      <c r="D36" s="1884"/>
      <c r="E36" s="1904">
        <f>IF(D36&lt;25000,D36,"25,000")</f>
        <v>0</v>
      </c>
      <c r="F36" s="1904" t="str">
        <f>IF(D36&gt;=25000,(D36-E36),"0")</f>
        <v>0</v>
      </c>
    </row>
    <row r="37" spans="1:6" x14ac:dyDescent="0.25">
      <c r="A37" s="1888" t="s">
        <v>155</v>
      </c>
      <c r="B37" s="1909"/>
      <c r="C37" s="1889"/>
      <c r="D37" s="1890">
        <f>SUM(D18:D36)</f>
        <v>0</v>
      </c>
      <c r="E37" s="1891">
        <f>SUM(E18:E36)</f>
        <v>0</v>
      </c>
      <c r="F37" s="1892">
        <f>SUM(F18:F36)</f>
        <v>0</v>
      </c>
    </row>
  </sheetData>
  <sheetProtection selectLockedCells="1"/>
  <mergeCells count="6">
    <mergeCell ref="A15:F15"/>
    <mergeCell ref="A4:F5"/>
    <mergeCell ref="A7:F7"/>
    <mergeCell ref="A10:F10"/>
    <mergeCell ref="A11:F11"/>
    <mergeCell ref="A13:F13"/>
  </mergeCells>
  <pageMargins left="0.2" right="0.2" top="0.5" bottom="0.25" header="0.38" footer="0.3"/>
  <pageSetup scale="78" firstPageNumber="3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46"/>
  <sheetViews>
    <sheetView showGridLines="0" defaultGridColor="0" topLeftCell="A19" colorId="8" zoomScale="110" zoomScaleNormal="110" workbookViewId="0">
      <selection activeCell="G40" sqref="G40"/>
    </sheetView>
  </sheetViews>
  <sheetFormatPr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4" t="s">
        <v>1663</v>
      </c>
      <c r="B5" s="2385"/>
      <c r="C5" s="2385"/>
      <c r="D5" s="2385"/>
      <c r="E5" s="2385"/>
      <c r="F5" s="2385"/>
      <c r="G5" s="238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1897</v>
      </c>
      <c r="B10" s="803"/>
      <c r="C10" s="807"/>
      <c r="D10" s="804"/>
      <c r="E10" s="1799"/>
      <c r="F10" s="805"/>
      <c r="G10" s="806"/>
      <c r="H10" s="157"/>
      <c r="I10" s="157"/>
    </row>
    <row r="11" spans="1:13" s="542"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800"/>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5095821</v>
      </c>
      <c r="F19" s="1801"/>
      <c r="G19" s="1803">
        <f>'Expenditures 15-22'!K33-SUM('Expenditures 15-22'!G33,'Expenditures 15-22'!I33)+'Expenditures 15-22'!D229</f>
        <v>5095821</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321320</v>
      </c>
      <c r="F21" s="1804"/>
      <c r="G21" s="1807">
        <f>'Expenditures 15-22'!K42-SUM('Expenditures 15-22'!G42,'Expenditures 15-22'!I42)+'Expenditures 15-22'!K120-SUM('Expenditures 15-22'!G120,'Expenditures 15-22'!I120)+'Expenditures 15-22'!K180-SUM('Expenditures 15-22'!G180,'Expenditures 15-22'!I180)+'Expenditures 15-22'!D238</f>
        <v>321320</v>
      </c>
      <c r="H21" s="817"/>
      <c r="I21" s="157"/>
    </row>
    <row r="22" spans="1:9" s="542" customFormat="1" ht="12" customHeight="1" x14ac:dyDescent="0.2">
      <c r="A22" s="824" t="s">
        <v>560</v>
      </c>
      <c r="B22" s="825"/>
      <c r="C22" s="823">
        <v>2200</v>
      </c>
      <c r="D22" s="1804"/>
      <c r="E22" s="1806">
        <f>'Expenditures 15-22'!K47-SUM('Expenditures 15-22'!G47,'Expenditures 15-22'!I47)+'Expenditures 15-22'!D243</f>
        <v>61807</v>
      </c>
      <c r="F22" s="1804"/>
      <c r="G22" s="1807">
        <f>'Expenditures 15-22'!K47-SUM('Expenditures 15-22'!G47,'Expenditures 15-22'!I47)+'Expenditures 15-22'!D243</f>
        <v>61807</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407123</v>
      </c>
      <c r="F23" s="1804"/>
      <c r="G23" s="1806">
        <f>'Expenditures 15-22'!K53-SUM('Expenditures 15-22'!G53,'Expenditures 15-22'!I53)+'Expenditures 15-22'!D257+'Expenditures 15-22'!K330-SUM('Expenditures 15-22'!G330,'Expenditures 15-22'!I330)</f>
        <v>407123</v>
      </c>
      <c r="H23" s="817"/>
      <c r="I23" s="157"/>
    </row>
    <row r="24" spans="1:9" s="542" customFormat="1" ht="12" customHeight="1" x14ac:dyDescent="0.2">
      <c r="A24" s="824" t="s">
        <v>562</v>
      </c>
      <c r="B24" s="825"/>
      <c r="C24" s="823">
        <v>2400</v>
      </c>
      <c r="D24" s="1804"/>
      <c r="E24" s="1806">
        <f>'Expenditures 15-22'!K57-SUM('Expenditures 15-22'!G57,'Expenditures 15-22'!I57)+'Expenditures 15-22'!D261</f>
        <v>249779</v>
      </c>
      <c r="F24" s="1804"/>
      <c r="G24" s="1807">
        <f>'Expenditures 15-22'!K57-SUM('Expenditures 15-22'!G57,'Expenditures 15-22'!I57)+'Expenditures 15-22'!D261</f>
        <v>249779</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85173</v>
      </c>
      <c r="E27" s="1806">
        <f>E8</f>
        <v>0</v>
      </c>
      <c r="F27" s="1806">
        <f>'Expenditures 15-22'!K60-SUM('Expenditures 15-22'!G60,'Expenditures 15-22'!I60)+'Expenditures 15-22'!D264-E8</f>
        <v>85173</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808189</v>
      </c>
      <c r="F28" s="1808">
        <f>'Expenditures 15-22'!K61-SUM('Expenditures 15-22'!G61,'Expenditures 15-22'!I61)+'Expenditures 15-22'!K124-SUM('Expenditures 15-22'!G124,'Expenditures 15-22'!I124)+'Expenditures 15-22'!D266-E9</f>
        <v>808189</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574058</v>
      </c>
      <c r="F29" s="1804"/>
      <c r="G29" s="1807">
        <f>'Expenditures 15-22'!K62-SUM('Expenditures 15-22'!G62,'Expenditures 15-22'!I62)+'Expenditures 15-22'!K125-SUM('Expenditures 15-22'!G125,'Expenditures 15-22'!I125)+'Expenditures 15-22'!K182-SUM('Expenditures 15-22'!G182,'Expenditures 15-22'!I182)+'Expenditures 15-22'!D267</f>
        <v>574058</v>
      </c>
      <c r="H29" s="815"/>
    </row>
    <row r="30" spans="1:9" ht="12" customHeight="1" x14ac:dyDescent="0.2">
      <c r="A30" s="824" t="s">
        <v>100</v>
      </c>
      <c r="B30" s="827"/>
      <c r="C30" s="823">
        <v>2560</v>
      </c>
      <c r="D30" s="1804"/>
      <c r="E30" s="1806">
        <f>'Expenditures 15-22'!K63-SUM('Expenditures 15-22'!G63,'Expenditures 15-22'!I63)+'Expenditures 15-22'!D268-E10</f>
        <v>364862</v>
      </c>
      <c r="F30" s="1804"/>
      <c r="G30" s="1806">
        <f>'Expenditures 15-22'!K63-SUM('Expenditures 15-22'!G63,'Expenditures 15-22'!I63)+'Expenditures 15-22'!D268-E10</f>
        <v>364862</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406813</v>
      </c>
      <c r="E37" s="1806">
        <f>E14</f>
        <v>0</v>
      </c>
      <c r="F37" s="1806">
        <f>'Expenditures 15-22'!K71-SUM('Expenditures 15-22'!G71,'Expenditures 15-22'!I71)+'Expenditures 15-22'!D276-E14</f>
        <v>406813</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83</v>
      </c>
      <c r="F38" s="1804"/>
      <c r="G38" s="1806">
        <f>'Expenditures 15-22'!K73-SUM('Expenditures 15-22'!G73,'Expenditures 15-22'!I73)+'Expenditures 15-22'!K128-SUM('Expenditures 15-22'!G128,'Expenditures 15-22'!I128)+'Expenditures 15-22'!K183-SUM('Expenditures 15-22'!G183,'Expenditures 15-22'!I183)+'Expenditures 15-22'!D278</f>
        <v>83</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04"/>
      <c r="E40" s="1808">
        <f>-'Contracts Paid in CY 29'!F37</f>
        <v>0</v>
      </c>
      <c r="F40" s="1804"/>
      <c r="G40" s="1808">
        <f>-'Contracts Paid in CY 29'!F37</f>
        <v>0</v>
      </c>
    </row>
    <row r="41" spans="1:7" ht="12" customHeight="1" x14ac:dyDescent="0.2">
      <c r="A41" s="828" t="s">
        <v>155</v>
      </c>
      <c r="B41" s="829"/>
      <c r="C41" s="830"/>
      <c r="D41" s="1808">
        <f>SUM(D19:D39)</f>
        <v>491986</v>
      </c>
      <c r="E41" s="1808">
        <f>SUM(E19:E40)</f>
        <v>7883042</v>
      </c>
      <c r="F41" s="1808">
        <f>SUM(F19:F39)</f>
        <v>1300175</v>
      </c>
      <c r="G41" s="1808">
        <f>SUM(G19:G40)</f>
        <v>7074853</v>
      </c>
    </row>
    <row r="42" spans="1:7" x14ac:dyDescent="0.2">
      <c r="A42" s="817"/>
      <c r="B42" s="157"/>
      <c r="C42" s="831"/>
      <c r="D42" s="2387" t="s">
        <v>519</v>
      </c>
      <c r="E42" s="2388"/>
      <c r="F42" s="832" t="s">
        <v>520</v>
      </c>
      <c r="G42" s="833"/>
    </row>
    <row r="43" spans="1:7" ht="12" customHeight="1" x14ac:dyDescent="0.2">
      <c r="A43" s="817"/>
      <c r="B43" s="157"/>
      <c r="C43" s="831"/>
      <c r="D43" s="1458" t="s">
        <v>470</v>
      </c>
      <c r="E43" s="1809">
        <f>D41</f>
        <v>491986</v>
      </c>
      <c r="F43" s="1458" t="s">
        <v>470</v>
      </c>
      <c r="G43" s="1809">
        <f>F41</f>
        <v>1300175</v>
      </c>
    </row>
    <row r="44" spans="1:7" ht="12" customHeight="1" x14ac:dyDescent="0.2">
      <c r="A44" s="817"/>
      <c r="B44" s="157"/>
      <c r="C44" s="831"/>
      <c r="D44" s="1458" t="s">
        <v>471</v>
      </c>
      <c r="E44" s="1809">
        <f>E41</f>
        <v>7883042</v>
      </c>
      <c r="F44" s="1458" t="s">
        <v>471</v>
      </c>
      <c r="G44" s="1809">
        <f>G41</f>
        <v>7074853</v>
      </c>
    </row>
    <row r="45" spans="1:7" ht="12" customHeight="1" x14ac:dyDescent="0.2">
      <c r="A45" s="817"/>
      <c r="B45" s="157"/>
      <c r="C45" s="157"/>
      <c r="D45" s="1459" t="s">
        <v>999</v>
      </c>
      <c r="E45" s="1810">
        <f>(E43/E44)</f>
        <v>6.2410678517252606E-2</v>
      </c>
      <c r="F45" s="1459" t="s">
        <v>999</v>
      </c>
      <c r="G45" s="1810">
        <f>(G43/G44)</f>
        <v>0.18377413636721499</v>
      </c>
    </row>
    <row r="46" spans="1:7" x14ac:dyDescent="0.2">
      <c r="A46" s="834"/>
      <c r="B46" s="835"/>
      <c r="C46" s="835"/>
      <c r="D46" s="836"/>
      <c r="E46" s="837"/>
      <c r="F46" s="836"/>
      <c r="G46" s="837"/>
    </row>
  </sheetData>
  <sheetProtection sheet="1" objects="1" scenarios="1"/>
  <mergeCells count="3">
    <mergeCell ref="A5:G5"/>
    <mergeCell ref="D42:E42"/>
    <mergeCell ref="A11:D11"/>
  </mergeCells>
  <phoneticPr fontId="0" type="noConversion"/>
  <printOptions headings="1"/>
  <pageMargins left="1" right="0" top="0.77" bottom="0.34" header="0.3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97"/>
  <sheetViews>
    <sheetView showGridLines="0" zoomScale="110" zoomScaleNormal="110" workbookViewId="0">
      <pane ySplit="4" topLeftCell="A12" activePane="bottomLeft" state="frozen"/>
      <selection activeCell="A47" sqref="A47"/>
      <selection pane="bottomLeft" activeCell="F31" sqref="F31"/>
    </sheetView>
  </sheetViews>
  <sheetFormatPr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6" t="s">
        <v>1365</v>
      </c>
      <c r="B1" s="2406"/>
      <c r="C1" s="2406"/>
      <c r="D1" s="2406"/>
      <c r="E1" s="2406"/>
      <c r="F1" s="2406"/>
    </row>
    <row r="2" spans="1:15" x14ac:dyDescent="0.2">
      <c r="A2" s="1513" t="s">
        <v>1881</v>
      </c>
      <c r="B2" s="1478"/>
      <c r="C2" s="1513"/>
      <c r="D2" s="1478"/>
      <c r="E2" s="1478"/>
      <c r="F2" s="1479"/>
    </row>
    <row r="3" spans="1:15" x14ac:dyDescent="0.2">
      <c r="A3" s="1811" t="str">
        <f>"Fiscal Year Ending June 30, "&amp;'AFR20'!E2</f>
        <v>Fiscal Year Ending June 30, 2020</v>
      </c>
      <c r="B3" s="1478"/>
      <c r="C3" s="1513"/>
      <c r="D3" s="1478"/>
      <c r="E3" s="1478"/>
      <c r="F3" s="1479"/>
      <c r="H3" s="1853"/>
      <c r="I3" s="1853"/>
      <c r="J3" s="1853"/>
      <c r="K3" s="1853"/>
    </row>
    <row r="4" spans="1:15" ht="3.75" customHeight="1" x14ac:dyDescent="0.2">
      <c r="A4" s="1478"/>
      <c r="B4" s="1478"/>
      <c r="C4" s="1478"/>
      <c r="D4" s="1478"/>
      <c r="E4" s="1478"/>
      <c r="F4" s="1479"/>
    </row>
    <row r="5" spans="1:15" ht="15" x14ac:dyDescent="0.25">
      <c r="A5" s="2407" t="s">
        <v>1532</v>
      </c>
      <c r="B5" s="2408"/>
      <c r="C5" s="2409"/>
      <c r="D5" s="2409"/>
      <c r="E5" s="2409"/>
      <c r="F5" s="2409"/>
      <c r="G5" s="1507"/>
      <c r="L5" s="1507"/>
      <c r="M5" s="1854"/>
      <c r="N5" s="1854"/>
      <c r="O5" s="1854"/>
    </row>
    <row r="6" spans="1:15" ht="12" customHeight="1" x14ac:dyDescent="0.25">
      <c r="A6" s="1480"/>
      <c r="B6" s="1481"/>
      <c r="C6" s="2410" t="str">
        <f>COVER!A17</f>
        <v>Pontiac Township High School District #90</v>
      </c>
      <c r="D6" s="2410"/>
      <c r="E6" s="2410"/>
      <c r="F6" s="1482"/>
      <c r="G6" s="1507"/>
      <c r="L6" s="1507"/>
      <c r="M6" s="1854"/>
      <c r="N6" s="1854"/>
      <c r="O6" s="1854"/>
    </row>
    <row r="7" spans="1:15" ht="11.25" customHeight="1" thickBot="1" x14ac:dyDescent="0.3">
      <c r="A7" s="1480"/>
      <c r="B7" s="1481"/>
      <c r="C7" s="2411" t="str">
        <f>COVER!A13</f>
        <v>17-053-0900-17</v>
      </c>
      <c r="D7" s="2411"/>
      <c r="E7" s="2411"/>
      <c r="F7" s="1482"/>
      <c r="G7" s="1507"/>
      <c r="L7" s="1507"/>
      <c r="M7" s="1854"/>
      <c r="N7" s="1854"/>
      <c r="O7" s="1854"/>
    </row>
    <row r="8" spans="1:15" ht="25.5" customHeight="1" thickBot="1" x14ac:dyDescent="0.25">
      <c r="A8" s="1519" t="s">
        <v>1877</v>
      </c>
      <c r="B8" s="1483"/>
      <c r="C8" s="1515" t="s">
        <v>1665</v>
      </c>
      <c r="D8" s="1514" t="s">
        <v>1666</v>
      </c>
      <c r="E8" s="1516" t="s">
        <v>1366</v>
      </c>
      <c r="F8" s="1514" t="s">
        <v>1667</v>
      </c>
      <c r="G8" s="1507"/>
      <c r="H8" s="1484" t="b">
        <v>0</v>
      </c>
      <c r="L8" s="1507"/>
      <c r="M8" s="1854"/>
      <c r="N8" s="1854"/>
      <c r="O8" s="1854"/>
    </row>
    <row r="9" spans="1:15" ht="15.75" customHeight="1" x14ac:dyDescent="0.2">
      <c r="A9" s="1485" t="s">
        <v>1528</v>
      </c>
      <c r="B9" s="1486"/>
      <c r="C9" s="1487"/>
      <c r="D9" s="1487"/>
      <c r="E9" s="1488"/>
      <c r="F9" s="1489"/>
      <c r="G9" s="1507"/>
      <c r="L9" s="1507"/>
      <c r="M9" s="1854"/>
      <c r="N9" s="1854"/>
      <c r="O9" s="1854"/>
    </row>
    <row r="10" spans="1:15" ht="27.75" customHeight="1" x14ac:dyDescent="0.2">
      <c r="A10" s="1490" t="s">
        <v>1664</v>
      </c>
      <c r="B10" s="1491"/>
      <c r="C10" s="1492"/>
      <c r="D10" s="1492"/>
      <c r="E10" s="1517" t="s">
        <v>1367</v>
      </c>
      <c r="F10" s="1518" t="s">
        <v>1368</v>
      </c>
      <c r="G10" s="1507"/>
      <c r="L10" s="1507"/>
      <c r="M10" s="1854"/>
      <c r="N10" s="1854"/>
      <c r="O10" s="1854"/>
    </row>
    <row r="11" spans="1:15" ht="12" customHeight="1" x14ac:dyDescent="0.2">
      <c r="A11" s="1493" t="s">
        <v>1369</v>
      </c>
      <c r="B11" s="1494"/>
      <c r="C11" s="1495" t="s">
        <v>2030</v>
      </c>
      <c r="D11" s="1495" t="s">
        <v>2030</v>
      </c>
      <c r="E11" s="1496" t="s">
        <v>2030</v>
      </c>
      <c r="F11" s="1497" t="s">
        <v>2040</v>
      </c>
      <c r="G11" s="1507"/>
      <c r="H11" s="1507">
        <f>IF(C11="X",5,0)</f>
        <v>5</v>
      </c>
      <c r="I11" s="1507">
        <f>IF(D11="X",5,0)</f>
        <v>5</v>
      </c>
      <c r="J11" s="1507">
        <f>IF(E11="X",5,0)</f>
        <v>5</v>
      </c>
      <c r="L11" s="1507"/>
      <c r="M11" s="1854"/>
      <c r="N11" s="1854"/>
      <c r="O11" s="1854"/>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4"/>
      <c r="N12" s="1854"/>
      <c r="O12" s="1854"/>
    </row>
    <row r="13" spans="1:15" ht="12" customHeight="1" x14ac:dyDescent="0.2">
      <c r="A13" s="1493" t="s">
        <v>1371</v>
      </c>
      <c r="B13" s="1494"/>
      <c r="C13" s="1495" t="s">
        <v>2030</v>
      </c>
      <c r="D13" s="1495" t="s">
        <v>2030</v>
      </c>
      <c r="E13" s="1498" t="s">
        <v>2030</v>
      </c>
      <c r="F13" s="1497" t="s">
        <v>2041</v>
      </c>
      <c r="G13" s="1507"/>
      <c r="H13" s="1507">
        <f t="shared" si="0"/>
        <v>5</v>
      </c>
      <c r="I13" s="1507">
        <f t="shared" si="1"/>
        <v>5</v>
      </c>
      <c r="J13" s="1507">
        <f t="shared" si="2"/>
        <v>5</v>
      </c>
      <c r="L13" s="1507"/>
      <c r="M13" s="1854"/>
      <c r="N13" s="1854"/>
      <c r="O13" s="1854"/>
    </row>
    <row r="14" spans="1:15" ht="12" customHeight="1" x14ac:dyDescent="0.2">
      <c r="A14" s="1493" t="s">
        <v>1372</v>
      </c>
      <c r="B14" s="1494"/>
      <c r="C14" s="1495" t="s">
        <v>2030</v>
      </c>
      <c r="D14" s="1495" t="s">
        <v>2030</v>
      </c>
      <c r="E14" s="1498" t="s">
        <v>2030</v>
      </c>
      <c r="F14" s="1497" t="s">
        <v>2041</v>
      </c>
      <c r="G14" s="1507"/>
      <c r="H14" s="1507">
        <f t="shared" si="0"/>
        <v>5</v>
      </c>
      <c r="I14" s="1507">
        <f t="shared" si="1"/>
        <v>5</v>
      </c>
      <c r="J14" s="1507">
        <f t="shared" si="2"/>
        <v>5</v>
      </c>
      <c r="L14" s="1507"/>
      <c r="M14" s="1854"/>
      <c r="N14" s="1854"/>
      <c r="O14" s="1854"/>
    </row>
    <row r="15" spans="1:15" ht="12" customHeight="1" x14ac:dyDescent="0.2">
      <c r="A15" s="1493" t="s">
        <v>1373</v>
      </c>
      <c r="B15" s="1494"/>
      <c r="C15" s="1495" t="s">
        <v>2030</v>
      </c>
      <c r="D15" s="1495" t="s">
        <v>2030</v>
      </c>
      <c r="E15" s="1498" t="s">
        <v>2030</v>
      </c>
      <c r="F15" s="1497" t="s">
        <v>2042</v>
      </c>
      <c r="G15" s="1507"/>
      <c r="H15" s="1507">
        <f t="shared" si="0"/>
        <v>5</v>
      </c>
      <c r="I15" s="1507">
        <f t="shared" si="1"/>
        <v>5</v>
      </c>
      <c r="J15" s="1507">
        <f t="shared" si="2"/>
        <v>5</v>
      </c>
      <c r="L15" s="1507"/>
      <c r="M15" s="1854"/>
      <c r="N15" s="1854"/>
      <c r="O15" s="1854"/>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4"/>
      <c r="N16" s="1854"/>
      <c r="O16" s="1854"/>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4"/>
      <c r="N17" s="1854"/>
      <c r="O17" s="1854"/>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4"/>
      <c r="N18" s="1854"/>
      <c r="O18" s="1854"/>
    </row>
    <row r="19" spans="1:15" ht="12" customHeight="1" x14ac:dyDescent="0.2">
      <c r="A19" s="1493" t="s">
        <v>1513</v>
      </c>
      <c r="B19" s="1494"/>
      <c r="C19" s="1495"/>
      <c r="D19" s="1495"/>
      <c r="E19" s="1498"/>
      <c r="F19" s="1497"/>
      <c r="G19" s="1507"/>
      <c r="H19" s="1507">
        <f t="shared" si="0"/>
        <v>0</v>
      </c>
      <c r="I19" s="1507">
        <f t="shared" si="1"/>
        <v>0</v>
      </c>
      <c r="J19" s="1507">
        <f t="shared" si="2"/>
        <v>0</v>
      </c>
      <c r="L19" s="1507"/>
      <c r="M19" s="1854"/>
      <c r="N19" s="1854"/>
      <c r="O19" s="1854"/>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4"/>
      <c r="N20" s="1854"/>
      <c r="O20" s="1854"/>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4"/>
      <c r="N21" s="1854"/>
      <c r="O21" s="1854"/>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4"/>
      <c r="N22" s="1854"/>
      <c r="O22" s="1854"/>
    </row>
    <row r="23" spans="1:15" ht="12" customHeight="1" x14ac:dyDescent="0.2">
      <c r="A23" s="1493" t="s">
        <v>1517</v>
      </c>
      <c r="B23" s="1494"/>
      <c r="C23" s="1495" t="s">
        <v>2030</v>
      </c>
      <c r="D23" s="1495" t="s">
        <v>2030</v>
      </c>
      <c r="E23" s="1498" t="s">
        <v>2030</v>
      </c>
      <c r="F23" s="1497" t="s">
        <v>2042</v>
      </c>
      <c r="G23" s="1507"/>
      <c r="H23" s="1507">
        <f t="shared" si="0"/>
        <v>5</v>
      </c>
      <c r="I23" s="1507">
        <f t="shared" si="1"/>
        <v>5</v>
      </c>
      <c r="J23" s="1507">
        <f t="shared" si="2"/>
        <v>5</v>
      </c>
      <c r="L23" s="1507"/>
      <c r="M23" s="1854"/>
      <c r="N23" s="1854"/>
      <c r="O23" s="1854"/>
    </row>
    <row r="24" spans="1:15" ht="12" customHeight="1" x14ac:dyDescent="0.2">
      <c r="A24" s="1493" t="s">
        <v>1518</v>
      </c>
      <c r="B24" s="1494"/>
      <c r="C24" s="1495" t="s">
        <v>2030</v>
      </c>
      <c r="D24" s="1495" t="s">
        <v>2030</v>
      </c>
      <c r="E24" s="1498" t="s">
        <v>2030</v>
      </c>
      <c r="F24" s="1497" t="s">
        <v>2040</v>
      </c>
      <c r="G24" s="1507"/>
      <c r="H24" s="1507">
        <f t="shared" si="0"/>
        <v>5</v>
      </c>
      <c r="I24" s="1507">
        <f t="shared" si="1"/>
        <v>5</v>
      </c>
      <c r="J24" s="1507">
        <f t="shared" si="2"/>
        <v>5</v>
      </c>
      <c r="L24" s="1507"/>
      <c r="M24" s="1854"/>
      <c r="N24" s="1854"/>
      <c r="O24" s="1854"/>
    </row>
    <row r="25" spans="1:15" ht="12" customHeight="1" x14ac:dyDescent="0.2">
      <c r="A25" s="1493" t="s">
        <v>1519</v>
      </c>
      <c r="B25" s="1494"/>
      <c r="C25" s="1495" t="s">
        <v>2030</v>
      </c>
      <c r="D25" s="1495" t="s">
        <v>2030</v>
      </c>
      <c r="E25" s="1498" t="s">
        <v>2030</v>
      </c>
      <c r="F25" s="1497" t="s">
        <v>2041</v>
      </c>
      <c r="G25" s="1507"/>
      <c r="H25" s="1507">
        <f t="shared" si="0"/>
        <v>5</v>
      </c>
      <c r="I25" s="1507">
        <f t="shared" si="1"/>
        <v>5</v>
      </c>
      <c r="J25" s="1507">
        <f t="shared" si="2"/>
        <v>5</v>
      </c>
      <c r="L25" s="1507"/>
      <c r="M25" s="1854"/>
      <c r="N25" s="1854"/>
      <c r="O25" s="1854"/>
    </row>
    <row r="26" spans="1:15" ht="12" customHeight="1" x14ac:dyDescent="0.2">
      <c r="A26" s="1493" t="s">
        <v>1520</v>
      </c>
      <c r="B26" s="1494"/>
      <c r="C26" s="1495" t="s">
        <v>2030</v>
      </c>
      <c r="D26" s="1495" t="s">
        <v>2030</v>
      </c>
      <c r="E26" s="1498" t="s">
        <v>2030</v>
      </c>
      <c r="F26" s="1497" t="s">
        <v>2043</v>
      </c>
      <c r="G26" s="1507"/>
      <c r="H26" s="1507">
        <f t="shared" si="0"/>
        <v>5</v>
      </c>
      <c r="I26" s="1507">
        <f t="shared" si="1"/>
        <v>5</v>
      </c>
      <c r="J26" s="1507">
        <f t="shared" si="2"/>
        <v>5</v>
      </c>
      <c r="L26" s="1507"/>
      <c r="M26" s="1854"/>
      <c r="N26" s="1854"/>
      <c r="O26" s="1854"/>
    </row>
    <row r="27" spans="1:15" ht="18.75" x14ac:dyDescent="0.2">
      <c r="A27" s="1493" t="s">
        <v>1521</v>
      </c>
      <c r="B27" s="1494"/>
      <c r="C27" s="1495"/>
      <c r="D27" s="1495"/>
      <c r="E27" s="1498"/>
      <c r="F27" s="1497"/>
      <c r="G27" s="1507"/>
      <c r="H27" s="1507">
        <f t="shared" si="0"/>
        <v>0</v>
      </c>
      <c r="I27" s="1507">
        <f t="shared" si="1"/>
        <v>0</v>
      </c>
      <c r="J27" s="1507">
        <f t="shared" si="2"/>
        <v>0</v>
      </c>
      <c r="L27" s="1507"/>
      <c r="M27" s="1854"/>
      <c r="N27" s="1854"/>
      <c r="O27" s="1854"/>
    </row>
    <row r="28" spans="1:15" ht="12" customHeight="1" x14ac:dyDescent="0.2">
      <c r="A28" s="1493" t="s">
        <v>1522</v>
      </c>
      <c r="B28" s="1494"/>
      <c r="C28" s="1495" t="s">
        <v>2030</v>
      </c>
      <c r="D28" s="1495" t="s">
        <v>2030</v>
      </c>
      <c r="E28" s="1498" t="s">
        <v>2030</v>
      </c>
      <c r="F28" s="1497" t="s">
        <v>2044</v>
      </c>
      <c r="G28" s="1507"/>
      <c r="H28" s="1507">
        <f t="shared" si="0"/>
        <v>5</v>
      </c>
      <c r="I28" s="1507">
        <f t="shared" si="1"/>
        <v>5</v>
      </c>
      <c r="J28" s="1507">
        <f t="shared" si="2"/>
        <v>5</v>
      </c>
      <c r="L28" s="1507"/>
      <c r="M28" s="1854"/>
      <c r="N28" s="1854"/>
      <c r="O28" s="1854"/>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4"/>
      <c r="N29" s="1854"/>
      <c r="O29" s="1854"/>
    </row>
    <row r="30" spans="1:15" ht="12" customHeight="1" x14ac:dyDescent="0.2">
      <c r="A30" s="1493" t="s">
        <v>1524</v>
      </c>
      <c r="B30" s="1494"/>
      <c r="C30" s="1495" t="s">
        <v>2030</v>
      </c>
      <c r="D30" s="1495" t="s">
        <v>2030</v>
      </c>
      <c r="E30" s="1498" t="s">
        <v>2030</v>
      </c>
      <c r="F30" s="1497" t="s">
        <v>2040</v>
      </c>
      <c r="G30" s="1507"/>
      <c r="H30" s="1507">
        <f t="shared" si="0"/>
        <v>5</v>
      </c>
      <c r="I30" s="1507">
        <f t="shared" si="1"/>
        <v>5</v>
      </c>
      <c r="J30" s="1507">
        <f t="shared" si="2"/>
        <v>5</v>
      </c>
      <c r="L30" s="1507"/>
      <c r="M30" s="1854"/>
      <c r="N30" s="1854"/>
      <c r="O30" s="1854"/>
    </row>
    <row r="31" spans="1:15" ht="12" customHeight="1" x14ac:dyDescent="0.2">
      <c r="A31" s="1493" t="s">
        <v>1525</v>
      </c>
      <c r="B31" s="1494"/>
      <c r="C31" s="1495" t="s">
        <v>2030</v>
      </c>
      <c r="D31" s="1495" t="s">
        <v>2030</v>
      </c>
      <c r="E31" s="1498" t="s">
        <v>2030</v>
      </c>
      <c r="F31" s="1497" t="s">
        <v>2045</v>
      </c>
      <c r="G31" s="1507"/>
      <c r="H31" s="1507">
        <f t="shared" si="0"/>
        <v>5</v>
      </c>
      <c r="I31" s="1507">
        <f t="shared" si="1"/>
        <v>5</v>
      </c>
      <c r="J31" s="1507">
        <f t="shared" si="2"/>
        <v>5</v>
      </c>
      <c r="L31" s="1855"/>
      <c r="M31" s="1854"/>
      <c r="N31" s="1854"/>
      <c r="O31" s="1854"/>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4"/>
      <c r="N32" s="1854"/>
      <c r="O32" s="1854"/>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4"/>
      <c r="N33" s="1854"/>
      <c r="O33" s="1854"/>
    </row>
    <row r="34" spans="1:15" ht="12" customHeight="1" x14ac:dyDescent="0.25">
      <c r="A34" s="1499"/>
      <c r="B34" s="1499"/>
      <c r="C34" s="1499"/>
      <c r="D34" s="1499"/>
      <c r="E34" s="1499"/>
      <c r="F34" s="1499"/>
      <c r="G34" s="1507"/>
      <c r="H34" s="1507">
        <f>SUM(H11:H32)</f>
        <v>55</v>
      </c>
      <c r="I34" s="1507">
        <f>SUM(I11:I32)</f>
        <v>55</v>
      </c>
      <c r="J34" s="1507">
        <f>SUM(J11:J32)</f>
        <v>55</v>
      </c>
      <c r="K34" s="1507">
        <f>SUM(H34:J34)</f>
        <v>165</v>
      </c>
      <c r="L34" s="1507"/>
      <c r="M34" s="1854"/>
      <c r="N34" s="1854"/>
      <c r="O34" s="1854"/>
    </row>
    <row r="35" spans="1:15" ht="12" customHeight="1" x14ac:dyDescent="0.2">
      <c r="A35" s="1500" t="s">
        <v>1378</v>
      </c>
      <c r="B35" s="1501"/>
      <c r="C35" s="2412"/>
      <c r="D35" s="2412"/>
      <c r="E35" s="2412"/>
      <c r="F35" s="2413"/>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398"/>
      <c r="B38" s="2399"/>
      <c r="C38" s="2399"/>
      <c r="D38" s="2399"/>
      <c r="E38" s="2399"/>
      <c r="F38" s="2400"/>
    </row>
    <row r="39" spans="1:15" ht="4.5" hidden="1" customHeight="1" x14ac:dyDescent="0.2">
      <c r="A39" s="1502"/>
      <c r="B39" s="1502"/>
      <c r="C39" s="1502"/>
      <c r="D39" s="1502"/>
      <c r="E39" s="1502"/>
      <c r="F39" s="1502"/>
    </row>
    <row r="40" spans="1:15" s="1499" customFormat="1" ht="12" customHeight="1" x14ac:dyDescent="0.25">
      <c r="A40" s="1503" t="s">
        <v>1377</v>
      </c>
      <c r="B40" s="1504"/>
      <c r="C40" s="2401"/>
      <c r="D40" s="2401"/>
      <c r="E40" s="2401"/>
      <c r="F40" s="2402"/>
      <c r="H40" s="1508"/>
      <c r="I40" s="1508"/>
      <c r="J40" s="1508"/>
      <c r="K40" s="1508"/>
    </row>
    <row r="41" spans="1:15" s="1499" customFormat="1" ht="12" customHeight="1" x14ac:dyDescent="0.25">
      <c r="A41" s="2403"/>
      <c r="B41" s="2404"/>
      <c r="C41" s="2404"/>
      <c r="D41" s="2404"/>
      <c r="E41" s="2404"/>
      <c r="F41" s="2405"/>
      <c r="H41" s="1508"/>
      <c r="I41" s="1508"/>
      <c r="J41" s="1508"/>
      <c r="K41" s="1508"/>
    </row>
    <row r="42" spans="1:15" s="1499" customFormat="1" ht="12" customHeight="1" x14ac:dyDescent="0.25">
      <c r="A42" s="2403"/>
      <c r="B42" s="2404"/>
      <c r="C42" s="2404"/>
      <c r="D42" s="2404"/>
      <c r="E42" s="2404"/>
      <c r="F42" s="2405"/>
      <c r="H42" s="1508"/>
      <c r="I42" s="1508"/>
      <c r="J42" s="1508"/>
      <c r="K42" s="1508"/>
    </row>
    <row r="43" spans="1:15" s="1499" customFormat="1" ht="15" x14ac:dyDescent="0.25">
      <c r="A43" s="2392"/>
      <c r="B43" s="2393"/>
      <c r="C43" s="2393"/>
      <c r="D43" s="2393"/>
      <c r="E43" s="2393"/>
      <c r="F43" s="2394"/>
      <c r="H43" s="1508"/>
      <c r="I43" s="1508"/>
      <c r="J43" s="1508"/>
      <c r="K43" s="1508"/>
    </row>
    <row r="44" spans="1:15" s="1499" customFormat="1" ht="12" hidden="1" customHeight="1" x14ac:dyDescent="0.25">
      <c r="A44" s="2392"/>
      <c r="B44" s="2393"/>
      <c r="C44" s="2393"/>
      <c r="D44" s="2393"/>
      <c r="E44" s="2393"/>
      <c r="F44" s="239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9"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opLeftCell="A42" workbookViewId="0">
      <selection activeCell="E68" sqref="E68"/>
    </sheetView>
  </sheetViews>
  <sheetFormatPr defaultRowHeight="12.75" x14ac:dyDescent="0.2"/>
  <cols>
    <col min="1" max="1" width="2.7109375" customWidth="1"/>
    <col min="2" max="2" width="3" customWidth="1"/>
    <col min="3" max="3" width="38" customWidth="1"/>
    <col min="4" max="4" width="7.7109375" customWidth="1"/>
    <col min="5" max="5" width="10.7109375" customWidth="1"/>
    <col min="6" max="6" width="11" customWidth="1"/>
    <col min="9" max="9" width="10.85546875" customWidth="1"/>
    <col min="10" max="10" width="12.42578125" customWidth="1"/>
    <col min="12" max="12" width="13.140625" customWidth="1"/>
    <col min="14" max="14" width="17.85546875" customWidth="1"/>
  </cols>
  <sheetData>
    <row r="1" spans="1:14" x14ac:dyDescent="0.2">
      <c r="A1" s="1925"/>
      <c r="B1" s="1926"/>
      <c r="C1" s="1926"/>
      <c r="D1" s="1926"/>
      <c r="E1" s="1926"/>
      <c r="F1" s="1926"/>
      <c r="G1" s="1927" t="s">
        <v>402</v>
      </c>
      <c r="H1" s="1928"/>
      <c r="I1" s="1926"/>
      <c r="J1" s="1926"/>
      <c r="K1" s="1926"/>
      <c r="L1" s="1926"/>
      <c r="M1" s="1926"/>
      <c r="N1" s="1929"/>
    </row>
    <row r="2" spans="1:14" x14ac:dyDescent="0.2">
      <c r="A2" s="1930"/>
      <c r="B2" s="838"/>
      <c r="C2" s="838"/>
      <c r="D2" s="838"/>
      <c r="E2" s="838"/>
      <c r="F2" s="838"/>
      <c r="G2" s="1931" t="s">
        <v>2005</v>
      </c>
      <c r="H2" s="1932"/>
      <c r="I2" s="838"/>
      <c r="J2" s="838"/>
      <c r="K2" s="838"/>
      <c r="L2" s="838"/>
      <c r="M2" s="838"/>
      <c r="N2" s="1933"/>
    </row>
    <row r="3" spans="1:14" x14ac:dyDescent="0.2">
      <c r="A3" s="1930"/>
      <c r="B3" s="838"/>
      <c r="C3" s="838"/>
      <c r="D3" s="838"/>
      <c r="E3" s="838"/>
      <c r="F3" s="838"/>
      <c r="G3" s="1931" t="s">
        <v>403</v>
      </c>
      <c r="H3" s="838"/>
      <c r="I3" s="838"/>
      <c r="J3" s="838"/>
      <c r="K3" s="838"/>
      <c r="L3" s="838"/>
      <c r="M3" s="838"/>
      <c r="N3" s="1933"/>
    </row>
    <row r="4" spans="1:14" x14ac:dyDescent="0.2">
      <c r="A4" s="1930"/>
      <c r="B4" s="838"/>
      <c r="C4" s="838"/>
      <c r="D4" s="838"/>
      <c r="E4" s="838"/>
      <c r="F4" s="838"/>
      <c r="G4" s="1931" t="s">
        <v>863</v>
      </c>
      <c r="H4" s="838"/>
      <c r="I4" s="838"/>
      <c r="J4" s="838"/>
      <c r="K4" s="838"/>
      <c r="L4" s="838"/>
      <c r="M4" s="838"/>
      <c r="N4" s="1933"/>
    </row>
    <row r="5" spans="1:14" x14ac:dyDescent="0.2">
      <c r="A5" s="1930"/>
      <c r="B5" s="838"/>
      <c r="C5" s="838"/>
      <c r="D5" s="838"/>
      <c r="E5" s="838"/>
      <c r="F5" s="1931"/>
      <c r="G5" s="1931"/>
      <c r="H5" s="838"/>
      <c r="I5" s="838"/>
      <c r="J5" s="838"/>
      <c r="K5" s="838"/>
      <c r="L5" s="838"/>
      <c r="M5" s="838"/>
      <c r="N5" s="1933"/>
    </row>
    <row r="6" spans="1:14" x14ac:dyDescent="0.2">
      <c r="A6" s="1934" t="s">
        <v>667</v>
      </c>
      <c r="B6" s="1377"/>
      <c r="C6" s="1377"/>
      <c r="D6" s="1377"/>
      <c r="E6" s="1378"/>
      <c r="F6" s="1935"/>
      <c r="G6" s="1931"/>
      <c r="H6" s="838"/>
      <c r="I6" s="1936" t="s">
        <v>1021</v>
      </c>
      <c r="J6" s="2414" t="str">
        <f>+COVER!A17</f>
        <v>Pontiac Township High School District #90</v>
      </c>
      <c r="K6" s="2414"/>
      <c r="L6" s="2415"/>
      <c r="M6" s="838"/>
      <c r="N6" s="1933"/>
    </row>
    <row r="7" spans="1:14" x14ac:dyDescent="0.2">
      <c r="A7" s="2416" t="s">
        <v>864</v>
      </c>
      <c r="B7" s="2417"/>
      <c r="C7" s="2417"/>
      <c r="D7" s="2417"/>
      <c r="E7" s="2418"/>
      <c r="F7" s="839"/>
      <c r="G7" s="838"/>
      <c r="H7" s="838"/>
      <c r="I7" s="1936" t="s">
        <v>369</v>
      </c>
      <c r="J7" s="2419" t="str">
        <f>+COVER!A13</f>
        <v>17-053-0900-17</v>
      </c>
      <c r="K7" s="2419"/>
      <c r="L7" s="2419"/>
      <c r="M7" s="838"/>
      <c r="N7" s="1933"/>
    </row>
    <row r="8" spans="1:14" x14ac:dyDescent="0.2">
      <c r="A8" s="1937"/>
      <c r="B8" s="1938"/>
      <c r="C8" s="1938"/>
      <c r="D8" s="1938"/>
      <c r="E8" s="1939"/>
      <c r="F8" s="1940"/>
      <c r="G8" s="1910"/>
      <c r="H8" s="1910"/>
      <c r="I8" s="1910"/>
      <c r="J8" s="1910"/>
      <c r="K8" s="1910"/>
      <c r="L8" s="1910"/>
      <c r="M8" s="838"/>
      <c r="N8" s="1933"/>
    </row>
    <row r="9" spans="1:14" x14ac:dyDescent="0.2">
      <c r="A9" s="1941"/>
      <c r="B9" s="840"/>
      <c r="C9" s="840"/>
      <c r="D9" s="841"/>
      <c r="E9" s="1942" t="s">
        <v>2050</v>
      </c>
      <c r="F9" s="1856"/>
      <c r="G9" s="1856"/>
      <c r="H9" s="1856"/>
      <c r="I9" s="1943" t="s">
        <v>2051</v>
      </c>
      <c r="J9" s="1856"/>
      <c r="K9" s="1856"/>
      <c r="L9" s="1857"/>
      <c r="M9" s="838"/>
      <c r="N9" s="1933"/>
    </row>
    <row r="10" spans="1:14" x14ac:dyDescent="0.2">
      <c r="A10" s="1944"/>
      <c r="B10" s="1945"/>
      <c r="C10" s="1946"/>
      <c r="D10" s="1947"/>
      <c r="E10" s="1948" t="s">
        <v>422</v>
      </c>
      <c r="F10" s="1949" t="s">
        <v>423</v>
      </c>
      <c r="G10" s="1950" t="s">
        <v>429</v>
      </c>
      <c r="H10" s="1951"/>
      <c r="I10" s="1949" t="s">
        <v>422</v>
      </c>
      <c r="J10" s="1949" t="s">
        <v>423</v>
      </c>
      <c r="K10" s="1950" t="s">
        <v>429</v>
      </c>
      <c r="L10" s="1949"/>
      <c r="M10" s="838"/>
      <c r="N10" s="1933"/>
    </row>
    <row r="11" spans="1:14" ht="51" x14ac:dyDescent="0.2">
      <c r="A11" s="2420" t="s">
        <v>478</v>
      </c>
      <c r="B11" s="2421"/>
      <c r="C11" s="2422"/>
      <c r="D11" s="1952" t="s">
        <v>866</v>
      </c>
      <c r="E11" s="1952" t="s">
        <v>64</v>
      </c>
      <c r="F11" s="1952" t="s">
        <v>6</v>
      </c>
      <c r="G11" s="1953" t="s">
        <v>2052</v>
      </c>
      <c r="H11" s="1954" t="s">
        <v>155</v>
      </c>
      <c r="I11" s="1952" t="s">
        <v>64</v>
      </c>
      <c r="J11" s="1952" t="s">
        <v>6</v>
      </c>
      <c r="K11" s="1953" t="s">
        <v>2004</v>
      </c>
      <c r="L11" s="1954" t="s">
        <v>155</v>
      </c>
      <c r="M11" s="838"/>
      <c r="N11" s="1933"/>
    </row>
    <row r="12" spans="1:14" x14ac:dyDescent="0.2">
      <c r="A12" s="1955">
        <v>1</v>
      </c>
      <c r="B12" s="1956" t="s">
        <v>813</v>
      </c>
      <c r="C12" s="842"/>
      <c r="D12" s="1957">
        <v>2320</v>
      </c>
      <c r="E12" s="1958">
        <f>+'Expenditures 15-22'!K50</f>
        <v>190834</v>
      </c>
      <c r="F12" s="1959"/>
      <c r="G12" s="1960">
        <f>G68</f>
        <v>0</v>
      </c>
      <c r="H12" s="1961">
        <f t="shared" ref="H12:H18" si="0">SUM(E12:G12)</f>
        <v>190834</v>
      </c>
      <c r="I12" s="1962">
        <v>199126</v>
      </c>
      <c r="J12" s="1959"/>
      <c r="K12" s="1962"/>
      <c r="L12" s="1961">
        <f t="shared" ref="L12:L18" si="1">SUM(I12:K12)</f>
        <v>199126</v>
      </c>
      <c r="M12" s="838"/>
      <c r="N12" s="1933"/>
    </row>
    <row r="13" spans="1:14" x14ac:dyDescent="0.2">
      <c r="A13" s="1955">
        <v>2</v>
      </c>
      <c r="B13" s="1956" t="s">
        <v>42</v>
      </c>
      <c r="C13" s="842"/>
      <c r="D13" s="1957">
        <v>2330</v>
      </c>
      <c r="E13" s="1958">
        <f>+'Expenditures 15-22'!K51</f>
        <v>0</v>
      </c>
      <c r="F13" s="1959"/>
      <c r="G13" s="1960">
        <f>H68</f>
        <v>0</v>
      </c>
      <c r="H13" s="1961">
        <f t="shared" si="0"/>
        <v>0</v>
      </c>
      <c r="I13" s="1962"/>
      <c r="J13" s="1959"/>
      <c r="K13" s="1962"/>
      <c r="L13" s="1961">
        <f t="shared" si="1"/>
        <v>0</v>
      </c>
      <c r="M13" s="838"/>
      <c r="N13" s="1933"/>
    </row>
    <row r="14" spans="1:14" x14ac:dyDescent="0.2">
      <c r="A14" s="1955">
        <v>3</v>
      </c>
      <c r="B14" s="1956" t="s">
        <v>43</v>
      </c>
      <c r="C14" s="842"/>
      <c r="D14" s="1963">
        <v>2490</v>
      </c>
      <c r="E14" s="1958">
        <f>+'Expenditures 15-22'!K56</f>
        <v>0</v>
      </c>
      <c r="F14" s="1959"/>
      <c r="G14" s="1960">
        <f>I68</f>
        <v>0</v>
      </c>
      <c r="H14" s="1961">
        <f t="shared" si="0"/>
        <v>0</v>
      </c>
      <c r="I14" s="1962"/>
      <c r="J14" s="1959"/>
      <c r="K14" s="1962"/>
      <c r="L14" s="1961">
        <f t="shared" si="1"/>
        <v>0</v>
      </c>
      <c r="M14" s="838"/>
      <c r="N14" s="1933"/>
    </row>
    <row r="15" spans="1:14" x14ac:dyDescent="0.2">
      <c r="A15" s="1955">
        <v>4</v>
      </c>
      <c r="B15" s="1956" t="s">
        <v>1061</v>
      </c>
      <c r="C15" s="842"/>
      <c r="D15" s="1957">
        <v>2510</v>
      </c>
      <c r="E15" s="1958">
        <f>+'Expenditures 15-22'!K59</f>
        <v>0</v>
      </c>
      <c r="F15" s="1958">
        <f>+'Expenditures 15-22'!K122</f>
        <v>0</v>
      </c>
      <c r="G15" s="1960">
        <f>J68</f>
        <v>0</v>
      </c>
      <c r="H15" s="1961">
        <f t="shared" si="0"/>
        <v>0</v>
      </c>
      <c r="I15" s="1962"/>
      <c r="J15" s="1962"/>
      <c r="K15" s="1962"/>
      <c r="L15" s="1961">
        <f t="shared" si="1"/>
        <v>0</v>
      </c>
      <c r="M15" s="838"/>
      <c r="N15" s="1933"/>
    </row>
    <row r="16" spans="1:14" x14ac:dyDescent="0.2">
      <c r="A16" s="1955">
        <v>5</v>
      </c>
      <c r="B16" s="1956" t="s">
        <v>101</v>
      </c>
      <c r="C16" s="842"/>
      <c r="D16" s="1957">
        <v>2570</v>
      </c>
      <c r="E16" s="1958">
        <f>+'Expenditures 15-22'!K64</f>
        <v>0</v>
      </c>
      <c r="F16" s="1959"/>
      <c r="G16" s="1960">
        <f>K68</f>
        <v>0</v>
      </c>
      <c r="H16" s="1961">
        <f t="shared" si="0"/>
        <v>0</v>
      </c>
      <c r="I16" s="1962"/>
      <c r="J16" s="1959"/>
      <c r="K16" s="1962"/>
      <c r="L16" s="1961">
        <f t="shared" si="1"/>
        <v>0</v>
      </c>
      <c r="M16" s="838"/>
      <c r="N16" s="1933"/>
    </row>
    <row r="17" spans="1:14" x14ac:dyDescent="0.2">
      <c r="A17" s="1955">
        <v>6</v>
      </c>
      <c r="B17" s="1956" t="s">
        <v>1053</v>
      </c>
      <c r="C17" s="842"/>
      <c r="D17" s="1957">
        <v>2610</v>
      </c>
      <c r="E17" s="1958">
        <f>+'Expenditures 15-22'!K67</f>
        <v>0</v>
      </c>
      <c r="F17" s="1959"/>
      <c r="G17" s="1960">
        <f>L68</f>
        <v>0</v>
      </c>
      <c r="H17" s="1961">
        <f t="shared" si="0"/>
        <v>0</v>
      </c>
      <c r="I17" s="1962"/>
      <c r="J17" s="1959"/>
      <c r="K17" s="1962"/>
      <c r="L17" s="1961">
        <f t="shared" si="1"/>
        <v>0</v>
      </c>
      <c r="M17" s="838"/>
      <c r="N17" s="1933"/>
    </row>
    <row r="18" spans="1:14" ht="28.5" customHeight="1" x14ac:dyDescent="0.2">
      <c r="A18" s="1964">
        <v>7</v>
      </c>
      <c r="B18" s="2423" t="s">
        <v>7</v>
      </c>
      <c r="C18" s="2424"/>
      <c r="D18" s="2425"/>
      <c r="E18" s="1965"/>
      <c r="F18" s="1965"/>
      <c r="G18" s="1962"/>
      <c r="H18" s="1966">
        <f t="shared" si="0"/>
        <v>0</v>
      </c>
      <c r="I18" s="1962"/>
      <c r="J18" s="1962"/>
      <c r="K18" s="1962"/>
      <c r="L18" s="1961">
        <f t="shared" si="1"/>
        <v>0</v>
      </c>
      <c r="M18" s="838"/>
      <c r="N18" s="1933"/>
    </row>
    <row r="19" spans="1:14" ht="13.5" thickBot="1" x14ac:dyDescent="0.25">
      <c r="A19" s="1955">
        <v>8</v>
      </c>
      <c r="B19" s="1967" t="s">
        <v>1153</v>
      </c>
      <c r="C19" s="838"/>
      <c r="D19" s="1968"/>
      <c r="E19" s="1969">
        <f t="shared" ref="E19:L19" si="2">SUM(E12:E17)-E18</f>
        <v>190834</v>
      </c>
      <c r="F19" s="1969">
        <f t="shared" si="2"/>
        <v>0</v>
      </c>
      <c r="G19" s="1969">
        <f>SUM(G12:G17)-G18</f>
        <v>0</v>
      </c>
      <c r="H19" s="1969">
        <f t="shared" si="2"/>
        <v>190834</v>
      </c>
      <c r="I19" s="1969">
        <f t="shared" si="2"/>
        <v>199126</v>
      </c>
      <c r="J19" s="1969">
        <f t="shared" si="2"/>
        <v>0</v>
      </c>
      <c r="K19" s="1969">
        <f t="shared" si="2"/>
        <v>0</v>
      </c>
      <c r="L19" s="1969">
        <f t="shared" si="2"/>
        <v>199126</v>
      </c>
      <c r="M19" s="838"/>
      <c r="N19" s="1933"/>
    </row>
    <row r="20" spans="1:14" ht="13.5" thickTop="1" x14ac:dyDescent="0.2">
      <c r="A20" s="1955">
        <v>9</v>
      </c>
      <c r="B20" s="2426" t="s">
        <v>2053</v>
      </c>
      <c r="C20" s="2426"/>
      <c r="D20" s="2427"/>
      <c r="E20" s="1970"/>
      <c r="F20" s="1970"/>
      <c r="G20" s="1970"/>
      <c r="H20" s="1970"/>
      <c r="I20" s="1970"/>
      <c r="J20" s="1970"/>
      <c r="K20" s="1970"/>
      <c r="L20" s="1971">
        <f>IF(AND(H19&gt;0,L19&gt;0),(((L19-H19)/H19)),"Enter Budget Data")</f>
        <v>4.3451376589077419E-2</v>
      </c>
      <c r="M20" s="838"/>
      <c r="N20" s="1933"/>
    </row>
    <row r="21" spans="1:14" x14ac:dyDescent="0.2">
      <c r="A21" s="1972" t="s">
        <v>194</v>
      </c>
      <c r="B21" s="1973" t="s">
        <v>2054</v>
      </c>
      <c r="C21" s="838"/>
      <c r="D21" s="1974"/>
      <c r="E21" s="1975"/>
      <c r="F21" s="1976"/>
      <c r="G21" s="1976"/>
      <c r="H21" s="1976"/>
      <c r="I21" s="1976"/>
      <c r="J21" s="1976"/>
      <c r="K21" s="1976"/>
      <c r="L21" s="1977"/>
      <c r="M21" s="838"/>
      <c r="N21" s="1933"/>
    </row>
    <row r="22" spans="1:14" x14ac:dyDescent="0.2">
      <c r="A22" s="1930"/>
      <c r="B22" s="1978"/>
      <c r="C22" s="838"/>
      <c r="D22" s="838"/>
      <c r="E22" s="838"/>
      <c r="F22" s="838"/>
      <c r="G22" s="838"/>
      <c r="H22" s="838"/>
      <c r="I22" s="838"/>
      <c r="J22" s="838"/>
      <c r="K22" s="838"/>
      <c r="L22" s="838"/>
      <c r="M22" s="838"/>
      <c r="N22" s="1933"/>
    </row>
    <row r="23" spans="1:14" x14ac:dyDescent="0.2">
      <c r="A23" s="1979" t="s">
        <v>132</v>
      </c>
      <c r="B23" s="1978"/>
      <c r="C23" s="838"/>
      <c r="D23" s="838"/>
      <c r="E23" s="838"/>
      <c r="F23" s="838"/>
      <c r="G23" s="838"/>
      <c r="H23" s="838"/>
      <c r="I23" s="838"/>
      <c r="J23" s="838"/>
      <c r="K23" s="838"/>
      <c r="L23" s="838"/>
      <c r="M23" s="838"/>
      <c r="N23" s="1933"/>
    </row>
    <row r="24" spans="1:14" x14ac:dyDescent="0.2">
      <c r="A24" s="1980" t="s">
        <v>2055</v>
      </c>
      <c r="B24" s="1981"/>
      <c r="C24" s="1982"/>
      <c r="D24" s="1982"/>
      <c r="E24" s="1982"/>
      <c r="F24" s="1982"/>
      <c r="G24" s="1982"/>
      <c r="H24" s="1982"/>
      <c r="I24" s="1982"/>
      <c r="J24" s="1982"/>
      <c r="K24" s="1982"/>
      <c r="L24" s="838"/>
      <c r="M24" s="838"/>
      <c r="N24" s="1933"/>
    </row>
    <row r="25" spans="1:14" x14ac:dyDescent="0.2">
      <c r="A25" s="1980" t="s">
        <v>2056</v>
      </c>
      <c r="B25" s="1981"/>
      <c r="C25" s="1982"/>
      <c r="D25" s="1982"/>
      <c r="E25" s="1982"/>
      <c r="F25" s="1982"/>
      <c r="G25" s="1982"/>
      <c r="H25" s="1982"/>
      <c r="I25" s="1982"/>
      <c r="J25" s="1982"/>
      <c r="K25" s="1982"/>
      <c r="L25" s="838"/>
      <c r="M25" s="838"/>
      <c r="N25" s="1933"/>
    </row>
    <row r="26" spans="1:14" x14ac:dyDescent="0.2">
      <c r="A26" s="1983"/>
      <c r="B26" s="1978"/>
      <c r="C26" s="838"/>
      <c r="D26" s="838"/>
      <c r="E26" s="838"/>
      <c r="F26" s="838"/>
      <c r="G26" s="838"/>
      <c r="H26" s="838"/>
      <c r="I26" s="838"/>
      <c r="J26" s="838"/>
      <c r="K26" s="838"/>
      <c r="L26" s="838"/>
      <c r="M26" s="838"/>
      <c r="N26" s="1933"/>
    </row>
    <row r="27" spans="1:14" x14ac:dyDescent="0.2">
      <c r="A27" s="1930"/>
      <c r="B27" s="1978"/>
      <c r="C27" s="2428"/>
      <c r="D27" s="2428"/>
      <c r="E27" s="843"/>
      <c r="F27" s="2429"/>
      <c r="G27" s="2429"/>
      <c r="H27" s="2429"/>
      <c r="I27" s="838"/>
      <c r="J27" s="838"/>
      <c r="K27" s="838"/>
      <c r="L27" s="838"/>
      <c r="M27" s="838"/>
      <c r="N27" s="1933"/>
    </row>
    <row r="28" spans="1:14" x14ac:dyDescent="0.2">
      <c r="A28" s="1930"/>
      <c r="B28" s="1978"/>
      <c r="C28" s="1984" t="s">
        <v>1026</v>
      </c>
      <c r="D28" s="844"/>
      <c r="E28" s="1985"/>
      <c r="F28" s="2430" t="s">
        <v>1495</v>
      </c>
      <c r="G28" s="2430"/>
      <c r="H28" s="2430"/>
      <c r="I28" s="838"/>
      <c r="J28" s="838"/>
      <c r="K28" s="838"/>
      <c r="L28" s="838"/>
      <c r="M28" s="838"/>
      <c r="N28" s="1933"/>
    </row>
    <row r="29" spans="1:14" x14ac:dyDescent="0.2">
      <c r="A29" s="1930"/>
      <c r="B29" s="1978"/>
      <c r="C29" s="2431"/>
      <c r="D29" s="2431"/>
      <c r="E29" s="845"/>
      <c r="F29" s="2431"/>
      <c r="G29" s="2431"/>
      <c r="H29" s="2431"/>
      <c r="I29" s="838"/>
      <c r="J29" s="838"/>
      <c r="K29" s="838"/>
      <c r="L29" s="838"/>
      <c r="M29" s="838"/>
      <c r="N29" s="1933"/>
    </row>
    <row r="30" spans="1:14" x14ac:dyDescent="0.2">
      <c r="A30" s="1930"/>
      <c r="B30" s="1978"/>
      <c r="C30" s="1986" t="s">
        <v>1547</v>
      </c>
      <c r="D30" s="838"/>
      <c r="E30" s="1987"/>
      <c r="F30" s="2432" t="s">
        <v>1496</v>
      </c>
      <c r="G30" s="2432"/>
      <c r="H30" s="2432"/>
      <c r="I30" s="838"/>
      <c r="J30" s="838"/>
      <c r="K30" s="838"/>
      <c r="L30" s="838"/>
      <c r="M30" s="838"/>
      <c r="N30" s="1933"/>
    </row>
    <row r="31" spans="1:14" x14ac:dyDescent="0.2">
      <c r="A31" s="1930"/>
      <c r="B31" s="1978"/>
      <c r="C31" s="1988"/>
      <c r="D31" s="838"/>
      <c r="E31" s="1974"/>
      <c r="F31" s="1975"/>
      <c r="G31" s="1975"/>
      <c r="H31" s="1975"/>
      <c r="I31" s="838"/>
      <c r="J31" s="838"/>
      <c r="K31" s="838"/>
      <c r="L31" s="838"/>
      <c r="M31" s="838"/>
      <c r="N31" s="1933"/>
    </row>
    <row r="32" spans="1:14" x14ac:dyDescent="0.2">
      <c r="A32" s="1930"/>
      <c r="B32" s="1989" t="s">
        <v>1027</v>
      </c>
      <c r="C32" s="838"/>
      <c r="D32" s="838"/>
      <c r="E32" s="838"/>
      <c r="F32" s="838"/>
      <c r="G32" s="838"/>
      <c r="H32" s="838"/>
      <c r="I32" s="838"/>
      <c r="J32" s="838"/>
      <c r="K32" s="838"/>
      <c r="L32" s="838"/>
      <c r="M32" s="838"/>
      <c r="N32" s="1933"/>
    </row>
    <row r="33" spans="1:14" x14ac:dyDescent="0.2">
      <c r="A33" s="1930"/>
      <c r="B33" s="1990"/>
      <c r="C33" s="838"/>
      <c r="D33" s="838"/>
      <c r="E33" s="838"/>
      <c r="F33" s="838"/>
      <c r="G33" s="838"/>
      <c r="H33" s="838"/>
      <c r="I33" s="838"/>
      <c r="J33" s="838"/>
      <c r="K33" s="838"/>
      <c r="L33" s="838"/>
      <c r="M33" s="838"/>
      <c r="N33" s="1933"/>
    </row>
    <row r="34" spans="1:14" x14ac:dyDescent="0.2">
      <c r="A34" s="1930"/>
      <c r="B34" s="846"/>
      <c r="C34" s="2433" t="s">
        <v>2057</v>
      </c>
      <c r="D34" s="2434"/>
      <c r="E34" s="2434"/>
      <c r="F34" s="2434"/>
      <c r="G34" s="2434"/>
      <c r="H34" s="2434"/>
      <c r="I34" s="2434"/>
      <c r="J34" s="2434"/>
      <c r="K34" s="1991"/>
      <c r="L34" s="838"/>
      <c r="M34" s="838"/>
      <c r="N34" s="1933"/>
    </row>
    <row r="35" spans="1:14" x14ac:dyDescent="0.2">
      <c r="A35" s="1930"/>
      <c r="B35" s="838"/>
      <c r="C35" s="2434"/>
      <c r="D35" s="2434"/>
      <c r="E35" s="2434"/>
      <c r="F35" s="2434"/>
      <c r="G35" s="2434"/>
      <c r="H35" s="2434"/>
      <c r="I35" s="2434"/>
      <c r="J35" s="2434"/>
      <c r="K35" s="1991"/>
      <c r="L35" s="838"/>
      <c r="M35" s="838"/>
      <c r="N35" s="1933"/>
    </row>
    <row r="36" spans="1:14" x14ac:dyDescent="0.2">
      <c r="A36" s="1930"/>
      <c r="B36" s="838"/>
      <c r="C36" s="1992"/>
      <c r="D36" s="838"/>
      <c r="E36" s="838"/>
      <c r="F36" s="838"/>
      <c r="G36" s="838"/>
      <c r="H36" s="838"/>
      <c r="I36" s="838"/>
      <c r="J36" s="838"/>
      <c r="K36" s="838"/>
      <c r="L36" s="838"/>
      <c r="M36" s="838"/>
      <c r="N36" s="1933"/>
    </row>
    <row r="37" spans="1:14" x14ac:dyDescent="0.2">
      <c r="A37" s="1930"/>
      <c r="B37" s="846"/>
      <c r="C37" s="2433" t="s">
        <v>2058</v>
      </c>
      <c r="D37" s="2434"/>
      <c r="E37" s="2434"/>
      <c r="F37" s="2434"/>
      <c r="G37" s="2434"/>
      <c r="H37" s="2434"/>
      <c r="I37" s="2434"/>
      <c r="J37" s="2434"/>
      <c r="K37" s="1991"/>
      <c r="L37" s="1993"/>
      <c r="M37" s="838"/>
      <c r="N37" s="1933"/>
    </row>
    <row r="38" spans="1:14" x14ac:dyDescent="0.2">
      <c r="A38" s="1930"/>
      <c r="B38" s="838"/>
      <c r="C38" s="2434"/>
      <c r="D38" s="2434"/>
      <c r="E38" s="2434"/>
      <c r="F38" s="2434"/>
      <c r="G38" s="2434"/>
      <c r="H38" s="2434"/>
      <c r="I38" s="2434"/>
      <c r="J38" s="2434"/>
      <c r="K38" s="1991"/>
      <c r="L38" s="1993"/>
      <c r="M38" s="838"/>
      <c r="N38" s="1933"/>
    </row>
    <row r="39" spans="1:14" x14ac:dyDescent="0.2">
      <c r="A39" s="1930"/>
      <c r="B39" s="838"/>
      <c r="C39" s="1992"/>
      <c r="D39" s="838"/>
      <c r="E39" s="1994"/>
      <c r="F39" s="1995"/>
      <c r="G39" s="1995"/>
      <c r="H39" s="1994"/>
      <c r="I39" s="838"/>
      <c r="J39" s="838"/>
      <c r="K39" s="838"/>
      <c r="L39" s="838"/>
      <c r="M39" s="838"/>
      <c r="N39" s="1933"/>
    </row>
    <row r="40" spans="1:14" x14ac:dyDescent="0.2">
      <c r="A40" s="1930"/>
      <c r="B40" s="846"/>
      <c r="C40" s="2435" t="s">
        <v>2059</v>
      </c>
      <c r="D40" s="2436"/>
      <c r="E40" s="2436"/>
      <c r="F40" s="2436"/>
      <c r="G40" s="2436"/>
      <c r="H40" s="2436"/>
      <c r="I40" s="2436"/>
      <c r="J40" s="2436"/>
      <c r="K40" s="1996"/>
      <c r="L40" s="838"/>
      <c r="M40" s="838"/>
      <c r="N40" s="1933"/>
    </row>
    <row r="41" spans="1:14" x14ac:dyDescent="0.2">
      <c r="A41" s="1930"/>
      <c r="B41" s="838"/>
      <c r="C41" s="1997"/>
      <c r="D41" s="1997"/>
      <c r="E41" s="1997"/>
      <c r="F41" s="1997"/>
      <c r="G41" s="1997"/>
      <c r="H41" s="1997"/>
      <c r="I41" s="1997"/>
      <c r="J41" s="1997"/>
      <c r="K41" s="1997"/>
      <c r="L41" s="838"/>
      <c r="M41" s="838"/>
      <c r="N41" s="1933"/>
    </row>
    <row r="42" spans="1:14" ht="13.5" thickBot="1" x14ac:dyDescent="0.25">
      <c r="A42" s="1998"/>
      <c r="B42" s="1999"/>
      <c r="C42" s="1999"/>
      <c r="D42" s="1999"/>
      <c r="E42" s="1999"/>
      <c r="F42" s="1999"/>
      <c r="G42" s="1999"/>
      <c r="H42" s="1999"/>
      <c r="I42" s="1999"/>
      <c r="J42" s="1999"/>
      <c r="K42" s="1999"/>
      <c r="L42" s="1999"/>
      <c r="M42" s="1999"/>
      <c r="N42" s="2000"/>
    </row>
    <row r="43" spans="1:14" ht="27" thickBot="1" x14ac:dyDescent="0.45">
      <c r="A43" s="2437" t="s">
        <v>2060</v>
      </c>
      <c r="B43" s="2438"/>
      <c r="C43" s="2438"/>
      <c r="D43" s="2438"/>
      <c r="E43" s="2438"/>
      <c r="F43" s="2438"/>
      <c r="G43" s="2438"/>
      <c r="H43" s="2438"/>
      <c r="I43" s="2438"/>
      <c r="J43" s="2438"/>
      <c r="K43" s="2438"/>
      <c r="L43" s="2438"/>
      <c r="M43" s="2438"/>
      <c r="N43" s="2439"/>
    </row>
    <row r="44" spans="1:14" x14ac:dyDescent="0.2">
      <c r="A44" s="2001"/>
      <c r="B44" s="2002"/>
      <c r="C44" s="2002"/>
      <c r="D44" s="2002"/>
      <c r="E44" s="2002"/>
      <c r="F44" s="2002"/>
      <c r="G44" s="2002"/>
      <c r="H44" s="2002"/>
      <c r="I44" s="2002"/>
      <c r="J44" s="2002"/>
      <c r="K44" s="2002"/>
      <c r="L44" s="2002"/>
      <c r="M44" s="2002"/>
      <c r="N44" s="2003"/>
    </row>
    <row r="45" spans="1:14" x14ac:dyDescent="0.2">
      <c r="A45" s="2001" t="s">
        <v>2061</v>
      </c>
      <c r="B45" s="2002"/>
      <c r="C45" s="2002"/>
      <c r="D45" s="2002"/>
      <c r="E45" s="2002"/>
      <c r="F45" s="2002"/>
      <c r="G45" s="2002"/>
      <c r="H45" s="2002"/>
      <c r="I45" s="2002"/>
      <c r="J45" s="2002"/>
      <c r="K45" s="2002"/>
      <c r="L45" s="2002"/>
      <c r="M45" s="2002"/>
      <c r="N45" s="2003"/>
    </row>
    <row r="46" spans="1:14" x14ac:dyDescent="0.2">
      <c r="A46" s="2440" t="s">
        <v>2062</v>
      </c>
      <c r="B46" s="2441"/>
      <c r="C46" s="2441"/>
      <c r="D46" s="2441"/>
      <c r="E46" s="2441"/>
      <c r="F46" s="2441"/>
      <c r="G46" s="2441"/>
      <c r="H46" s="2441"/>
      <c r="I46" s="2441"/>
      <c r="J46" s="2441"/>
      <c r="K46" s="2441"/>
      <c r="L46" s="2441"/>
      <c r="M46" s="2441"/>
      <c r="N46" s="2442"/>
    </row>
    <row r="47" spans="1:14" x14ac:dyDescent="0.2">
      <c r="A47" s="2440"/>
      <c r="B47" s="2441"/>
      <c r="C47" s="2441"/>
      <c r="D47" s="2441"/>
      <c r="E47" s="2441"/>
      <c r="F47" s="2441"/>
      <c r="G47" s="2441"/>
      <c r="H47" s="2441"/>
      <c r="I47" s="2441"/>
      <c r="J47" s="2441"/>
      <c r="K47" s="2441"/>
      <c r="L47" s="2441"/>
      <c r="M47" s="2441"/>
      <c r="N47" s="2442"/>
    </row>
    <row r="48" spans="1:14" x14ac:dyDescent="0.2">
      <c r="A48" s="2004"/>
      <c r="B48" s="2002"/>
      <c r="C48" s="2002"/>
      <c r="D48" s="2005"/>
      <c r="E48" s="2005"/>
      <c r="F48" s="2005"/>
      <c r="G48" s="2005"/>
      <c r="H48" s="2005"/>
      <c r="I48" s="2005"/>
      <c r="J48" s="2005"/>
      <c r="K48" s="2005"/>
      <c r="L48" s="2005"/>
      <c r="M48" s="2005"/>
      <c r="N48" s="2006"/>
    </row>
    <row r="49" spans="1:14" ht="15.75" x14ac:dyDescent="0.25">
      <c r="A49" s="2007" t="s">
        <v>2063</v>
      </c>
      <c r="B49" s="2008"/>
      <c r="C49" s="2008"/>
      <c r="D49" s="2009"/>
      <c r="E49" s="2009"/>
      <c r="F49" s="2009"/>
      <c r="G49" s="2009"/>
      <c r="H49" s="2009"/>
      <c r="I49" s="2009"/>
      <c r="J49" s="2009"/>
      <c r="K49" s="2009"/>
      <c r="L49" s="2009"/>
      <c r="M49" s="2009"/>
      <c r="N49" s="2010"/>
    </row>
    <row r="50" spans="1:14" ht="15" x14ac:dyDescent="0.25">
      <c r="A50" s="2007" t="s">
        <v>2064</v>
      </c>
      <c r="B50" s="2002"/>
      <c r="C50" s="2002"/>
      <c r="D50" s="2002"/>
      <c r="E50" s="2002"/>
      <c r="F50" s="2002"/>
      <c r="G50" s="2002"/>
      <c r="H50" s="2002"/>
      <c r="I50" s="2002"/>
      <c r="J50" s="2002"/>
      <c r="K50" s="2002"/>
      <c r="L50" s="2002"/>
      <c r="M50" s="2002"/>
      <c r="N50" s="2003"/>
    </row>
    <row r="51" spans="1:14" x14ac:dyDescent="0.2">
      <c r="A51" s="2001"/>
      <c r="B51" s="2002"/>
      <c r="C51" s="2002"/>
      <c r="D51" s="2002"/>
      <c r="E51" s="2002"/>
      <c r="F51" s="2002"/>
      <c r="G51" s="2002"/>
      <c r="H51" s="2002"/>
      <c r="I51" s="2002"/>
      <c r="J51" s="2002"/>
      <c r="K51" s="2002"/>
      <c r="L51" s="2002"/>
      <c r="M51" s="2002"/>
      <c r="N51" s="2003"/>
    </row>
    <row r="52" spans="1:14" x14ac:dyDescent="0.2">
      <c r="A52" s="2001"/>
      <c r="B52" s="2002"/>
      <c r="C52" s="2002"/>
      <c r="D52" s="2002"/>
      <c r="E52" s="2002"/>
      <c r="F52" s="2002"/>
      <c r="G52" s="2002"/>
      <c r="H52" s="2002"/>
      <c r="I52" s="2002"/>
      <c r="J52" s="2002"/>
      <c r="K52" s="1936" t="s">
        <v>1021</v>
      </c>
      <c r="L52" s="2443" t="str">
        <f>J6</f>
        <v>Pontiac Township High School District #90</v>
      </c>
      <c r="M52" s="2443"/>
      <c r="N52" s="2444"/>
    </row>
    <row r="53" spans="1:14" x14ac:dyDescent="0.2">
      <c r="A53" s="2001"/>
      <c r="B53" s="2002"/>
      <c r="C53" s="2002"/>
      <c r="D53" s="2002"/>
      <c r="E53" s="2002"/>
      <c r="F53" s="2002"/>
      <c r="G53" s="2002"/>
      <c r="H53" s="2002"/>
      <c r="I53" s="2002"/>
      <c r="J53" s="2002"/>
      <c r="K53" s="1936" t="s">
        <v>369</v>
      </c>
      <c r="L53" s="2445" t="str">
        <f>J7</f>
        <v>17-053-0900-17</v>
      </c>
      <c r="M53" s="2445"/>
      <c r="N53" s="2446"/>
    </row>
    <row r="54" spans="1:14" ht="13.5" thickBot="1" x14ac:dyDescent="0.25">
      <c r="A54" s="2001"/>
      <c r="B54" s="2002"/>
      <c r="C54" s="2002"/>
      <c r="D54" s="2002"/>
      <c r="E54" s="2002"/>
      <c r="F54" s="2002"/>
      <c r="G54" s="2002"/>
      <c r="H54" s="2002"/>
      <c r="I54" s="2002"/>
      <c r="J54" s="2002"/>
      <c r="K54" s="2002"/>
      <c r="L54" s="2002"/>
      <c r="M54" s="2002"/>
      <c r="N54" s="2003"/>
    </row>
    <row r="55" spans="1:14" x14ac:dyDescent="0.2">
      <c r="A55" s="2447"/>
      <c r="B55" s="2448"/>
      <c r="C55" s="2448"/>
      <c r="D55" s="2011"/>
      <c r="E55" s="2011"/>
      <c r="F55" s="2011"/>
      <c r="G55" s="2449" t="s">
        <v>2065</v>
      </c>
      <c r="H55" s="2449"/>
      <c r="I55" s="2449"/>
      <c r="J55" s="2449"/>
      <c r="K55" s="2449"/>
      <c r="L55" s="2449"/>
      <c r="M55" s="2449"/>
      <c r="N55" s="2450"/>
    </row>
    <row r="56" spans="1:14" ht="63.75" x14ac:dyDescent="0.2">
      <c r="A56" s="2451" t="s">
        <v>2066</v>
      </c>
      <c r="B56" s="2452"/>
      <c r="C56" s="2453"/>
      <c r="D56" s="2012" t="s">
        <v>2067</v>
      </c>
      <c r="E56" s="2012" t="s">
        <v>2068</v>
      </c>
      <c r="F56" s="2013"/>
      <c r="G56" s="2012" t="s">
        <v>2069</v>
      </c>
      <c r="H56" s="2012" t="s">
        <v>2070</v>
      </c>
      <c r="I56" s="2012" t="s">
        <v>2071</v>
      </c>
      <c r="J56" s="2012" t="s">
        <v>2072</v>
      </c>
      <c r="K56" s="2012" t="s">
        <v>2073</v>
      </c>
      <c r="L56" s="2012" t="s">
        <v>2074</v>
      </c>
      <c r="M56" s="2012" t="s">
        <v>2075</v>
      </c>
      <c r="N56" s="2014" t="s">
        <v>2076</v>
      </c>
    </row>
    <row r="57" spans="1:14" ht="24" customHeight="1" x14ac:dyDescent="0.2">
      <c r="A57" s="2454" t="s">
        <v>296</v>
      </c>
      <c r="B57" s="2455"/>
      <c r="C57" s="2455"/>
      <c r="D57" s="2015">
        <v>2361</v>
      </c>
      <c r="E57" s="2016">
        <f>+'Expenditures 15-22'!K319</f>
        <v>0</v>
      </c>
      <c r="F57" s="2017"/>
      <c r="G57" s="2018"/>
      <c r="H57" s="2019"/>
      <c r="I57" s="2019"/>
      <c r="J57" s="2019"/>
      <c r="K57" s="2019"/>
      <c r="L57" s="2019"/>
      <c r="M57" s="2019"/>
      <c r="N57" s="2020">
        <f>IF((SUM(G57:M57))=E57,SUM(G57:M57),"Column N does not agree with Column E")</f>
        <v>0</v>
      </c>
    </row>
    <row r="58" spans="1:14" ht="24.75" customHeight="1" x14ac:dyDescent="0.2">
      <c r="A58" s="2456" t="s">
        <v>2077</v>
      </c>
      <c r="B58" s="2457"/>
      <c r="C58" s="2457"/>
      <c r="D58" s="2021">
        <v>2362</v>
      </c>
      <c r="E58" s="2016">
        <f>+'Expenditures 15-22'!K320</f>
        <v>0</v>
      </c>
      <c r="F58" s="2017"/>
      <c r="G58" s="2022"/>
      <c r="H58" s="2023"/>
      <c r="I58" s="2023"/>
      <c r="J58" s="2023"/>
      <c r="K58" s="2023"/>
      <c r="L58" s="2023"/>
      <c r="M58" s="2023"/>
      <c r="N58" s="2020">
        <f>IF((SUM(G58:M58))=E58,SUM(G58:M58),"Column N does not agree with Column E")</f>
        <v>0</v>
      </c>
    </row>
    <row r="59" spans="1:14" ht="24.75" customHeight="1" x14ac:dyDescent="0.2">
      <c r="A59" s="2458" t="s">
        <v>297</v>
      </c>
      <c r="B59" s="2459"/>
      <c r="C59" s="2459"/>
      <c r="D59" s="2021">
        <v>2363</v>
      </c>
      <c r="E59" s="2016">
        <f>+'Expenditures 15-22'!K321</f>
        <v>0</v>
      </c>
      <c r="F59" s="2017"/>
      <c r="G59" s="2022"/>
      <c r="H59" s="2023"/>
      <c r="I59" s="2023"/>
      <c r="J59" s="2023"/>
      <c r="K59" s="2023"/>
      <c r="L59" s="2023"/>
      <c r="M59" s="2023"/>
      <c r="N59" s="2020">
        <f t="shared" ref="N59:N67" si="3">IF((SUM(G59:M59))=E59,SUM(G59:M59),"Column N does not agree with Column E")</f>
        <v>0</v>
      </c>
    </row>
    <row r="60" spans="1:14" ht="24.75" customHeight="1" x14ac:dyDescent="0.2">
      <c r="A60" s="2458" t="s">
        <v>236</v>
      </c>
      <c r="B60" s="2459"/>
      <c r="C60" s="2459"/>
      <c r="D60" s="2021">
        <v>2364</v>
      </c>
      <c r="E60" s="2016">
        <f>+'Expenditures 15-22'!K322</f>
        <v>75127</v>
      </c>
      <c r="F60" s="2017"/>
      <c r="G60" s="2022"/>
      <c r="H60" s="2023"/>
      <c r="I60" s="2023"/>
      <c r="J60" s="2023"/>
      <c r="K60" s="2023"/>
      <c r="L60" s="2023"/>
      <c r="M60" s="2023">
        <v>75127</v>
      </c>
      <c r="N60" s="2020">
        <f t="shared" si="3"/>
        <v>75127</v>
      </c>
    </row>
    <row r="61" spans="1:14" ht="24.75" customHeight="1" x14ac:dyDescent="0.2">
      <c r="A61" s="2458" t="s">
        <v>697</v>
      </c>
      <c r="B61" s="2459"/>
      <c r="C61" s="2459"/>
      <c r="D61" s="2021">
        <v>2365</v>
      </c>
      <c r="E61" s="2016">
        <f>+'Expenditures 15-22'!K323</f>
        <v>0</v>
      </c>
      <c r="F61" s="2017"/>
      <c r="G61" s="2022"/>
      <c r="H61" s="2023"/>
      <c r="I61" s="2023"/>
      <c r="J61" s="2023"/>
      <c r="K61" s="2023"/>
      <c r="L61" s="2023"/>
      <c r="M61" s="2023"/>
      <c r="N61" s="2020">
        <f t="shared" si="3"/>
        <v>0</v>
      </c>
    </row>
    <row r="62" spans="1:14" ht="24.75" customHeight="1" x14ac:dyDescent="0.2">
      <c r="A62" s="2458" t="s">
        <v>237</v>
      </c>
      <c r="B62" s="2459"/>
      <c r="C62" s="2459"/>
      <c r="D62" s="2021">
        <v>2366</v>
      </c>
      <c r="E62" s="2016">
        <f>+'Expenditures 15-22'!K324</f>
        <v>0</v>
      </c>
      <c r="F62" s="2017"/>
      <c r="G62" s="2022"/>
      <c r="H62" s="2023"/>
      <c r="I62" s="2023"/>
      <c r="J62" s="2023"/>
      <c r="K62" s="2023"/>
      <c r="L62" s="2023"/>
      <c r="M62" s="2023"/>
      <c r="N62" s="2020">
        <f t="shared" si="3"/>
        <v>0</v>
      </c>
    </row>
    <row r="63" spans="1:14" ht="24.75" customHeight="1" x14ac:dyDescent="0.2">
      <c r="A63" s="2456" t="s">
        <v>1022</v>
      </c>
      <c r="B63" s="2457"/>
      <c r="C63" s="2457"/>
      <c r="D63" s="2021">
        <v>2367</v>
      </c>
      <c r="E63" s="2016">
        <f>+'Expenditures 15-22'!K325</f>
        <v>0</v>
      </c>
      <c r="F63" s="2017"/>
      <c r="G63" s="2022"/>
      <c r="H63" s="2023"/>
      <c r="I63" s="2023"/>
      <c r="J63" s="2023"/>
      <c r="K63" s="2023"/>
      <c r="L63" s="2023"/>
      <c r="M63" s="2023"/>
      <c r="N63" s="2020">
        <f t="shared" si="3"/>
        <v>0</v>
      </c>
    </row>
    <row r="64" spans="1:14" ht="24.75" customHeight="1" x14ac:dyDescent="0.2">
      <c r="A64" s="2458" t="s">
        <v>1023</v>
      </c>
      <c r="B64" s="2459"/>
      <c r="C64" s="2459"/>
      <c r="D64" s="2021">
        <v>2368</v>
      </c>
      <c r="E64" s="2016">
        <f>+'Expenditures 15-22'!K326</f>
        <v>0</v>
      </c>
      <c r="F64" s="2017"/>
      <c r="G64" s="2022"/>
      <c r="H64" s="2023"/>
      <c r="I64" s="2023"/>
      <c r="J64" s="2023"/>
      <c r="K64" s="2023"/>
      <c r="L64" s="2023"/>
      <c r="M64" s="2023"/>
      <c r="N64" s="2020">
        <f t="shared" si="3"/>
        <v>0</v>
      </c>
    </row>
    <row r="65" spans="1:14" ht="24" customHeight="1" x14ac:dyDescent="0.2">
      <c r="A65" s="2458" t="s">
        <v>965</v>
      </c>
      <c r="B65" s="2459"/>
      <c r="C65" s="2459"/>
      <c r="D65" s="2021">
        <v>2369</v>
      </c>
      <c r="E65" s="2016">
        <f>+'Expenditures 15-22'!K327</f>
        <v>0</v>
      </c>
      <c r="F65" s="2017"/>
      <c r="G65" s="2022"/>
      <c r="H65" s="2023"/>
      <c r="I65" s="2023"/>
      <c r="J65" s="2023"/>
      <c r="K65" s="2023"/>
      <c r="L65" s="2023"/>
      <c r="M65" s="2023"/>
      <c r="N65" s="2020">
        <f t="shared" si="3"/>
        <v>0</v>
      </c>
    </row>
    <row r="66" spans="1:14" ht="24.75" customHeight="1" x14ac:dyDescent="0.2">
      <c r="A66" s="2458" t="s">
        <v>469</v>
      </c>
      <c r="B66" s="2459"/>
      <c r="C66" s="2459"/>
      <c r="D66" s="2021">
        <v>2371</v>
      </c>
      <c r="E66" s="2016">
        <f>+'Expenditures 15-22'!K328</f>
        <v>0</v>
      </c>
      <c r="F66" s="2017"/>
      <c r="G66" s="2022"/>
      <c r="H66" s="2023"/>
      <c r="I66" s="2023"/>
      <c r="J66" s="2023"/>
      <c r="K66" s="2023"/>
      <c r="L66" s="2023"/>
      <c r="M66" s="2023"/>
      <c r="N66" s="2020">
        <f t="shared" si="3"/>
        <v>0</v>
      </c>
    </row>
    <row r="67" spans="1:14" ht="24.75" customHeight="1" x14ac:dyDescent="0.2">
      <c r="A67" s="2464" t="s">
        <v>2078</v>
      </c>
      <c r="B67" s="2465"/>
      <c r="C67" s="2465"/>
      <c r="D67" s="2024">
        <v>2372</v>
      </c>
      <c r="E67" s="2016">
        <f>+'Expenditures 15-22'!K329</f>
        <v>0</v>
      </c>
      <c r="F67" s="2017"/>
      <c r="G67" s="2025"/>
      <c r="H67" s="2026"/>
      <c r="I67" s="2026"/>
      <c r="J67" s="2026"/>
      <c r="K67" s="2026"/>
      <c r="L67" s="2026"/>
      <c r="M67" s="2026"/>
      <c r="N67" s="2020">
        <f t="shared" si="3"/>
        <v>0</v>
      </c>
    </row>
    <row r="68" spans="1:14" x14ac:dyDescent="0.2">
      <c r="A68" s="2466" t="s">
        <v>1153</v>
      </c>
      <c r="B68" s="2467"/>
      <c r="C68" s="2467"/>
      <c r="D68" s="2011"/>
      <c r="E68" s="2027">
        <f>SUM(E57:E67)</f>
        <v>75127</v>
      </c>
      <c r="F68" s="2028"/>
      <c r="G68" s="2027">
        <f t="shared" ref="G68:N68" si="4">SUM(G57:G67)</f>
        <v>0</v>
      </c>
      <c r="H68" s="2027">
        <f t="shared" si="4"/>
        <v>0</v>
      </c>
      <c r="I68" s="2027">
        <f t="shared" si="4"/>
        <v>0</v>
      </c>
      <c r="J68" s="2027">
        <f t="shared" si="4"/>
        <v>0</v>
      </c>
      <c r="K68" s="2027">
        <f t="shared" si="4"/>
        <v>0</v>
      </c>
      <c r="L68" s="2027">
        <f t="shared" si="4"/>
        <v>0</v>
      </c>
      <c r="M68" s="2027">
        <f t="shared" si="4"/>
        <v>75127</v>
      </c>
      <c r="N68" s="2029">
        <f t="shared" si="4"/>
        <v>75127</v>
      </c>
    </row>
    <row r="69" spans="1:14" x14ac:dyDescent="0.2">
      <c r="A69" s="2030"/>
      <c r="B69" s="2031"/>
      <c r="C69" s="2031"/>
      <c r="D69" s="2031"/>
      <c r="E69" s="2031"/>
      <c r="F69" s="2031"/>
      <c r="G69" s="2031"/>
      <c r="H69" s="2032" t="s">
        <v>2079</v>
      </c>
      <c r="I69" s="2031"/>
      <c r="J69" s="2031"/>
      <c r="K69" s="2031"/>
      <c r="L69" s="2032" t="s">
        <v>2080</v>
      </c>
      <c r="M69" s="2031"/>
      <c r="N69" s="2033"/>
    </row>
    <row r="70" spans="1:14" ht="46.5" customHeight="1" x14ac:dyDescent="0.25">
      <c r="A70" s="2034" t="s">
        <v>2081</v>
      </c>
      <c r="B70" s="2031"/>
      <c r="C70" s="2031"/>
      <c r="D70" s="2031"/>
      <c r="E70" s="2031"/>
      <c r="F70" s="2031"/>
      <c r="G70" s="2031"/>
      <c r="H70" s="2460" t="s">
        <v>2082</v>
      </c>
      <c r="I70" s="2460"/>
      <c r="J70" s="2460"/>
      <c r="K70" s="2031"/>
      <c r="L70" s="2460" t="s">
        <v>2083</v>
      </c>
      <c r="M70" s="2460"/>
      <c r="N70" s="2468"/>
    </row>
    <row r="71" spans="1:14" ht="42.75" customHeight="1" x14ac:dyDescent="0.2">
      <c r="A71" s="2030"/>
      <c r="B71" s="2031"/>
      <c r="C71" s="2031"/>
      <c r="D71" s="2031"/>
      <c r="E71" s="2031"/>
      <c r="F71" s="2031"/>
      <c r="G71" s="2031"/>
      <c r="H71" s="2460" t="s">
        <v>2084</v>
      </c>
      <c r="I71" s="2460"/>
      <c r="J71" s="2460"/>
      <c r="K71" s="2031"/>
      <c r="L71" s="2461" t="s">
        <v>2085</v>
      </c>
      <c r="M71" s="2461"/>
      <c r="N71" s="2462"/>
    </row>
    <row r="72" spans="1:14" ht="52.5" customHeight="1" thickBot="1" x14ac:dyDescent="0.25">
      <c r="A72" s="2035"/>
      <c r="B72" s="2036"/>
      <c r="C72" s="2036"/>
      <c r="D72" s="2036"/>
      <c r="E72" s="2036"/>
      <c r="F72" s="2036"/>
      <c r="G72" s="2036"/>
      <c r="H72" s="2463" t="s">
        <v>2086</v>
      </c>
      <c r="I72" s="2463"/>
      <c r="J72" s="2463"/>
      <c r="K72" s="2036"/>
      <c r="L72" s="2036"/>
      <c r="M72" s="2036"/>
      <c r="N72" s="2037"/>
    </row>
  </sheetData>
  <mergeCells count="39">
    <mergeCell ref="H71:J71"/>
    <mergeCell ref="L71:N71"/>
    <mergeCell ref="H72:J72"/>
    <mergeCell ref="A65:C65"/>
    <mergeCell ref="A66:C66"/>
    <mergeCell ref="A67:C67"/>
    <mergeCell ref="A68:C68"/>
    <mergeCell ref="H70:J70"/>
    <mergeCell ref="L70:N70"/>
    <mergeCell ref="A59:C59"/>
    <mergeCell ref="A60:C60"/>
    <mergeCell ref="A61:C61"/>
    <mergeCell ref="A62:C62"/>
    <mergeCell ref="A63:C63"/>
    <mergeCell ref="A64:C64"/>
    <mergeCell ref="L53:N53"/>
    <mergeCell ref="A55:C55"/>
    <mergeCell ref="G55:N55"/>
    <mergeCell ref="A56:C56"/>
    <mergeCell ref="A57:C57"/>
    <mergeCell ref="A58:C58"/>
    <mergeCell ref="C34:J35"/>
    <mergeCell ref="C37:J38"/>
    <mergeCell ref="C40:J40"/>
    <mergeCell ref="A43:N43"/>
    <mergeCell ref="A46:N47"/>
    <mergeCell ref="L52:N52"/>
    <mergeCell ref="C27:D27"/>
    <mergeCell ref="F27:H27"/>
    <mergeCell ref="F28:H28"/>
    <mergeCell ref="C29:D29"/>
    <mergeCell ref="F29:H29"/>
    <mergeCell ref="F30:H30"/>
    <mergeCell ref="J6:L6"/>
    <mergeCell ref="A7:E7"/>
    <mergeCell ref="J7:L7"/>
    <mergeCell ref="A11:C11"/>
    <mergeCell ref="B18:D18"/>
    <mergeCell ref="B20:D20"/>
  </mergeCells>
  <dataValidations count="10">
    <dataValidation allowBlank="1" showInputMessage="1" showErrorMessage="1" prompt="Link cell K319 from &quot;Expenditures 15-22&quot; tab" sqref="E57:E67"/>
    <dataValidation allowBlank="1" showInputMessage="1" showErrorMessage="1" prompt="Link cell K122 from &quot;Expenditures 15-22&quot; tab" sqref="F15"/>
    <dataValidation allowBlank="1" showInputMessage="1" showErrorMessage="1" prompt="Link cell K67 from &quot;Expenditures 15-22&quot; tab" sqref="E17"/>
    <dataValidation allowBlank="1" showInputMessage="1" showErrorMessage="1" prompt="Link cell K64 from &quot;Expenditures 15-22&quot; tab" sqref="E16"/>
    <dataValidation allowBlank="1" showInputMessage="1" showErrorMessage="1" prompt="Link cell K59 from &quot;Expenditures 15-22&quot; tab" sqref="E15"/>
    <dataValidation allowBlank="1" showInputMessage="1" showErrorMessage="1" prompt="Link cell K56 from &quot;Expenditures 15-22&quot; tab" sqref="E14"/>
    <dataValidation allowBlank="1" showInputMessage="1" showErrorMessage="1" prompt="Link cell K51 from &quot;Expenditures 15-22&quot; tab" sqref="E13"/>
    <dataValidation allowBlank="1" showInputMessage="1" showErrorMessage="1" prompt="Link cell K50 from &quot;Expenditures 15-22&quot; tab " sqref="E12"/>
    <dataValidation allowBlank="1" showInputMessage="1" showErrorMessage="1" prompt="Link cell A13 from &quot;Cover&quot; tab" sqref="J7:L7"/>
    <dataValidation allowBlank="1" showInputMessage="1" showErrorMessage="1" prompt="Link cell A17 from &quot;Cover&quot; tab" sqref="J6:L6"/>
  </dataValidations>
  <pageMargins left="0.7" right="0.47" top="0.56000000000000005" bottom="0.3" header="0.38" footer="0.28000000000000003"/>
  <pageSetup scale="58" orientation="portrait" r:id="rId1"/>
  <headerFooter>
    <oddHeader xml:space="preserve">&amp;LPage 32
&amp;RPage 32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I40" sqref="I4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2087</v>
      </c>
    </row>
    <row r="6" spans="1:2" x14ac:dyDescent="0.2">
      <c r="A6" s="847">
        <v>2</v>
      </c>
      <c r="B6" s="307" t="s">
        <v>2088</v>
      </c>
    </row>
    <row r="7" spans="1:2" x14ac:dyDescent="0.2">
      <c r="A7" s="847">
        <v>3</v>
      </c>
      <c r="B7" s="307" t="s">
        <v>2089</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Pontiac Township High School District #90</v>
      </c>
    </row>
    <row r="65" spans="2:2" x14ac:dyDescent="0.2">
      <c r="B65" s="849" t="str">
        <f>COVER!A13</f>
        <v>17-053-0900-17</v>
      </c>
    </row>
  </sheetData>
  <phoneticPr fontId="7" type="noConversion"/>
  <pageMargins left="0.33"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sheet="1" objects="1" scenarios="1"/>
  <phoneticPr fontId="7" type="noConversion"/>
  <pageMargins left="0.39"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69" t="s">
        <v>1668</v>
      </c>
      <c r="B18" s="2469"/>
    </row>
  </sheetData>
  <sheetProtection selectLockedCells="1"/>
  <mergeCells count="1">
    <mergeCell ref="A18:B18"/>
  </mergeCells>
  <phoneticPr fontId="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6081" r:id="rId4">
          <objectPr defaultSize="0" r:id="rId5">
            <anchor moveWithCells="1">
              <from>
                <xdr:col>0</xdr:col>
                <xdr:colOff>0</xdr:colOff>
                <xdr:row>0</xdr:row>
                <xdr:rowOff>0</xdr:rowOff>
              </from>
              <to>
                <xdr:col>1</xdr:col>
                <xdr:colOff>762000</xdr:colOff>
                <xdr:row>3</xdr:row>
                <xdr:rowOff>28575</xdr:rowOff>
              </to>
            </anchor>
          </objectPr>
        </oleObject>
      </mc:Choice>
      <mc:Fallback>
        <oleObject progId="Packager Shell Object" dvAspect="DVASPECT_ICON" shapeId="4608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11" sqref="D11"/>
    </sheetView>
  </sheetViews>
  <sheetFormatPr defaultRowHeight="12.75" x14ac:dyDescent="0.2"/>
  <cols>
    <col min="1" max="1" width="33.85546875" style="294" customWidth="1"/>
    <col min="2" max="6" width="16.7109375" style="294" customWidth="1"/>
    <col min="7" max="16384" width="9.140625" style="294"/>
  </cols>
  <sheetData>
    <row r="1" spans="1:8" ht="48.75" customHeight="1" x14ac:dyDescent="0.2">
      <c r="A1" s="2470" t="s">
        <v>1672</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1975</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1673</v>
      </c>
      <c r="B6" s="2487"/>
      <c r="C6" s="2487"/>
      <c r="D6" s="2487"/>
      <c r="E6" s="2487"/>
      <c r="F6" s="2488"/>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7-8'!C8</f>
        <v>8004744</v>
      </c>
      <c r="C8" s="1812">
        <f>'Acct Summary 7-8'!D8</f>
        <v>1631525</v>
      </c>
      <c r="D8" s="1812">
        <f>'Acct Summary 7-8'!F8</f>
        <v>911222</v>
      </c>
      <c r="E8" s="1812">
        <f>'Acct Summary 7-8'!I8</f>
        <v>0</v>
      </c>
      <c r="F8" s="1812">
        <f>SUM(B8:E8)</f>
        <v>10547491</v>
      </c>
    </row>
    <row r="9" spans="1:8" s="858" customFormat="1" ht="14.25" customHeight="1" thickBot="1" x14ac:dyDescent="0.25">
      <c r="A9" s="857" t="s">
        <v>1355</v>
      </c>
      <c r="B9" s="1813">
        <f>'Acct Summary 7-8'!C17</f>
        <v>7490839</v>
      </c>
      <c r="C9" s="1813">
        <f>'Acct Summary 7-8'!D17</f>
        <v>762039</v>
      </c>
      <c r="D9" s="1813">
        <f>'Acct Summary 7-8'!F17</f>
        <v>565466</v>
      </c>
      <c r="E9" s="1812"/>
      <c r="F9" s="1812">
        <f>SUM(B9:E9)</f>
        <v>8818344</v>
      </c>
    </row>
    <row r="10" spans="1:8" s="858" customFormat="1" ht="14.25" thickTop="1" thickBot="1" x14ac:dyDescent="0.25">
      <c r="A10" s="859" t="s">
        <v>1356</v>
      </c>
      <c r="B10" s="1814">
        <f>(B8-B9)</f>
        <v>513905</v>
      </c>
      <c r="C10" s="1814">
        <f>(C8-C9)</f>
        <v>869486</v>
      </c>
      <c r="D10" s="1814">
        <f>(D8-D9)</f>
        <v>345756</v>
      </c>
      <c r="E10" s="1813">
        <f>(E8-E9)</f>
        <v>0</v>
      </c>
      <c r="F10" s="1815">
        <f>SUM(F8-F9)</f>
        <v>1729147</v>
      </c>
    </row>
    <row r="11" spans="1:8" s="858" customFormat="1" ht="14.25" thickTop="1" thickBot="1" x14ac:dyDescent="0.25">
      <c r="A11" s="860" t="s">
        <v>1906</v>
      </c>
      <c r="B11" s="1816">
        <f>'Acct Summary 7-8'!C81</f>
        <v>2057366</v>
      </c>
      <c r="C11" s="1816">
        <f>'Acct Summary 7-8'!D81</f>
        <v>531980</v>
      </c>
      <c r="D11" s="1816">
        <f>'Acct Summary 7-8'!F81</f>
        <v>1332543</v>
      </c>
      <c r="E11" s="1816">
        <f>'Acct Summary 7-8'!I81</f>
        <v>92464</v>
      </c>
      <c r="F11" s="1817">
        <f>SUM(B11:E11)</f>
        <v>4014353</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1669</v>
      </c>
      <c r="B16" s="2473"/>
      <c r="C16" s="2473"/>
      <c r="D16" s="2473"/>
      <c r="E16" s="2473"/>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4"/>
  <sheetViews>
    <sheetView showGridLines="0" defaultGridColor="0" colorId="8" zoomScale="110" zoomScaleNormal="110" workbookViewId="0">
      <selection activeCell="D84" sqref="D84"/>
    </sheetView>
  </sheetViews>
  <sheetFormatPr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660</v>
      </c>
      <c r="B3" s="2496"/>
      <c r="C3" s="2496"/>
      <c r="D3" s="2497"/>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6" t="s">
        <v>1490</v>
      </c>
      <c r="D7" s="2507"/>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8" t="s">
        <v>1001</v>
      </c>
      <c r="B15" s="2499"/>
      <c r="C15" s="2499"/>
      <c r="D15" s="2500"/>
    </row>
    <row r="16" spans="1:4" s="542" customFormat="1" ht="24" customHeight="1" x14ac:dyDescent="0.2">
      <c r="A16" s="2501" t="s">
        <v>658</v>
      </c>
      <c r="B16" s="2502"/>
      <c r="C16" s="2502"/>
      <c r="D16" s="2503"/>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9" t="s">
        <v>311</v>
      </c>
      <c r="D21" s="2510"/>
    </row>
    <row r="22" spans="1:10" ht="12.75" x14ac:dyDescent="0.2">
      <c r="A22" s="918"/>
      <c r="B22" s="919">
        <v>2</v>
      </c>
      <c r="C22" s="2508" t="s">
        <v>1510</v>
      </c>
      <c r="D22" s="231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4" t="s">
        <v>779</v>
      </c>
      <c r="D56" s="2505"/>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04" t="s">
        <v>1677</v>
      </c>
      <c r="D70" s="2505"/>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ht="22.5" x14ac:dyDescent="0.2">
      <c r="A82" s="877"/>
      <c r="B82" s="899">
        <v>15</v>
      </c>
      <c r="C82" s="909" t="s">
        <v>1887</v>
      </c>
      <c r="D82" s="1899" t="str">
        <f>IF('Contracts Paid in CY 29'!$D$37&gt;0,"OK","PLEASE ENTER CONTRACTS PAID IN CURRENT YEAR.  IF NONE, STATE NO CONTRACTS ON PAGE 29.")</f>
        <v>PLEASE ENTER CONTRACTS PAID IN CURRENT YEAR.  IF NONE, STATE NO CONTRACTS ON PAGE 29.</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7"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898" t="s">
        <v>1981</v>
      </c>
    </row>
    <row r="2" spans="1:7" ht="15.75" x14ac:dyDescent="0.25">
      <c r="A2" t="s">
        <v>260</v>
      </c>
      <c r="B2" s="135" t="str">
        <f>COVER!A13</f>
        <v>17-053-0900-17</v>
      </c>
      <c r="E2" s="1542">
        <v>2020</v>
      </c>
      <c r="F2" s="1542">
        <v>1</v>
      </c>
      <c r="G2" s="1897">
        <v>101000300</v>
      </c>
    </row>
    <row r="3" spans="1:7" ht="15" x14ac:dyDescent="0.25">
      <c r="A3" t="s">
        <v>950</v>
      </c>
      <c r="B3" s="135" t="str">
        <f>COVER!A15</f>
        <v>Livingston</v>
      </c>
      <c r="E3" s="1829" t="s">
        <v>1974</v>
      </c>
      <c r="F3" s="1829" t="s">
        <v>1973</v>
      </c>
      <c r="G3" s="1897">
        <v>101000400</v>
      </c>
    </row>
    <row r="4" spans="1:7" ht="15" x14ac:dyDescent="0.25">
      <c r="A4" t="s">
        <v>1000</v>
      </c>
      <c r="B4" s="135" t="str">
        <f>COVER!A17</f>
        <v>Pontiac Township High School District #90</v>
      </c>
      <c r="E4" s="1827">
        <v>44119</v>
      </c>
      <c r="F4" s="1828">
        <v>44151</v>
      </c>
      <c r="G4" s="1897">
        <v>101000600</v>
      </c>
    </row>
    <row r="5" spans="1:7" ht="15" x14ac:dyDescent="0.25">
      <c r="A5" t="s">
        <v>699</v>
      </c>
      <c r="B5" s="135" t="str">
        <f>COVER!A38</f>
        <v>Jon Kilgore</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f>COVER!T38</f>
        <v>0</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1529</v>
      </c>
      <c r="B12" s="135" t="str">
        <f>IF(COVER!J29="x","Yes",IF(COVER!L29="X","No",0))</f>
        <v>No</v>
      </c>
      <c r="G12" s="1897">
        <v>202100600</v>
      </c>
    </row>
    <row r="13" spans="1:7" ht="15" x14ac:dyDescent="0.25">
      <c r="A13" s="1" t="s">
        <v>1530</v>
      </c>
      <c r="B13" s="135" t="str">
        <f>IF(COVER!J30="x","Yes",IF(COVER!L30="x","No",0))</f>
        <v>No</v>
      </c>
      <c r="G13" s="1897">
        <v>202100800</v>
      </c>
    </row>
    <row r="14" spans="1:7" ht="15" x14ac:dyDescent="0.25">
      <c r="A14" t="s">
        <v>473</v>
      </c>
      <c r="B14" s="135" t="str">
        <f>IF(COVER!J31="x","Yes",IF(COVER!L31="x","No",0))</f>
        <v>No</v>
      </c>
      <c r="G14" s="1897">
        <v>402100300</v>
      </c>
    </row>
    <row r="15" spans="1:7" ht="15" x14ac:dyDescent="0.25">
      <c r="A15" t="s">
        <v>573</v>
      </c>
      <c r="B15" s="135" t="str">
        <f>COVER!T23</f>
        <v>066-004933</v>
      </c>
      <c r="G15" s="1897">
        <v>402100400</v>
      </c>
    </row>
    <row r="16" spans="1:7" ht="15" x14ac:dyDescent="0.25">
      <c r="A16" t="s">
        <v>419</v>
      </c>
      <c r="B16" s="135" t="str">
        <f>COVER!T13</f>
        <v>PHILLIPS &amp; ASSOCIATES CPAS PC</v>
      </c>
      <c r="G16" s="1897">
        <v>402100600</v>
      </c>
    </row>
    <row r="17" spans="1:7" ht="15" x14ac:dyDescent="0.25">
      <c r="A17" t="s">
        <v>878</v>
      </c>
      <c r="B17" s="135" t="str">
        <f>COVER!T15</f>
        <v>RICHARD W PHILLIPS</v>
      </c>
      <c r="G17" s="1897">
        <v>402100800</v>
      </c>
    </row>
    <row r="18" spans="1:7" ht="15" x14ac:dyDescent="0.25">
      <c r="A18" t="s">
        <v>1142</v>
      </c>
      <c r="B18" s="135" t="str">
        <f>COVER!T17</f>
        <v>1600 HUNT DR, STE B</v>
      </c>
      <c r="G18" s="1897">
        <v>102200300</v>
      </c>
    </row>
    <row r="19" spans="1:7" ht="15" x14ac:dyDescent="0.25">
      <c r="A19" t="s">
        <v>880</v>
      </c>
      <c r="B19" s="135" t="str">
        <f>COVER!T25</f>
        <v>RWP6505@AOL.COM</v>
      </c>
      <c r="G19" s="1897">
        <v>102200400</v>
      </c>
    </row>
    <row r="20" spans="1:7" ht="15" x14ac:dyDescent="0.25">
      <c r="A20" t="s">
        <v>881</v>
      </c>
      <c r="B20" s="135" t="str">
        <f>COVER!T19</f>
        <v>NORMAL</v>
      </c>
      <c r="G20" s="1897">
        <v>102200600</v>
      </c>
    </row>
    <row r="21" spans="1:7" ht="15" x14ac:dyDescent="0.25">
      <c r="A21" t="s">
        <v>476</v>
      </c>
      <c r="B21" s="135" t="str">
        <f>COVER!X19</f>
        <v>IL</v>
      </c>
      <c r="G21" s="1897">
        <v>102200800</v>
      </c>
    </row>
    <row r="22" spans="1:7" ht="15" x14ac:dyDescent="0.25">
      <c r="A22" t="s">
        <v>882</v>
      </c>
      <c r="B22" s="135">
        <f>COVER!Z19</f>
        <v>61761</v>
      </c>
      <c r="G22" s="1897">
        <v>102300300</v>
      </c>
    </row>
    <row r="23" spans="1:7" ht="15" x14ac:dyDescent="0.25">
      <c r="A23" t="s">
        <v>1144</v>
      </c>
      <c r="B23" s="135">
        <f>COVER!T21</f>
        <v>3094522417</v>
      </c>
      <c r="G23" s="1897">
        <v>102300400</v>
      </c>
    </row>
    <row r="24" spans="1:7" ht="15" x14ac:dyDescent="0.25">
      <c r="A24" t="s">
        <v>1143</v>
      </c>
      <c r="B24" s="135">
        <f>COVER!Y21</f>
        <v>0</v>
      </c>
      <c r="G24" s="1897">
        <v>102300600</v>
      </c>
    </row>
    <row r="25" spans="1:7" ht="15" x14ac:dyDescent="0.25">
      <c r="A25" t="s">
        <v>756</v>
      </c>
      <c r="B25" s="135">
        <f>COVER!B34</f>
        <v>0</v>
      </c>
      <c r="G25" s="1897">
        <v>102300800</v>
      </c>
    </row>
    <row r="26" spans="1:7" ht="15" x14ac:dyDescent="0.25">
      <c r="A26" t="s">
        <v>1145</v>
      </c>
      <c r="B26" s="135">
        <f>COVER!L34</f>
        <v>0</v>
      </c>
      <c r="G26" s="1897">
        <v>802300300</v>
      </c>
    </row>
    <row r="27" spans="1:7" ht="15" x14ac:dyDescent="0.25">
      <c r="A27" t="s">
        <v>266</v>
      </c>
      <c r="B27" s="135">
        <f>COVER!U34</f>
        <v>0</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0</v>
      </c>
      <c r="G47" s="1897">
        <v>102540400</v>
      </c>
    </row>
    <row r="48" spans="1:7" ht="15" x14ac:dyDescent="0.25">
      <c r="A48" t="s">
        <v>480</v>
      </c>
      <c r="B48" s="135" t="str">
        <f>IF('Aud Quest 2'!B51="x","Yes",IF('Aud Quest 2'!B51&lt;&gt;"x","0"))</f>
        <v>0</v>
      </c>
      <c r="G48" s="1897">
        <v>102540600</v>
      </c>
    </row>
    <row r="49" spans="1:7" ht="15" x14ac:dyDescent="0.25">
      <c r="A49" s="1" t="s">
        <v>1467</v>
      </c>
      <c r="B49" s="135" t="str">
        <f>IF('Aud Quest 2'!B53="x","Yes",IF('Aud Quest 2'!B53&lt;&gt;"x","0"))</f>
        <v>0</v>
      </c>
      <c r="G49" s="1897">
        <v>102540800</v>
      </c>
    </row>
    <row r="50" spans="1:7" ht="15" x14ac:dyDescent="0.25">
      <c r="A50" s="1" t="s">
        <v>1466</v>
      </c>
      <c r="B50" s="146">
        <f>'Aud Quest 2'!H53</f>
        <v>0</v>
      </c>
      <c r="G50" s="1897">
        <v>202540300</v>
      </c>
    </row>
    <row r="51" spans="1:7" ht="15" x14ac:dyDescent="0.25">
      <c r="A51" s="1" t="s">
        <v>1468</v>
      </c>
      <c r="B51" s="135" t="str">
        <f>IF('Aud Quest 2'!B54="x","Yes",IF('Aud Quest 2'!B54&lt;&gt;"x","0"))</f>
        <v>0</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4052624</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72459</v>
      </c>
      <c r="D76" s="2" t="str">
        <f t="shared" si="0"/>
        <v>Error?</v>
      </c>
      <c r="G76" s="1897">
        <v>102570600</v>
      </c>
    </row>
    <row r="77" spans="1:7" ht="15" x14ac:dyDescent="0.25">
      <c r="A77" s="5">
        <v>16</v>
      </c>
      <c r="B77" s="1831">
        <f>'Assets-Liab 5-6'!C13</f>
        <v>4127614</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5557</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2070248</v>
      </c>
      <c r="C91" s="2" t="s">
        <v>569</v>
      </c>
      <c r="D91" s="2" t="str">
        <f t="shared" si="0"/>
        <v>Error?</v>
      </c>
      <c r="G91" s="1897">
        <v>102640400</v>
      </c>
    </row>
    <row r="92" spans="1:7" ht="15" x14ac:dyDescent="0.25">
      <c r="A92" s="5">
        <v>31</v>
      </c>
      <c r="B92" s="1831">
        <f>'Assets-Liab 5-6'!C39</f>
        <v>2057366</v>
      </c>
      <c r="D92" s="2" t="str">
        <f t="shared" si="0"/>
        <v>Error?</v>
      </c>
      <c r="G92" s="1897">
        <v>102640600</v>
      </c>
    </row>
    <row r="93" spans="1:7" ht="15" x14ac:dyDescent="0.25">
      <c r="A93" s="5">
        <v>32</v>
      </c>
      <c r="B93" s="1831">
        <f>'Assets-Liab 5-6'!C41</f>
        <v>4127614</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531708</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-272</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-272</v>
      </c>
      <c r="C122" s="2" t="s">
        <v>569</v>
      </c>
      <c r="D122" s="2" t="str">
        <f t="shared" si="0"/>
        <v>Error?</v>
      </c>
      <c r="G122" s="1897">
        <v>203000300</v>
      </c>
    </row>
    <row r="123" spans="1:7" ht="15" x14ac:dyDescent="0.25">
      <c r="A123" s="5">
        <v>62</v>
      </c>
      <c r="B123" s="1831">
        <f>'Assets-Liab 5-6'!D39</f>
        <v>531980</v>
      </c>
      <c r="D123" s="2" t="str">
        <f t="shared" si="0"/>
        <v>Error?</v>
      </c>
      <c r="G123" s="1897">
        <v>203000400</v>
      </c>
    </row>
    <row r="124" spans="1:7" ht="15" x14ac:dyDescent="0.25">
      <c r="A124" s="5">
        <v>63</v>
      </c>
      <c r="B124" s="1831">
        <f>'Assets-Liab 5-6'!D41</f>
        <v>531708</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5036</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5036</v>
      </c>
      <c r="D140" s="2" t="str">
        <f t="shared" si="1"/>
        <v>Error?</v>
      </c>
    </row>
    <row r="141" spans="1:7" x14ac:dyDescent="0.2">
      <c r="A141" s="5">
        <v>80</v>
      </c>
      <c r="B141" s="1831">
        <f>'Assets-Liab 5-6'!E41</f>
        <v>5036</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1332550</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7</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7</v>
      </c>
      <c r="C169" s="2" t="s">
        <v>569</v>
      </c>
      <c r="D169" s="2" t="str">
        <f t="shared" si="1"/>
        <v>Error?</v>
      </c>
    </row>
    <row r="170" spans="1:4" x14ac:dyDescent="0.2">
      <c r="A170" s="5">
        <v>109</v>
      </c>
      <c r="B170" s="1831">
        <f>'Assets-Liab 5-6'!F39</f>
        <v>1332543</v>
      </c>
      <c r="D170" s="2" t="str">
        <f t="shared" si="1"/>
        <v>Error?</v>
      </c>
    </row>
    <row r="171" spans="1:4" x14ac:dyDescent="0.2">
      <c r="A171" s="5">
        <v>110</v>
      </c>
      <c r="B171" s="1831">
        <f>'Assets-Liab 5-6'!F41</f>
        <v>1332550</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33230</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-121</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30651</v>
      </c>
      <c r="C188" s="2" t="s">
        <v>569</v>
      </c>
      <c r="D188" s="2" t="str">
        <f t="shared" si="1"/>
        <v>Error?</v>
      </c>
    </row>
    <row r="189" spans="1:4" x14ac:dyDescent="0.2">
      <c r="A189" s="5">
        <v>128</v>
      </c>
      <c r="B189" s="1831">
        <f>'Assets-Liab 5-6'!G39</f>
        <v>2579</v>
      </c>
      <c r="D189" s="2" t="str">
        <f t="shared" si="1"/>
        <v>Error?</v>
      </c>
    </row>
    <row r="190" spans="1:4" x14ac:dyDescent="0.2">
      <c r="A190" s="5">
        <v>129</v>
      </c>
      <c r="B190" s="1831">
        <f>'Assets-Liab 5-6'!G41</f>
        <v>33230</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638317</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638317</v>
      </c>
      <c r="D212" s="2" t="str">
        <f t="shared" si="2"/>
        <v>Error?</v>
      </c>
    </row>
    <row r="213" spans="1:4" x14ac:dyDescent="0.2">
      <c r="A213" s="12">
        <v>152</v>
      </c>
      <c r="B213" s="1831">
        <f>'Assets-Liab 5-6'!H41</f>
        <v>638317</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70404</v>
      </c>
      <c r="D273" s="2" t="str">
        <f t="shared" si="3"/>
        <v>Error?</v>
      </c>
    </row>
    <row r="274" spans="1:4" x14ac:dyDescent="0.2">
      <c r="A274" s="5">
        <v>213</v>
      </c>
      <c r="B274" s="1831">
        <f>'Assets-Liab 5-6'!M17</f>
        <v>16876994</v>
      </c>
      <c r="D274" s="2" t="str">
        <f t="shared" si="3"/>
        <v>Error?</v>
      </c>
    </row>
    <row r="275" spans="1:4" x14ac:dyDescent="0.2">
      <c r="A275" s="5">
        <v>214</v>
      </c>
      <c r="B275" s="1831">
        <f>'Assets-Liab 5-6'!M18</f>
        <v>1583308</v>
      </c>
      <c r="D275" s="2" t="str">
        <f t="shared" si="3"/>
        <v>Error?</v>
      </c>
    </row>
    <row r="276" spans="1:4" x14ac:dyDescent="0.2">
      <c r="A276" s="5">
        <v>215</v>
      </c>
      <c r="B276" s="1831">
        <f>'Assets-Liab 5-6'!M19</f>
        <v>4189303</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22720009</v>
      </c>
      <c r="C279" s="2" t="s">
        <v>569</v>
      </c>
      <c r="D279" s="2" t="str">
        <f t="shared" si="3"/>
        <v>Error?</v>
      </c>
    </row>
    <row r="280" spans="1:4" x14ac:dyDescent="0.2">
      <c r="A280" s="5">
        <v>219</v>
      </c>
      <c r="B280" s="1831">
        <f>'Assets-Liab 5-6'!M40</f>
        <v>22720009</v>
      </c>
      <c r="D280" s="2" t="str">
        <f t="shared" si="3"/>
        <v>Error?</v>
      </c>
    </row>
    <row r="281" spans="1:4" x14ac:dyDescent="0.2">
      <c r="A281" s="5">
        <v>220</v>
      </c>
      <c r="B281" s="1831">
        <f>'Assets-Liab 5-6'!M41</f>
        <v>22720009</v>
      </c>
      <c r="C281" s="2" t="s">
        <v>569</v>
      </c>
      <c r="D281" s="2" t="str">
        <f t="shared" si="3"/>
        <v>Error?</v>
      </c>
    </row>
    <row r="282" spans="1:4" x14ac:dyDescent="0.2">
      <c r="A282" s="5">
        <v>221</v>
      </c>
      <c r="B282" s="1831">
        <f>'Assets-Liab 5-6'!N21</f>
        <v>5036</v>
      </c>
      <c r="D282" s="2" t="str">
        <f t="shared" si="3"/>
        <v>Error?</v>
      </c>
    </row>
    <row r="283" spans="1:4" x14ac:dyDescent="0.2">
      <c r="A283" s="5">
        <v>222</v>
      </c>
      <c r="B283" s="1831">
        <f>'Assets-Liab 5-6'!N22</f>
        <v>2669964</v>
      </c>
      <c r="D283" s="2" t="str">
        <f t="shared" si="3"/>
        <v>Error?</v>
      </c>
    </row>
    <row r="284" spans="1:4" x14ac:dyDescent="0.2">
      <c r="A284" s="5">
        <v>223</v>
      </c>
      <c r="B284" s="1831">
        <f>'Assets-Liab 5-6'!N23</f>
        <v>2675000</v>
      </c>
      <c r="C284" s="2" t="s">
        <v>569</v>
      </c>
      <c r="D284" s="2" t="str">
        <f t="shared" si="3"/>
        <v>Error?</v>
      </c>
    </row>
    <row r="285" spans="1:4" x14ac:dyDescent="0.2">
      <c r="A285" s="5">
        <v>224</v>
      </c>
      <c r="B285" s="1831">
        <f>'Assets-Liab 5-6'!N36</f>
        <v>2675000</v>
      </c>
      <c r="D285" s="2" t="str">
        <f t="shared" si="3"/>
        <v>Error?</v>
      </c>
    </row>
    <row r="286" spans="1:4" x14ac:dyDescent="0.2">
      <c r="A286" s="10">
        <v>225</v>
      </c>
      <c r="B286" s="1831"/>
      <c r="D286" s="2" t="str">
        <f t="shared" si="3"/>
        <v>OK</v>
      </c>
    </row>
    <row r="287" spans="1:4" x14ac:dyDescent="0.2">
      <c r="A287" s="5">
        <v>226</v>
      </c>
      <c r="B287" s="1831">
        <f>'Assets-Liab 5-6'!N37</f>
        <v>2675000</v>
      </c>
      <c r="C287" s="2" t="s">
        <v>569</v>
      </c>
      <c r="D287" s="2" t="str">
        <f t="shared" si="3"/>
        <v>Error?</v>
      </c>
    </row>
    <row r="288" spans="1:4" x14ac:dyDescent="0.2">
      <c r="A288" s="5">
        <v>227</v>
      </c>
      <c r="B288" s="1831">
        <f>'Assets-Liab 5-6'!N41</f>
        <v>2675000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1500000</v>
      </c>
      <c r="D618" s="2" t="str">
        <f t="shared" si="8"/>
        <v>Error?</v>
      </c>
    </row>
    <row r="619" spans="1:4" x14ac:dyDescent="0.2">
      <c r="A619" s="5">
        <v>558</v>
      </c>
      <c r="B619" s="1831">
        <f>'Acct Summary 7-8'!H34</f>
        <v>821</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2092470</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382904</v>
      </c>
      <c r="D717" s="2" t="str">
        <f t="shared" si="10"/>
        <v>Error?</v>
      </c>
    </row>
    <row r="718" spans="1:4" x14ac:dyDescent="0.2">
      <c r="A718" s="5">
        <v>657</v>
      </c>
      <c r="B718" s="1831">
        <f>'Expenditures 15-22'!C14</f>
        <v>356324</v>
      </c>
      <c r="D718" s="2" t="str">
        <f t="shared" si="10"/>
        <v>Error?</v>
      </c>
    </row>
    <row r="719" spans="1:4" x14ac:dyDescent="0.2">
      <c r="A719" s="5">
        <v>658</v>
      </c>
      <c r="B719" s="1831">
        <f>'Expenditures 15-22'!C15</f>
        <v>5605</v>
      </c>
      <c r="D719" s="2" t="str">
        <f t="shared" si="10"/>
        <v>Error?</v>
      </c>
    </row>
    <row r="720" spans="1:4" x14ac:dyDescent="0.2">
      <c r="A720" s="5">
        <v>659</v>
      </c>
      <c r="B720" s="1831">
        <f>'Expenditures 15-22'!C33</f>
        <v>4101446</v>
      </c>
      <c r="C720" s="2" t="s">
        <v>569</v>
      </c>
      <c r="D720" s="2" t="str">
        <f t="shared" si="10"/>
        <v>Error?</v>
      </c>
    </row>
    <row r="721" spans="1:4" x14ac:dyDescent="0.2">
      <c r="A721" s="5">
        <v>660</v>
      </c>
      <c r="B721" s="1831">
        <f>'Expenditures 15-22'!C36</f>
        <v>27298</v>
      </c>
      <c r="D721" s="2" t="str">
        <f t="shared" si="10"/>
        <v>Error?</v>
      </c>
    </row>
    <row r="722" spans="1:4" x14ac:dyDescent="0.2">
      <c r="A722" s="5">
        <v>661</v>
      </c>
      <c r="B722" s="1831">
        <f>'Expenditures 15-22'!C37</f>
        <v>209455</v>
      </c>
      <c r="D722" s="2" t="str">
        <f t="shared" si="10"/>
        <v>Error?</v>
      </c>
    </row>
    <row r="723" spans="1:4" x14ac:dyDescent="0.2">
      <c r="A723" s="5">
        <v>662</v>
      </c>
      <c r="B723" s="1831">
        <f>'Expenditures 15-22'!C38</f>
        <v>29033</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265786</v>
      </c>
      <c r="C727" s="2" t="s">
        <v>569</v>
      </c>
      <c r="D727" s="2" t="str">
        <f t="shared" si="10"/>
        <v>Error?</v>
      </c>
    </row>
    <row r="728" spans="1:4" x14ac:dyDescent="0.2">
      <c r="A728" s="5">
        <v>667</v>
      </c>
      <c r="B728" s="1831">
        <f>'Expenditures 15-22'!C44</f>
        <v>15831</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15831</v>
      </c>
      <c r="C731" s="2" t="s">
        <v>569</v>
      </c>
      <c r="D731" s="2" t="str">
        <f t="shared" si="10"/>
        <v>Error?</v>
      </c>
    </row>
    <row r="732" spans="1:4" x14ac:dyDescent="0.2">
      <c r="A732" s="5">
        <v>671</v>
      </c>
      <c r="B732" s="1831">
        <f>'Expenditures 15-22'!C49</f>
        <v>4252</v>
      </c>
      <c r="D732" s="2" t="str">
        <f t="shared" si="10"/>
        <v>Error?</v>
      </c>
    </row>
    <row r="733" spans="1:4" x14ac:dyDescent="0.2">
      <c r="A733" s="5">
        <v>672</v>
      </c>
      <c r="B733" s="1831">
        <f>'Expenditures 15-22'!C50</f>
        <v>154384</v>
      </c>
      <c r="D733" s="2" t="str">
        <f t="shared" si="10"/>
        <v>Error?</v>
      </c>
    </row>
    <row r="734" spans="1:4" x14ac:dyDescent="0.2">
      <c r="A734" s="5">
        <v>673</v>
      </c>
      <c r="B734" s="1831">
        <f>'Expenditures 15-22'!C53</f>
        <v>158636</v>
      </c>
      <c r="C734" s="2" t="s">
        <v>569</v>
      </c>
      <c r="D734" s="2" t="str">
        <f t="shared" si="10"/>
        <v>Error?</v>
      </c>
    </row>
    <row r="735" spans="1:4" x14ac:dyDescent="0.2">
      <c r="A735" s="5">
        <v>674</v>
      </c>
      <c r="B735" s="1831">
        <f>'Expenditures 15-22'!C55</f>
        <v>196880</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196880</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72288</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148099</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220387</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146899</v>
      </c>
      <c r="D751" s="2" t="str">
        <f t="shared" si="10"/>
        <v>Error?</v>
      </c>
    </row>
    <row r="752" spans="1:4" x14ac:dyDescent="0.2">
      <c r="A752" s="10">
        <v>691</v>
      </c>
      <c r="B752" s="1831"/>
      <c r="D752" s="2" t="str">
        <f t="shared" si="10"/>
        <v>OK</v>
      </c>
    </row>
    <row r="753" spans="1:4" x14ac:dyDescent="0.2">
      <c r="A753" s="5">
        <v>692</v>
      </c>
      <c r="B753" s="1831">
        <f>'Expenditures 15-22'!C72</f>
        <v>146899</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1004419</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5105865</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393595</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35806</v>
      </c>
      <c r="D775" s="2" t="str">
        <f t="shared" si="11"/>
        <v>Error?</v>
      </c>
    </row>
    <row r="776" spans="1:4" x14ac:dyDescent="0.2">
      <c r="A776" s="5">
        <v>715</v>
      </c>
      <c r="B776" s="1831">
        <f>'Expenditures 15-22'!D14</f>
        <v>10579</v>
      </c>
      <c r="D776" s="2" t="str">
        <f t="shared" si="11"/>
        <v>Error?</v>
      </c>
    </row>
    <row r="777" spans="1:4" x14ac:dyDescent="0.2">
      <c r="A777" s="5">
        <v>716</v>
      </c>
      <c r="B777" s="1831">
        <f>'Expenditures 15-22'!D15</f>
        <v>51</v>
      </c>
      <c r="D777" s="2" t="str">
        <f t="shared" si="11"/>
        <v>Error?</v>
      </c>
    </row>
    <row r="778" spans="1:4" x14ac:dyDescent="0.2">
      <c r="A778" s="5">
        <v>717</v>
      </c>
      <c r="B778" s="1831">
        <f>'Expenditures 15-22'!D33</f>
        <v>596628</v>
      </c>
      <c r="C778" s="2" t="s">
        <v>569</v>
      </c>
      <c r="D778" s="2" t="str">
        <f t="shared" si="11"/>
        <v>Error?</v>
      </c>
    </row>
    <row r="779" spans="1:4" x14ac:dyDescent="0.2">
      <c r="A779" s="5">
        <v>718</v>
      </c>
      <c r="B779" s="1831">
        <f>'Expenditures 15-22'!D36</f>
        <v>7027</v>
      </c>
      <c r="D779" s="2" t="str">
        <f t="shared" si="11"/>
        <v>Error?</v>
      </c>
    </row>
    <row r="780" spans="1:4" x14ac:dyDescent="0.2">
      <c r="A780" s="5">
        <v>719</v>
      </c>
      <c r="B780" s="1831">
        <f>'Expenditures 15-22'!D37</f>
        <v>23860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30887</v>
      </c>
      <c r="C785" s="2" t="s">
        <v>569</v>
      </c>
      <c r="D785" s="2" t="str">
        <f t="shared" si="11"/>
        <v>Error?</v>
      </c>
    </row>
    <row r="786" spans="1:4" x14ac:dyDescent="0.2">
      <c r="A786" s="5">
        <v>725</v>
      </c>
      <c r="B786" s="1831">
        <f>'Expenditures 15-22'!D44</f>
        <v>1953</v>
      </c>
      <c r="D786" s="2" t="str">
        <f t="shared" si="11"/>
        <v>Error?</v>
      </c>
    </row>
    <row r="787" spans="1:4" x14ac:dyDescent="0.2">
      <c r="A787" s="5">
        <v>726</v>
      </c>
      <c r="B787" s="1831">
        <f>'Expenditures 15-22'!D45</f>
        <v>100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2053</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30380</v>
      </c>
      <c r="D791" s="2" t="str">
        <f t="shared" si="11"/>
        <v>Error?</v>
      </c>
    </row>
    <row r="792" spans="1:4" x14ac:dyDescent="0.2">
      <c r="A792" s="5">
        <v>731</v>
      </c>
      <c r="B792" s="1831">
        <f>'Expenditures 15-22'!D53</f>
        <v>30380</v>
      </c>
      <c r="C792" s="2" t="s">
        <v>569</v>
      </c>
      <c r="D792" s="2" t="str">
        <f t="shared" si="11"/>
        <v>Error?</v>
      </c>
    </row>
    <row r="793" spans="1:4" x14ac:dyDescent="0.2">
      <c r="A793" s="5">
        <v>732</v>
      </c>
      <c r="B793" s="1831">
        <f>'Expenditures 15-22'!D55</f>
        <v>47964</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47964</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394</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29705</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30099</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22132</v>
      </c>
      <c r="D809" s="2" t="str">
        <f t="shared" si="11"/>
        <v>Error?</v>
      </c>
    </row>
    <row r="810" spans="1:4" x14ac:dyDescent="0.2">
      <c r="A810" s="10">
        <v>749</v>
      </c>
      <c r="B810" s="1831"/>
      <c r="D810" s="2" t="str">
        <f t="shared" si="11"/>
        <v>OK</v>
      </c>
    </row>
    <row r="811" spans="1:4" x14ac:dyDescent="0.2">
      <c r="A811" s="5">
        <v>750</v>
      </c>
      <c r="B811" s="1831">
        <f>'Expenditures 15-22'!D72</f>
        <v>22132</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163515</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760143</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67469</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328</v>
      </c>
      <c r="D833" s="2" t="str">
        <f t="shared" si="12"/>
        <v>Error?</v>
      </c>
    </row>
    <row r="834" spans="1:4" x14ac:dyDescent="0.2">
      <c r="A834" s="5">
        <v>773</v>
      </c>
      <c r="B834" s="1831">
        <f>'Expenditures 15-22'!E14</f>
        <v>42946</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119262</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660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660</v>
      </c>
      <c r="C843" s="2" t="s">
        <v>569</v>
      </c>
      <c r="D843" s="2" t="str">
        <f t="shared" si="12"/>
        <v>Error?</v>
      </c>
    </row>
    <row r="844" spans="1:4" x14ac:dyDescent="0.2">
      <c r="A844" s="5">
        <v>783</v>
      </c>
      <c r="B844" s="1831">
        <f>'Expenditures 15-22'!E44</f>
        <v>35398</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35398</v>
      </c>
      <c r="C847" s="2" t="s">
        <v>569</v>
      </c>
      <c r="D847" s="2" t="str">
        <f t="shared" si="12"/>
        <v>Error?</v>
      </c>
    </row>
    <row r="848" spans="1:4" x14ac:dyDescent="0.2">
      <c r="A848" s="5">
        <v>787</v>
      </c>
      <c r="B848" s="1831">
        <f>'Expenditures 15-22'!E49</f>
        <v>49073</v>
      </c>
      <c r="D848" s="2" t="str">
        <f t="shared" si="12"/>
        <v>Error?</v>
      </c>
    </row>
    <row r="849" spans="1:4" x14ac:dyDescent="0.2">
      <c r="A849" s="5">
        <v>788</v>
      </c>
      <c r="B849" s="1831">
        <f>'Expenditures 15-22'!E50</f>
        <v>2144</v>
      </c>
      <c r="D849" s="2" t="str">
        <f t="shared" si="12"/>
        <v>Error?</v>
      </c>
    </row>
    <row r="850" spans="1:4" x14ac:dyDescent="0.2">
      <c r="A850" s="5">
        <v>789</v>
      </c>
      <c r="B850" s="1831">
        <f>'Expenditures 15-22'!E53</f>
        <v>111352</v>
      </c>
      <c r="C850" s="2" t="s">
        <v>569</v>
      </c>
      <c r="D850" s="2" t="str">
        <f t="shared" si="12"/>
        <v>Error?</v>
      </c>
    </row>
    <row r="851" spans="1:4" x14ac:dyDescent="0.2">
      <c r="A851" s="5">
        <v>790</v>
      </c>
      <c r="B851" s="1831">
        <f>'Expenditures 15-22'!E55</f>
        <v>423</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423</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453</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866</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1319</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210552</v>
      </c>
      <c r="D867" s="2" t="str">
        <f t="shared" si="12"/>
        <v>Error?</v>
      </c>
    </row>
    <row r="868" spans="1:4" x14ac:dyDescent="0.2">
      <c r="A868" s="10">
        <v>807</v>
      </c>
      <c r="B868" s="1831"/>
      <c r="D868" s="2" t="str">
        <f t="shared" si="12"/>
        <v>OK</v>
      </c>
    </row>
    <row r="869" spans="1:4" x14ac:dyDescent="0.2">
      <c r="A869" s="5">
        <v>808</v>
      </c>
      <c r="B869" s="1831">
        <f>'Expenditures 15-22'!E72</f>
        <v>210552</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359704</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478966</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89873</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18969</v>
      </c>
      <c r="D891" s="2" t="str">
        <f t="shared" si="12"/>
        <v>Error?</v>
      </c>
    </row>
    <row r="892" spans="1:4" x14ac:dyDescent="0.2">
      <c r="A892" s="5">
        <v>831</v>
      </c>
      <c r="B892" s="1831">
        <f>'Expenditures 15-22'!F14</f>
        <v>25373</v>
      </c>
      <c r="D892" s="2" t="str">
        <f t="shared" si="12"/>
        <v>Error?</v>
      </c>
    </row>
    <row r="893" spans="1:4" x14ac:dyDescent="0.2">
      <c r="A893" s="5">
        <v>832</v>
      </c>
      <c r="B893" s="1831">
        <f>'Expenditures 15-22'!F15</f>
        <v>400</v>
      </c>
      <c r="D893" s="2" t="str">
        <f t="shared" si="12"/>
        <v>Error?</v>
      </c>
    </row>
    <row r="894" spans="1:4" x14ac:dyDescent="0.2">
      <c r="A894" s="5">
        <v>833</v>
      </c>
      <c r="B894" s="1831">
        <f>'Expenditures 15-22'!F33</f>
        <v>144326</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4947</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4947</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8250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8250</v>
      </c>
      <c r="C905" s="2" t="s">
        <v>569</v>
      </c>
      <c r="D905" s="2" t="str">
        <f t="shared" si="13"/>
        <v>Error?</v>
      </c>
    </row>
    <row r="906" spans="1:4" x14ac:dyDescent="0.2">
      <c r="A906" s="5">
        <v>845</v>
      </c>
      <c r="B906" s="1831">
        <f>'Expenditures 15-22'!F49</f>
        <v>7561</v>
      </c>
      <c r="D906" s="2" t="str">
        <f t="shared" si="13"/>
        <v>Error?</v>
      </c>
    </row>
    <row r="907" spans="1:4" x14ac:dyDescent="0.2">
      <c r="A907" s="5">
        <v>846</v>
      </c>
      <c r="B907" s="1831">
        <f>'Expenditures 15-22'!F50</f>
        <v>2332</v>
      </c>
      <c r="D907" s="2" t="str">
        <f t="shared" si="13"/>
        <v>Error?</v>
      </c>
    </row>
    <row r="908" spans="1:4" x14ac:dyDescent="0.2">
      <c r="A908" s="5">
        <v>847</v>
      </c>
      <c r="B908" s="1831">
        <f>'Expenditures 15-22'!F53</f>
        <v>9893</v>
      </c>
      <c r="C908" s="2" t="s">
        <v>569</v>
      </c>
      <c r="D908" s="2" t="str">
        <f t="shared" si="13"/>
        <v>Error?</v>
      </c>
    </row>
    <row r="909" spans="1:4" x14ac:dyDescent="0.2">
      <c r="A909" s="5">
        <v>848</v>
      </c>
      <c r="B909" s="1831">
        <f>'Expenditures 15-22'!F55</f>
        <v>1047</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1047</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155524</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155524</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10506</v>
      </c>
      <c r="D925" s="2" t="str">
        <f t="shared" si="13"/>
        <v>Error?</v>
      </c>
    </row>
    <row r="926" spans="1:4" x14ac:dyDescent="0.2">
      <c r="A926" s="10">
        <v>865</v>
      </c>
      <c r="B926" s="1831"/>
      <c r="D926" s="2" t="str">
        <f t="shared" si="13"/>
        <v>OK</v>
      </c>
    </row>
    <row r="927" spans="1:4" x14ac:dyDescent="0.2">
      <c r="A927" s="5">
        <v>866</v>
      </c>
      <c r="B927" s="1831">
        <f>'Expenditures 15-22'!F72</f>
        <v>10506</v>
      </c>
      <c r="C927" s="2" t="s">
        <v>569</v>
      </c>
      <c r="D927" s="2" t="str">
        <f t="shared" si="13"/>
        <v>Error?</v>
      </c>
    </row>
    <row r="928" spans="1:4" x14ac:dyDescent="0.2">
      <c r="A928" s="5">
        <v>867</v>
      </c>
      <c r="B928" s="1831">
        <f>'Expenditures 15-22'!F73</f>
        <v>83</v>
      </c>
      <c r="D928" s="2" t="str">
        <f t="shared" si="13"/>
        <v>Error?</v>
      </c>
    </row>
    <row r="929" spans="1:4" x14ac:dyDescent="0.2">
      <c r="A929" s="5">
        <v>868</v>
      </c>
      <c r="B929" s="1831">
        <f>'Expenditures 15-22'!F74</f>
        <v>190250</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334576</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28904</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30162</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27205</v>
      </c>
      <c r="D983" s="2" t="str">
        <f t="shared" si="14"/>
        <v>Error?</v>
      </c>
    </row>
    <row r="984" spans="1:4" x14ac:dyDescent="0.2">
      <c r="A984" s="10">
        <v>923</v>
      </c>
      <c r="B984" s="1831"/>
      <c r="D984" s="2" t="str">
        <f t="shared" si="14"/>
        <v>OK</v>
      </c>
    </row>
    <row r="985" spans="1:4" x14ac:dyDescent="0.2">
      <c r="A985" s="5">
        <v>924</v>
      </c>
      <c r="B985" s="1831">
        <f>'Expenditures 15-22'!G72</f>
        <v>27205</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27205</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57367</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500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500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10423</v>
      </c>
      <c r="D1022" s="2" t="str">
        <f t="shared" si="14"/>
        <v>Error?</v>
      </c>
    </row>
    <row r="1023" spans="1:4" x14ac:dyDescent="0.2">
      <c r="A1023" s="5">
        <v>962</v>
      </c>
      <c r="B1023" s="1831">
        <f>'Expenditures 15-22'!H50</f>
        <v>1594</v>
      </c>
      <c r="D1023" s="2" t="str">
        <f t="shared" ref="D1023:D1086" si="15">IF(ISBLANK(B1023),"OK",IF(A1023-B1023=0,"OK","Error?"))</f>
        <v>Error?</v>
      </c>
    </row>
    <row r="1024" spans="1:4" x14ac:dyDescent="0.2">
      <c r="A1024" s="5">
        <v>963</v>
      </c>
      <c r="B1024" s="1831">
        <f>'Expenditures 15-22'!H53</f>
        <v>12017</v>
      </c>
      <c r="C1024" s="2" t="s">
        <v>569</v>
      </c>
      <c r="D1024" s="2" t="str">
        <f t="shared" si="15"/>
        <v>Error?</v>
      </c>
    </row>
    <row r="1025" spans="1:4" x14ac:dyDescent="0.2">
      <c r="A1025" s="5">
        <v>964</v>
      </c>
      <c r="B1025" s="1831">
        <f>'Expenditures 15-22'!H55</f>
        <v>621</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621</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12638</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713715</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726853</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2000</v>
      </c>
      <c r="E1056" s="4" t="s">
        <v>1999</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2673477</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438007</v>
      </c>
      <c r="C1105" s="2" t="s">
        <v>569</v>
      </c>
      <c r="D1105" s="2" t="str">
        <f t="shared" si="16"/>
        <v>Error?</v>
      </c>
    </row>
    <row r="1106" spans="1:4" x14ac:dyDescent="0.2">
      <c r="A1106" s="5">
        <v>1045</v>
      </c>
      <c r="B1106" s="1831">
        <f>'Expenditures 15-22'!K14</f>
        <v>435722</v>
      </c>
      <c r="C1106" s="2" t="s">
        <v>569</v>
      </c>
      <c r="D1106" s="2" t="str">
        <f t="shared" si="16"/>
        <v>Error?</v>
      </c>
    </row>
    <row r="1107" spans="1:4" x14ac:dyDescent="0.2">
      <c r="A1107" s="5">
        <v>1046</v>
      </c>
      <c r="B1107" s="1831">
        <f>'Expenditures 15-22'!K15</f>
        <v>6056</v>
      </c>
      <c r="C1107" s="2" t="s">
        <v>569</v>
      </c>
      <c r="D1107" s="2" t="str">
        <f t="shared" si="16"/>
        <v>Error?</v>
      </c>
    </row>
    <row r="1108" spans="1:4" x14ac:dyDescent="0.2">
      <c r="A1108" s="5">
        <v>1047</v>
      </c>
      <c r="B1108" s="1831">
        <f>'Expenditures 15-22'!K33</f>
        <v>4993490</v>
      </c>
      <c r="C1108" s="2" t="s">
        <v>569</v>
      </c>
      <c r="D1108" s="2" t="str">
        <f t="shared" si="16"/>
        <v>Error?</v>
      </c>
    </row>
    <row r="1109" spans="1:4" x14ac:dyDescent="0.2">
      <c r="A1109" s="5">
        <v>1048</v>
      </c>
      <c r="B1109" s="1831">
        <f>'Expenditures 15-22'!K36</f>
        <v>34325</v>
      </c>
      <c r="C1109" s="2" t="s">
        <v>569</v>
      </c>
      <c r="D1109" s="2" t="str">
        <f t="shared" si="16"/>
        <v>Error?</v>
      </c>
    </row>
    <row r="1110" spans="1:4" x14ac:dyDescent="0.2">
      <c r="A1110" s="5">
        <v>1049</v>
      </c>
      <c r="B1110" s="1831">
        <f>'Expenditures 15-22'!K37</f>
        <v>238922</v>
      </c>
      <c r="C1110" s="2" t="s">
        <v>569</v>
      </c>
      <c r="D1110" s="2" t="str">
        <f t="shared" si="16"/>
        <v>Error?</v>
      </c>
    </row>
    <row r="1111" spans="1:4" x14ac:dyDescent="0.2">
      <c r="A1111" s="5">
        <v>1050</v>
      </c>
      <c r="B1111" s="1831">
        <f>'Expenditures 15-22'!K38</f>
        <v>29033</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302280</v>
      </c>
      <c r="C1115" s="2" t="s">
        <v>569</v>
      </c>
      <c r="D1115" s="2" t="str">
        <f t="shared" si="16"/>
        <v>Error?</v>
      </c>
    </row>
    <row r="1116" spans="1:4" x14ac:dyDescent="0.2">
      <c r="A1116" s="5">
        <v>1055</v>
      </c>
      <c r="B1116" s="1831">
        <f>'Expenditures 15-22'!K44</f>
        <v>53182</v>
      </c>
      <c r="C1116" s="2" t="s">
        <v>569</v>
      </c>
      <c r="D1116" s="2" t="str">
        <f t="shared" si="16"/>
        <v>Error?</v>
      </c>
    </row>
    <row r="1117" spans="1:4" x14ac:dyDescent="0.2">
      <c r="A1117" s="5">
        <v>1056</v>
      </c>
      <c r="B1117" s="1831">
        <f>'Expenditures 15-22'!K45</f>
        <v>9350</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62532</v>
      </c>
      <c r="C1119" s="2" t="s">
        <v>569</v>
      </c>
      <c r="D1119" s="2" t="str">
        <f t="shared" si="16"/>
        <v>Error?</v>
      </c>
    </row>
    <row r="1120" spans="1:4" x14ac:dyDescent="0.2">
      <c r="A1120" s="5">
        <v>1059</v>
      </c>
      <c r="B1120" s="1831">
        <f>'Expenditures 15-22'!K49</f>
        <v>71309</v>
      </c>
      <c r="C1120" s="2" t="s">
        <v>569</v>
      </c>
      <c r="D1120" s="2" t="str">
        <f t="shared" si="16"/>
        <v>Error?</v>
      </c>
    </row>
    <row r="1121" spans="1:4" x14ac:dyDescent="0.2">
      <c r="A1121" s="5">
        <v>1060</v>
      </c>
      <c r="B1121" s="1831">
        <f>'Expenditures 15-22'!K50</f>
        <v>190834</v>
      </c>
      <c r="C1121" s="2" t="s">
        <v>569</v>
      </c>
      <c r="D1121" s="2" t="str">
        <f t="shared" si="16"/>
        <v>Error?</v>
      </c>
    </row>
    <row r="1122" spans="1:4" x14ac:dyDescent="0.2">
      <c r="A1122" s="5">
        <v>1061</v>
      </c>
      <c r="B1122" s="1831">
        <f>'Expenditures 15-22'!K53</f>
        <v>322278</v>
      </c>
      <c r="C1122" s="2" t="s">
        <v>569</v>
      </c>
      <c r="D1122" s="2" t="str">
        <f t="shared" si="16"/>
        <v>Error?</v>
      </c>
    </row>
    <row r="1123" spans="1:4" x14ac:dyDescent="0.2">
      <c r="A1123" s="5">
        <v>1062</v>
      </c>
      <c r="B1123" s="1831">
        <f>'Expenditures 15-22'!K55</f>
        <v>247249</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247249</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73135</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334514</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407649</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441563</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441563</v>
      </c>
      <c r="C1141" s="2" t="s">
        <v>569</v>
      </c>
      <c r="D1141" s="2" t="str">
        <f t="shared" si="16"/>
        <v>Error?</v>
      </c>
    </row>
    <row r="1142" spans="1:4" x14ac:dyDescent="0.2">
      <c r="A1142" s="5">
        <v>1081</v>
      </c>
      <c r="B1142" s="1831">
        <f>'Expenditures 15-22'!K73</f>
        <v>83</v>
      </c>
      <c r="C1142" s="2" t="s">
        <v>569</v>
      </c>
      <c r="D1142" s="2" t="str">
        <f t="shared" si="16"/>
        <v>Error?</v>
      </c>
    </row>
    <row r="1143" spans="1:4" x14ac:dyDescent="0.2">
      <c r="A1143" s="5">
        <v>1082</v>
      </c>
      <c r="B1143" s="1831">
        <f>'Expenditures 15-22'!K74</f>
        <v>1783634</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713715</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7490839</v>
      </c>
      <c r="C1152" s="2" t="s">
        <v>569</v>
      </c>
      <c r="D1152" s="2" t="str">
        <f t="shared" si="17"/>
        <v>Error?</v>
      </c>
    </row>
    <row r="1153" spans="1:4" x14ac:dyDescent="0.2">
      <c r="A1153" s="5">
        <v>1092</v>
      </c>
      <c r="B1153" s="1831">
        <f>'Expenditures 15-22'!K115</f>
        <v>513905</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312392</v>
      </c>
      <c r="D1221" s="2" t="str">
        <f t="shared" si="18"/>
        <v>Error?</v>
      </c>
    </row>
    <row r="1222" spans="1:4" x14ac:dyDescent="0.2">
      <c r="A1222" s="10">
        <v>1161</v>
      </c>
      <c r="B1222" s="1831"/>
      <c r="D1222" s="2" t="str">
        <f t="shared" si="18"/>
        <v>OK</v>
      </c>
    </row>
    <row r="1223" spans="1:4" x14ac:dyDescent="0.2">
      <c r="A1223" s="5">
        <v>1162</v>
      </c>
      <c r="B1223" s="1831">
        <f>'Expenditures 15-22'!C127</f>
        <v>312392</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312392</v>
      </c>
      <c r="C1225" s="2" t="s">
        <v>569</v>
      </c>
      <c r="D1225" s="2" t="str">
        <f t="shared" si="18"/>
        <v>Error?</v>
      </c>
    </row>
    <row r="1226" spans="1:4" x14ac:dyDescent="0.2">
      <c r="A1226" s="5">
        <v>1165</v>
      </c>
      <c r="B1226" s="1831">
        <f>'Expenditures 15-22'!C151</f>
        <v>312392</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33810</v>
      </c>
      <c r="D1229" s="2" t="str">
        <f t="shared" si="18"/>
        <v>Error?</v>
      </c>
    </row>
    <row r="1230" spans="1:4" x14ac:dyDescent="0.2">
      <c r="A1230" s="10">
        <v>1169</v>
      </c>
      <c r="B1230" s="1831"/>
      <c r="D1230" s="2" t="str">
        <f t="shared" si="18"/>
        <v>OK</v>
      </c>
    </row>
    <row r="1231" spans="1:4" x14ac:dyDescent="0.2">
      <c r="A1231" s="5">
        <v>1170</v>
      </c>
      <c r="B1231" s="1831">
        <f>'Expenditures 15-22'!D127</f>
        <v>33810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33810</v>
      </c>
      <c r="C1233" s="2" t="s">
        <v>569</v>
      </c>
      <c r="D1233" s="2" t="str">
        <f t="shared" si="18"/>
        <v>Error?</v>
      </c>
    </row>
    <row r="1234" spans="1:4" x14ac:dyDescent="0.2">
      <c r="A1234" s="5">
        <v>1173</v>
      </c>
      <c r="B1234" s="1831">
        <f>'Expenditures 15-22'!D151</f>
        <v>33810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126768</v>
      </c>
      <c r="D1237" s="2" t="str">
        <f t="shared" si="18"/>
        <v>Error?</v>
      </c>
    </row>
    <row r="1238" spans="1:4" x14ac:dyDescent="0.2">
      <c r="A1238" s="10">
        <v>1177</v>
      </c>
      <c r="B1238" s="1831"/>
      <c r="D1238" s="2" t="str">
        <f t="shared" si="18"/>
        <v>OK</v>
      </c>
    </row>
    <row r="1239" spans="1:4" x14ac:dyDescent="0.2">
      <c r="A1239" s="5">
        <v>1178</v>
      </c>
      <c r="B1239" s="1831">
        <f>'Expenditures 15-22'!E127</f>
        <v>126768</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126768</v>
      </c>
      <c r="C1241" s="2" t="s">
        <v>569</v>
      </c>
      <c r="D1241" s="2" t="str">
        <f t="shared" si="18"/>
        <v>Error?</v>
      </c>
    </row>
    <row r="1242" spans="1:4" x14ac:dyDescent="0.2">
      <c r="A1242" s="5">
        <v>1181</v>
      </c>
      <c r="B1242" s="1831">
        <f>'Expenditures 15-22'!E151</f>
        <v>126768</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272038</v>
      </c>
      <c r="D1245" s="2" t="str">
        <f t="shared" si="18"/>
        <v>Error?</v>
      </c>
    </row>
    <row r="1246" spans="1:4" x14ac:dyDescent="0.2">
      <c r="A1246" s="10">
        <v>1185</v>
      </c>
      <c r="B1246" s="1831"/>
      <c r="D1246" s="2" t="str">
        <f t="shared" si="18"/>
        <v>OK</v>
      </c>
    </row>
    <row r="1247" spans="1:4" x14ac:dyDescent="0.2">
      <c r="A1247" s="5">
        <v>1186</v>
      </c>
      <c r="B1247" s="1831">
        <f>'Expenditures 15-22'!F127</f>
        <v>272038</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272038</v>
      </c>
      <c r="C1249" s="2" t="s">
        <v>569</v>
      </c>
      <c r="D1249" s="2" t="str">
        <f t="shared" si="18"/>
        <v>Error?</v>
      </c>
    </row>
    <row r="1250" spans="1:4" x14ac:dyDescent="0.2">
      <c r="A1250" s="5">
        <v>1189</v>
      </c>
      <c r="B1250" s="1831">
        <f>'Expenditures 15-22'!F151</f>
        <v>272038</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8144</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8144</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8144</v>
      </c>
      <c r="C1258" s="2" t="s">
        <v>569</v>
      </c>
      <c r="D1258" s="2" t="str">
        <f t="shared" si="18"/>
        <v>Error?</v>
      </c>
    </row>
    <row r="1259" spans="1:4" x14ac:dyDescent="0.2">
      <c r="A1259" s="5">
        <v>1198</v>
      </c>
      <c r="B1259" s="1831">
        <f>'Expenditures 15-22'!G151</f>
        <v>8144</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1319</v>
      </c>
      <c r="C1275" s="2" t="s">
        <v>569</v>
      </c>
      <c r="D1275" s="2" t="str">
        <f t="shared" si="18"/>
        <v>Error?</v>
      </c>
    </row>
    <row r="1276" spans="1:4" x14ac:dyDescent="0.2">
      <c r="A1276" s="5">
        <v>1215</v>
      </c>
      <c r="B1276" s="1831">
        <f>'Expenditures 15-22'!K124</f>
        <v>760720</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762039</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762039</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762039</v>
      </c>
      <c r="C1288" s="2" t="s">
        <v>569</v>
      </c>
      <c r="D1288" s="2" t="str">
        <f t="shared" si="19"/>
        <v>Error?</v>
      </c>
    </row>
    <row r="1289" spans="1:4" x14ac:dyDescent="0.2">
      <c r="A1289" s="5">
        <v>1228</v>
      </c>
      <c r="B1289" s="1831">
        <f>'Expenditures 15-22'!K152</f>
        <v>869486</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675</v>
      </c>
      <c r="D1307" s="2" t="str">
        <f t="shared" si="19"/>
        <v>Error?</v>
      </c>
    </row>
    <row r="1308" spans="1:4" x14ac:dyDescent="0.2">
      <c r="A1308" s="5">
        <v>1247</v>
      </c>
      <c r="B1308" s="1831">
        <f>'Expenditures 15-22'!E172</f>
        <v>675</v>
      </c>
      <c r="C1308" s="2" t="s">
        <v>569</v>
      </c>
      <c r="D1308" s="2" t="str">
        <f t="shared" si="19"/>
        <v>Error?</v>
      </c>
    </row>
    <row r="1309" spans="1:4" x14ac:dyDescent="0.2">
      <c r="A1309" s="5">
        <v>1248</v>
      </c>
      <c r="B1309" s="1831">
        <f>'Expenditures 15-22'!E174</f>
        <v>675</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42950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560000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602950</v>
      </c>
      <c r="C1317" s="2" t="s">
        <v>569</v>
      </c>
      <c r="D1317" s="2" t="str">
        <f t="shared" si="19"/>
        <v>Error?</v>
      </c>
    </row>
    <row r="1318" spans="1:4" x14ac:dyDescent="0.2">
      <c r="A1318" s="5">
        <v>1257</v>
      </c>
      <c r="B1318" s="1831">
        <f>'Expenditures 15-22'!H174</f>
        <v>602950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42950</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560000</v>
      </c>
      <c r="C1329" s="2" t="s">
        <v>569</v>
      </c>
      <c r="D1329" s="2" t="str">
        <f t="shared" si="19"/>
        <v>Error?</v>
      </c>
    </row>
    <row r="1330" spans="1:4" x14ac:dyDescent="0.2">
      <c r="A1330" s="5">
        <v>1269</v>
      </c>
      <c r="B1330" s="1831">
        <f>'Expenditures 15-22'!K171</f>
        <v>675</v>
      </c>
      <c r="C1330" s="2" t="s">
        <v>569</v>
      </c>
      <c r="D1330" s="2" t="str">
        <f t="shared" si="19"/>
        <v>Error?</v>
      </c>
    </row>
    <row r="1331" spans="1:4" x14ac:dyDescent="0.2">
      <c r="A1331" s="5">
        <v>1270</v>
      </c>
      <c r="B1331" s="1831">
        <f>'Expenditures 15-22'!K172</f>
        <v>603625</v>
      </c>
      <c r="C1331" s="2" t="s">
        <v>569</v>
      </c>
      <c r="D1331" s="2" t="str">
        <f t="shared" si="19"/>
        <v>Error?</v>
      </c>
    </row>
    <row r="1332" spans="1:4" x14ac:dyDescent="0.2">
      <c r="A1332" s="5">
        <v>1271</v>
      </c>
      <c r="B1332" s="1831">
        <f>'Expenditures 15-22'!K174</f>
        <v>603625</v>
      </c>
      <c r="C1332" s="2" t="s">
        <v>569</v>
      </c>
      <c r="D1332" s="2" t="str">
        <f t="shared" si="19"/>
        <v>Error?</v>
      </c>
    </row>
    <row r="1333" spans="1:4" x14ac:dyDescent="0.2">
      <c r="A1333" s="5">
        <v>1272</v>
      </c>
      <c r="B1333" s="1831">
        <f>'Expenditures 15-22'!K175</f>
        <v>-603625</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52145</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52145</v>
      </c>
      <c r="C1339" s="2" t="s">
        <v>569</v>
      </c>
      <c r="D1339" s="2" t="str">
        <f t="shared" si="19"/>
        <v>Error?</v>
      </c>
    </row>
    <row r="1340" spans="1:4" x14ac:dyDescent="0.2">
      <c r="A1340" s="5">
        <v>1279</v>
      </c>
      <c r="B1340" s="1831">
        <f>'Expenditures 15-22'!C210</f>
        <v>52145</v>
      </c>
      <c r="C1340" s="2" t="s">
        <v>569</v>
      </c>
      <c r="D1340" s="2" t="str">
        <f t="shared" si="19"/>
        <v>Error?</v>
      </c>
    </row>
    <row r="1341" spans="1:4" x14ac:dyDescent="0.2">
      <c r="A1341" s="5">
        <v>1280</v>
      </c>
      <c r="B1341" s="1831">
        <f>'Expenditures 15-22'!D182</f>
        <v>7327</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7327</v>
      </c>
      <c r="C1345" s="2" t="s">
        <v>569</v>
      </c>
      <c r="D1345" s="2" t="str">
        <f t="shared" si="20"/>
        <v>Error?</v>
      </c>
    </row>
    <row r="1346" spans="1:4" x14ac:dyDescent="0.2">
      <c r="A1346" s="5">
        <v>1285</v>
      </c>
      <c r="B1346" s="1831">
        <f>'Expenditures 15-22'!D210</f>
        <v>7327</v>
      </c>
      <c r="C1346" s="2" t="s">
        <v>569</v>
      </c>
      <c r="D1346" s="2" t="str">
        <f t="shared" si="20"/>
        <v>Error?</v>
      </c>
    </row>
    <row r="1347" spans="1:4" x14ac:dyDescent="0.2">
      <c r="A1347" s="5">
        <v>1286</v>
      </c>
      <c r="B1347" s="1831">
        <f>'Expenditures 15-22'!E182</f>
        <v>442551</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442551</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442551</v>
      </c>
      <c r="C1353" s="2" t="s">
        <v>569</v>
      </c>
      <c r="D1353" s="2" t="str">
        <f t="shared" si="20"/>
        <v>Error?</v>
      </c>
    </row>
    <row r="1354" spans="1:4" x14ac:dyDescent="0.2">
      <c r="A1354" s="5">
        <v>1293</v>
      </c>
      <c r="B1354" s="1831">
        <f>'Expenditures 15-22'!F182</f>
        <v>63443</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63443</v>
      </c>
      <c r="C1358" s="2" t="s">
        <v>569</v>
      </c>
      <c r="D1358" s="2" t="str">
        <f t="shared" si="20"/>
        <v>Error?</v>
      </c>
    </row>
    <row r="1359" spans="1:4" x14ac:dyDescent="0.2">
      <c r="A1359" s="5">
        <v>1298</v>
      </c>
      <c r="B1359" s="1831">
        <f>'Expenditures 15-22'!F210</f>
        <v>63443</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565466</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565466</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565466</v>
      </c>
      <c r="C1388" s="2" t="s">
        <v>569</v>
      </c>
      <c r="D1388" s="2" t="str">
        <f t="shared" si="20"/>
        <v>Error?</v>
      </c>
    </row>
    <row r="1389" spans="1:4" x14ac:dyDescent="0.2">
      <c r="A1389" s="5">
        <v>1328</v>
      </c>
      <c r="B1389" s="1831">
        <f>'Expenditures 15-22'!K211</f>
        <v>345756</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5181</v>
      </c>
      <c r="D1407" s="2" t="str">
        <f t="shared" ref="D1407:D1470" si="21">IF(ISBLANK(B1407),"OK",IF(A1407-B1407=0,"OK","Error?"))</f>
        <v>Error?</v>
      </c>
    </row>
    <row r="1408" spans="1:4" x14ac:dyDescent="0.2">
      <c r="A1408" s="5">
        <v>1347</v>
      </c>
      <c r="B1408" s="1831">
        <f>'Expenditures 15-22'!D223</f>
        <v>24984</v>
      </c>
      <c r="D1408" s="2" t="str">
        <f t="shared" si="21"/>
        <v>Error?</v>
      </c>
    </row>
    <row r="1409" spans="1:4" x14ac:dyDescent="0.2">
      <c r="A1409" s="5">
        <v>1348</v>
      </c>
      <c r="B1409" s="1831">
        <f>'Expenditures 15-22'!D224</f>
        <v>195</v>
      </c>
      <c r="D1409" s="2" t="str">
        <f t="shared" si="21"/>
        <v>Error?</v>
      </c>
    </row>
    <row r="1410" spans="1:4" x14ac:dyDescent="0.2">
      <c r="A1410" s="5">
        <v>1349</v>
      </c>
      <c r="B1410" s="1831">
        <f>'Expenditures 15-22'!D229</f>
        <v>133659</v>
      </c>
      <c r="C1410" s="2" t="s">
        <v>569</v>
      </c>
      <c r="D1410" s="2" t="str">
        <f t="shared" si="21"/>
        <v>Error?</v>
      </c>
    </row>
    <row r="1411" spans="1:4" x14ac:dyDescent="0.2">
      <c r="A1411" s="5">
        <v>1350</v>
      </c>
      <c r="B1411" s="1831">
        <f>'Expenditures 15-22'!D232</f>
        <v>5828</v>
      </c>
      <c r="D1411" s="2" t="str">
        <f t="shared" si="21"/>
        <v>Error?</v>
      </c>
    </row>
    <row r="1412" spans="1:4" x14ac:dyDescent="0.2">
      <c r="A1412" s="5">
        <v>1351</v>
      </c>
      <c r="B1412" s="1831">
        <f>'Expenditures 15-22'!D233</f>
        <v>9310</v>
      </c>
      <c r="D1412" s="2" t="str">
        <f t="shared" si="21"/>
        <v>Error?</v>
      </c>
    </row>
    <row r="1413" spans="1:4" x14ac:dyDescent="0.2">
      <c r="A1413" s="5">
        <v>1352</v>
      </c>
      <c r="B1413" s="1831">
        <f>'Expenditures 15-22'!D234</f>
        <v>3902</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19040</v>
      </c>
      <c r="C1417" s="2" t="s">
        <v>569</v>
      </c>
      <c r="D1417" s="2" t="str">
        <f t="shared" si="21"/>
        <v>Error?</v>
      </c>
    </row>
    <row r="1418" spans="1:4" x14ac:dyDescent="0.2">
      <c r="A1418" s="5">
        <v>1357</v>
      </c>
      <c r="B1418" s="1831">
        <f>'Expenditures 15-22'!D240</f>
        <v>275</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275</v>
      </c>
      <c r="C1421" s="2" t="s">
        <v>569</v>
      </c>
      <c r="D1421" s="2" t="str">
        <f t="shared" si="21"/>
        <v>Error?</v>
      </c>
    </row>
    <row r="1422" spans="1:4" x14ac:dyDescent="0.2">
      <c r="A1422" s="5">
        <v>1361</v>
      </c>
      <c r="B1422" s="1831">
        <f>'Expenditures 15-22'!D245</f>
        <v>497</v>
      </c>
      <c r="D1422" s="2" t="str">
        <f t="shared" si="21"/>
        <v>Error?</v>
      </c>
    </row>
    <row r="1423" spans="1:4" x14ac:dyDescent="0.2">
      <c r="A1423" s="5">
        <v>1362</v>
      </c>
      <c r="B1423" s="1831">
        <f>'Expenditures 15-22'!D246</f>
        <v>9221</v>
      </c>
      <c r="D1423" s="2" t="str">
        <f t="shared" si="21"/>
        <v>Error?</v>
      </c>
    </row>
    <row r="1424" spans="1:4" x14ac:dyDescent="0.2">
      <c r="A1424" s="5">
        <v>1363</v>
      </c>
      <c r="B1424" s="1831">
        <f>'Expenditures 15-22'!D257</f>
        <v>9718</v>
      </c>
      <c r="C1424" s="2" t="s">
        <v>569</v>
      </c>
      <c r="D1424" s="2" t="str">
        <f t="shared" si="21"/>
        <v>Error?</v>
      </c>
    </row>
    <row r="1425" spans="1:4" x14ac:dyDescent="0.2">
      <c r="A1425" s="5">
        <v>1364</v>
      </c>
      <c r="B1425" s="1831">
        <f>'Expenditures 15-22'!D259</f>
        <v>2844</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2844</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12038</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63181</v>
      </c>
      <c r="D1431" s="2" t="str">
        <f t="shared" si="21"/>
        <v>Error?</v>
      </c>
    </row>
    <row r="1432" spans="1:4" x14ac:dyDescent="0.2">
      <c r="A1432" s="5">
        <v>1371</v>
      </c>
      <c r="B1432" s="1831">
        <f>'Expenditures 15-22'!D267</f>
        <v>8592</v>
      </c>
      <c r="D1432" s="2" t="str">
        <f t="shared" si="21"/>
        <v>Error?</v>
      </c>
    </row>
    <row r="1433" spans="1:4" x14ac:dyDescent="0.2">
      <c r="A1433" s="5">
        <v>1372</v>
      </c>
      <c r="B1433" s="1831">
        <f>'Expenditures 15-22'!D268</f>
        <v>30668</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114479</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16724</v>
      </c>
      <c r="D1442" s="2" t="str">
        <f t="shared" si="21"/>
        <v>Error?</v>
      </c>
    </row>
    <row r="1443" spans="1:4" x14ac:dyDescent="0.2">
      <c r="A1443" s="10">
        <v>1382</v>
      </c>
      <c r="B1443" s="1831"/>
      <c r="D1443" s="2" t="str">
        <f t="shared" si="21"/>
        <v>OK</v>
      </c>
    </row>
    <row r="1444" spans="1:4" x14ac:dyDescent="0.2">
      <c r="A1444" s="5">
        <v>1383</v>
      </c>
      <c r="B1444" s="1831">
        <f>'Expenditures 15-22'!D277</f>
        <v>16724</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163080</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296739</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5181</v>
      </c>
      <c r="C1471" s="2" t="s">
        <v>569</v>
      </c>
      <c r="D1471" s="2" t="str">
        <f t="shared" ref="D1471:D1534" si="22">IF(ISBLANK(B1471),"OK",IF(A1471-B1471=0,"OK","Error?"))</f>
        <v>Error?</v>
      </c>
    </row>
    <row r="1472" spans="1:4" x14ac:dyDescent="0.2">
      <c r="A1472" s="5">
        <v>1411</v>
      </c>
      <c r="B1472" s="1831">
        <f>'Expenditures 15-22'!K223</f>
        <v>24984</v>
      </c>
      <c r="C1472" s="2" t="s">
        <v>569</v>
      </c>
      <c r="D1472" s="2" t="str">
        <f t="shared" si="22"/>
        <v>Error?</v>
      </c>
    </row>
    <row r="1473" spans="1:4" x14ac:dyDescent="0.2">
      <c r="A1473" s="5">
        <v>1412</v>
      </c>
      <c r="B1473" s="1831">
        <f>'Expenditures 15-22'!K224</f>
        <v>195</v>
      </c>
      <c r="C1473" s="2" t="s">
        <v>569</v>
      </c>
      <c r="D1473" s="2" t="str">
        <f t="shared" si="22"/>
        <v>Error?</v>
      </c>
    </row>
    <row r="1474" spans="1:4" x14ac:dyDescent="0.2">
      <c r="A1474" s="5">
        <v>1413</v>
      </c>
      <c r="B1474" s="1831">
        <f>'Expenditures 15-22'!K229</f>
        <v>133659</v>
      </c>
      <c r="C1474" s="2" t="s">
        <v>569</v>
      </c>
      <c r="D1474" s="2" t="str">
        <f t="shared" si="22"/>
        <v>Error?</v>
      </c>
    </row>
    <row r="1475" spans="1:4" x14ac:dyDescent="0.2">
      <c r="A1475" s="5">
        <v>1414</v>
      </c>
      <c r="B1475" s="1831">
        <f>'Expenditures 15-22'!K232</f>
        <v>5828</v>
      </c>
      <c r="C1475" s="2" t="s">
        <v>569</v>
      </c>
      <c r="D1475" s="2" t="str">
        <f t="shared" si="22"/>
        <v>Error?</v>
      </c>
    </row>
    <row r="1476" spans="1:4" x14ac:dyDescent="0.2">
      <c r="A1476" s="5">
        <v>1415</v>
      </c>
      <c r="B1476" s="1831">
        <f>'Expenditures 15-22'!K233</f>
        <v>9310</v>
      </c>
      <c r="C1476" s="2" t="s">
        <v>569</v>
      </c>
      <c r="D1476" s="2" t="str">
        <f t="shared" si="22"/>
        <v>Error?</v>
      </c>
    </row>
    <row r="1477" spans="1:4" x14ac:dyDescent="0.2">
      <c r="A1477" s="5">
        <v>1416</v>
      </c>
      <c r="B1477" s="1831">
        <f>'Expenditures 15-22'!K234</f>
        <v>3902</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19040</v>
      </c>
      <c r="C1481" s="2" t="s">
        <v>569</v>
      </c>
      <c r="D1481" s="2" t="str">
        <f t="shared" si="22"/>
        <v>Error?</v>
      </c>
    </row>
    <row r="1482" spans="1:4" x14ac:dyDescent="0.2">
      <c r="A1482" s="5">
        <v>1421</v>
      </c>
      <c r="B1482" s="1831">
        <f>'Expenditures 15-22'!K240</f>
        <v>275</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275</v>
      </c>
      <c r="C1485" s="2" t="s">
        <v>569</v>
      </c>
      <c r="D1485" s="2" t="str">
        <f t="shared" si="22"/>
        <v>Error?</v>
      </c>
    </row>
    <row r="1486" spans="1:4" x14ac:dyDescent="0.2">
      <c r="A1486" s="5">
        <v>1425</v>
      </c>
      <c r="B1486" s="1831">
        <f>'Expenditures 15-22'!K245</f>
        <v>497</v>
      </c>
      <c r="C1486" s="2" t="s">
        <v>569</v>
      </c>
      <c r="D1486" s="2" t="str">
        <f t="shared" si="22"/>
        <v>Error?</v>
      </c>
    </row>
    <row r="1487" spans="1:4" x14ac:dyDescent="0.2">
      <c r="A1487" s="5">
        <v>1426</v>
      </c>
      <c r="B1487" s="1831">
        <f>'Expenditures 15-22'!K246</f>
        <v>9221</v>
      </c>
      <c r="C1487" s="2" t="s">
        <v>569</v>
      </c>
      <c r="D1487" s="2" t="str">
        <f t="shared" si="22"/>
        <v>Error?</v>
      </c>
    </row>
    <row r="1488" spans="1:4" x14ac:dyDescent="0.2">
      <c r="A1488" s="5">
        <v>1427</v>
      </c>
      <c r="B1488" s="1831">
        <f>'Expenditures 15-22'!K257</f>
        <v>9718</v>
      </c>
      <c r="C1488" s="2" t="s">
        <v>569</v>
      </c>
      <c r="D1488" s="2" t="str">
        <f t="shared" si="22"/>
        <v>Error?</v>
      </c>
    </row>
    <row r="1489" spans="1:4" x14ac:dyDescent="0.2">
      <c r="A1489" s="5">
        <v>1428</v>
      </c>
      <c r="B1489" s="1831">
        <f>'Expenditures 15-22'!K259</f>
        <v>2844</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2844</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12038</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63181</v>
      </c>
      <c r="C1495" s="2" t="s">
        <v>569</v>
      </c>
      <c r="D1495" s="2" t="str">
        <f t="shared" si="22"/>
        <v>Error?</v>
      </c>
    </row>
    <row r="1496" spans="1:4" x14ac:dyDescent="0.2">
      <c r="A1496" s="5">
        <v>1435</v>
      </c>
      <c r="B1496" s="1831">
        <f>'Expenditures 15-22'!K267</f>
        <v>8592</v>
      </c>
      <c r="C1496" s="2" t="s">
        <v>569</v>
      </c>
      <c r="D1496" s="2" t="str">
        <f t="shared" si="22"/>
        <v>Error?</v>
      </c>
    </row>
    <row r="1497" spans="1:4" x14ac:dyDescent="0.2">
      <c r="A1497" s="5">
        <v>1436</v>
      </c>
      <c r="B1497" s="1831">
        <f>'Expenditures 15-22'!K268</f>
        <v>30668</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114479</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16724</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16724</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163080</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296739</v>
      </c>
      <c r="C1517" s="2" t="s">
        <v>569</v>
      </c>
      <c r="D1517" s="2" t="str">
        <f t="shared" si="22"/>
        <v>Error?</v>
      </c>
    </row>
    <row r="1518" spans="1:4" x14ac:dyDescent="0.2">
      <c r="A1518" s="5">
        <v>1457</v>
      </c>
      <c r="B1518" s="1831">
        <f>'Expenditures 15-22'!K296</f>
        <v>-6278</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472692</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472692</v>
      </c>
      <c r="C1535" s="2" t="s">
        <v>569</v>
      </c>
      <c r="D1535" s="2" t="str">
        <f t="shared" ref="D1535:D1598" si="23">IF(ISBLANK(B1535),"OK",IF(A1535-B1535=0,"OK","Error?"))</f>
        <v>Error?</v>
      </c>
    </row>
    <row r="1536" spans="1:4" x14ac:dyDescent="0.2">
      <c r="A1536" s="5">
        <v>1475</v>
      </c>
      <c r="B1536" s="1831">
        <f>'Expenditures 15-22'!E312</f>
        <v>472692</v>
      </c>
      <c r="C1536" s="2" t="s">
        <v>569</v>
      </c>
      <c r="D1536" s="2" t="str">
        <f t="shared" si="23"/>
        <v>Error?</v>
      </c>
    </row>
    <row r="1537" spans="1:4" x14ac:dyDescent="0.2">
      <c r="A1537" s="5">
        <v>1476</v>
      </c>
      <c r="B1537" s="1831">
        <f>'Expenditures 15-22'!F301</f>
        <v>22330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22330</v>
      </c>
      <c r="C1541" s="2" t="s">
        <v>569</v>
      </c>
      <c r="D1541" s="2" t="str">
        <f t="shared" si="23"/>
        <v>Error?</v>
      </c>
    </row>
    <row r="1542" spans="1:4" x14ac:dyDescent="0.2">
      <c r="A1542" s="5">
        <v>1481</v>
      </c>
      <c r="B1542" s="1831">
        <f>'Expenditures 15-22'!F312</f>
        <v>22330</v>
      </c>
      <c r="C1542" s="2" t="s">
        <v>569</v>
      </c>
      <c r="D1542" s="2" t="str">
        <f t="shared" si="23"/>
        <v>Error?</v>
      </c>
    </row>
    <row r="1543" spans="1:4" x14ac:dyDescent="0.2">
      <c r="A1543" s="5">
        <v>1482</v>
      </c>
      <c r="B1543" s="1831">
        <f>'Expenditures 15-22'!G301</f>
        <v>732538</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732538</v>
      </c>
      <c r="C1547" s="2" t="s">
        <v>569</v>
      </c>
      <c r="D1547" s="2" t="str">
        <f t="shared" si="23"/>
        <v>Error?</v>
      </c>
    </row>
    <row r="1548" spans="1:4" x14ac:dyDescent="0.2">
      <c r="A1548" s="5">
        <v>1487</v>
      </c>
      <c r="B1548" s="1831">
        <f>'Expenditures 15-22'!G312</f>
        <v>732538</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1233280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1233280</v>
      </c>
      <c r="C1559" s="2" t="s">
        <v>569</v>
      </c>
      <c r="D1559" s="2" t="str">
        <f t="shared" si="23"/>
        <v>Error?</v>
      </c>
    </row>
    <row r="1560" spans="1:4" x14ac:dyDescent="0.2">
      <c r="A1560" s="5">
        <v>1499</v>
      </c>
      <c r="B1560" s="1831">
        <f>'Expenditures 15-22'!K312</f>
        <v>1233280</v>
      </c>
      <c r="C1560" s="2" t="s">
        <v>569</v>
      </c>
      <c r="D1560" s="2" t="str">
        <f t="shared" si="23"/>
        <v>Error?</v>
      </c>
    </row>
    <row r="1561" spans="1:4" x14ac:dyDescent="0.2">
      <c r="A1561" s="5">
        <v>1500</v>
      </c>
      <c r="B1561" s="1831">
        <f>'Expenditures 15-22'!K313</f>
        <v>-852161</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1543461</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2057366</v>
      </c>
      <c r="C1630" s="2" t="s">
        <v>569</v>
      </c>
      <c r="D1630" s="2" t="str">
        <f t="shared" si="24"/>
        <v>Error?</v>
      </c>
    </row>
    <row r="1631" spans="1:4" x14ac:dyDescent="0.2">
      <c r="A1631" s="5">
        <v>1570</v>
      </c>
      <c r="B1631" s="1831">
        <f>'Acct Summary 7-8'!D79</f>
        <v>254494</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531980</v>
      </c>
      <c r="C1644" s="2" t="s">
        <v>569</v>
      </c>
      <c r="D1644" s="2" t="str">
        <f t="shared" si="24"/>
        <v>Error?</v>
      </c>
    </row>
    <row r="1645" spans="1:4" x14ac:dyDescent="0.2">
      <c r="A1645" s="5">
        <v>1584</v>
      </c>
      <c r="B1645" s="1831">
        <f>'Acct Summary 7-8'!E79</f>
        <v>16661</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5036</v>
      </c>
      <c r="C1658" s="2" t="s">
        <v>569</v>
      </c>
      <c r="D1658" s="2" t="str">
        <f t="shared" si="24"/>
        <v>Error?</v>
      </c>
    </row>
    <row r="1659" spans="1:4" x14ac:dyDescent="0.2">
      <c r="A1659" s="5">
        <v>1598</v>
      </c>
      <c r="B1659" s="1831">
        <f>'Acct Summary 7-8'!F79</f>
        <v>986787</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1332543</v>
      </c>
      <c r="C1672" s="2" t="s">
        <v>569</v>
      </c>
      <c r="D1672" s="2" t="str">
        <f t="shared" si="25"/>
        <v>Error?</v>
      </c>
    </row>
    <row r="1673" spans="1:4" x14ac:dyDescent="0.2">
      <c r="A1673" s="5">
        <v>1612</v>
      </c>
      <c r="B1673" s="1831">
        <f>'Acct Summary 7-8'!G79</f>
        <v>8857</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2579</v>
      </c>
      <c r="C1686" s="2" t="s">
        <v>569</v>
      </c>
      <c r="D1686" s="2" t="str">
        <f t="shared" si="25"/>
        <v>Error?</v>
      </c>
    </row>
    <row r="1687" spans="1:4" x14ac:dyDescent="0.2">
      <c r="A1687" s="5">
        <v>1626</v>
      </c>
      <c r="B1687" s="1831">
        <f>'Acct Summary 7-8'!H79</f>
        <v>-10343</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638317</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3480991</v>
      </c>
      <c r="C1744" s="2" t="s">
        <v>569</v>
      </c>
      <c r="D1744" s="2" t="str">
        <f t="shared" si="26"/>
        <v>Error?</v>
      </c>
    </row>
    <row r="1745" spans="1:5" x14ac:dyDescent="0.2">
      <c r="A1745" s="5">
        <v>1684</v>
      </c>
      <c r="B1745" s="1831">
        <f>'Tax Sched 23'!B5</f>
        <v>650946</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620375</v>
      </c>
      <c r="C1747" s="2" t="s">
        <v>569</v>
      </c>
      <c r="D1747" s="2" t="str">
        <f t="shared" si="26"/>
        <v>Error?</v>
      </c>
    </row>
    <row r="1748" spans="1:5" x14ac:dyDescent="0.2">
      <c r="A1748" s="5">
        <v>1687</v>
      </c>
      <c r="B1748" s="1831">
        <f>'Tax Sched 23'!B8</f>
        <v>145177</v>
      </c>
      <c r="C1748" s="2" t="s">
        <v>569</v>
      </c>
      <c r="D1748" s="2" t="str">
        <f t="shared" si="26"/>
        <v>Error?</v>
      </c>
    </row>
    <row r="1749" spans="1:5" x14ac:dyDescent="0.2">
      <c r="A1749" s="5">
        <v>1688</v>
      </c>
      <c r="B1749" s="1831">
        <f>'Tax Sched 23'!B10</f>
        <v>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93301</v>
      </c>
      <c r="C1752" s="2" t="s">
        <v>569</v>
      </c>
      <c r="D1752" s="2" t="str">
        <f t="shared" si="26"/>
        <v>Error?</v>
      </c>
    </row>
    <row r="1753" spans="1:5" x14ac:dyDescent="0.2">
      <c r="A1753" s="5">
        <v>1692</v>
      </c>
      <c r="B1753" s="1831">
        <f>'Tax Sched 23'!B12</f>
        <v>20022</v>
      </c>
      <c r="C1753" s="2" t="s">
        <v>569</v>
      </c>
      <c r="D1753" s="2" t="str">
        <f t="shared" si="26"/>
        <v>Error?</v>
      </c>
    </row>
    <row r="1754" spans="1:5" x14ac:dyDescent="0.2">
      <c r="A1754" s="5">
        <v>1693</v>
      </c>
      <c r="B1754" s="1831">
        <f>'Tax Sched 23'!B14</f>
        <v>701679</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5857668</v>
      </c>
      <c r="C1759" s="2" t="s">
        <v>569</v>
      </c>
      <c r="D1759" s="2" t="str">
        <f t="shared" si="26"/>
        <v>Error?</v>
      </c>
    </row>
    <row r="1760" spans="1:5" x14ac:dyDescent="0.2">
      <c r="A1760" s="5">
        <v>1699</v>
      </c>
      <c r="B1760" s="1831">
        <f>'Tax Sched 23'!D4</f>
        <v>3480991</v>
      </c>
      <c r="C1760" s="2" t="s">
        <v>569</v>
      </c>
      <c r="D1760" s="2" t="str">
        <f t="shared" si="26"/>
        <v>Error?</v>
      </c>
    </row>
    <row r="1761" spans="1:7" x14ac:dyDescent="0.2">
      <c r="A1761" s="5">
        <v>1700</v>
      </c>
      <c r="B1761" s="1831">
        <f>'Tax Sched 23'!D5</f>
        <v>650946</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620375</v>
      </c>
      <c r="C1763" s="2" t="s">
        <v>569</v>
      </c>
      <c r="D1763" s="2" t="str">
        <f t="shared" si="26"/>
        <v>Error?</v>
      </c>
    </row>
    <row r="1764" spans="1:7" x14ac:dyDescent="0.2">
      <c r="A1764" s="5">
        <v>1703</v>
      </c>
      <c r="B1764" s="1831">
        <f>'Tax Sched 23'!D8</f>
        <v>145177</v>
      </c>
      <c r="C1764" s="2" t="s">
        <v>569</v>
      </c>
      <c r="D1764" s="2" t="str">
        <f t="shared" si="26"/>
        <v>Error?</v>
      </c>
    </row>
    <row r="1765" spans="1:7" x14ac:dyDescent="0.2">
      <c r="A1765" s="5">
        <v>1704</v>
      </c>
      <c r="B1765" s="1831">
        <f>'Tax Sched 23'!D10</f>
        <v>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93301</v>
      </c>
      <c r="C1768" s="2" t="s">
        <v>569</v>
      </c>
      <c r="D1768" s="2" t="str">
        <f t="shared" si="26"/>
        <v>Error?</v>
      </c>
    </row>
    <row r="1769" spans="1:7" x14ac:dyDescent="0.2">
      <c r="A1769" s="5">
        <v>1708</v>
      </c>
      <c r="B1769" s="1831">
        <f>'Tax Sched 23'!D12</f>
        <v>20022</v>
      </c>
      <c r="C1769" s="2" t="s">
        <v>569</v>
      </c>
      <c r="D1769" s="2" t="str">
        <f t="shared" si="26"/>
        <v>Error?</v>
      </c>
    </row>
    <row r="1770" spans="1:7" x14ac:dyDescent="0.2">
      <c r="A1770" s="5">
        <v>1709</v>
      </c>
      <c r="B1770" s="1831">
        <f>'Tax Sched 23'!D14</f>
        <v>701679</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5857668</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3595466</v>
      </c>
      <c r="C1792" s="2" t="s">
        <v>569</v>
      </c>
      <c r="D1792" s="2" t="str">
        <f t="shared" si="27"/>
        <v>Error?</v>
      </c>
    </row>
    <row r="1793" spans="1:4" x14ac:dyDescent="0.2">
      <c r="A1793" s="5">
        <v>1732</v>
      </c>
      <c r="B1793" s="1831">
        <f>'Tax Sched 23'!F5</f>
        <v>727270</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610876</v>
      </c>
      <c r="C1795" s="2" t="s">
        <v>569</v>
      </c>
      <c r="D1795" s="2" t="str">
        <f t="shared" si="27"/>
        <v>Error?</v>
      </c>
    </row>
    <row r="1796" spans="1:4" x14ac:dyDescent="0.2">
      <c r="A1796" s="5">
        <v>1735</v>
      </c>
      <c r="B1796" s="1831">
        <f>'Tax Sched 23'!F8</f>
        <v>154124</v>
      </c>
      <c r="C1796" s="2" t="s">
        <v>569</v>
      </c>
      <c r="D1796" s="2" t="str">
        <f t="shared" si="27"/>
        <v>Error?</v>
      </c>
    </row>
    <row r="1797" spans="1:4" x14ac:dyDescent="0.2">
      <c r="A1797" s="5">
        <v>1736</v>
      </c>
      <c r="B1797" s="1831">
        <f>'Tax Sched 23'!F10</f>
        <v>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104737</v>
      </c>
      <c r="C1800" s="2" t="s">
        <v>569</v>
      </c>
      <c r="D1800" s="2" t="str">
        <f t="shared" si="27"/>
        <v>Error?</v>
      </c>
    </row>
    <row r="1801" spans="1:4" x14ac:dyDescent="0.2">
      <c r="A1801" s="5">
        <v>1740</v>
      </c>
      <c r="B1801" s="1831">
        <f>'Tax Sched 23'!F12</f>
        <v>26734</v>
      </c>
      <c r="C1801" s="2" t="s">
        <v>569</v>
      </c>
      <c r="D1801" s="2" t="str">
        <f t="shared" si="27"/>
        <v>Error?</v>
      </c>
    </row>
    <row r="1802" spans="1:4" x14ac:dyDescent="0.2">
      <c r="A1802" s="5">
        <v>1741</v>
      </c>
      <c r="B1802" s="1831">
        <f>'Tax Sched 23'!F14</f>
        <v>739659</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6112990</v>
      </c>
      <c r="C1807" s="2" t="s">
        <v>569</v>
      </c>
      <c r="D1807" s="2" t="str">
        <f t="shared" si="27"/>
        <v>Error?</v>
      </c>
    </row>
    <row r="1808" spans="1:4" x14ac:dyDescent="0.2">
      <c r="A1808" s="5">
        <v>1747</v>
      </c>
      <c r="B1808" s="1831">
        <f>'Tax Sched 23'!E4</f>
        <v>3595466</v>
      </c>
      <c r="D1808" s="2" t="str">
        <f t="shared" si="27"/>
        <v>Error?</v>
      </c>
    </row>
    <row r="1809" spans="1:4" x14ac:dyDescent="0.2">
      <c r="A1809" s="5">
        <v>1748</v>
      </c>
      <c r="B1809" s="1831">
        <f>'Tax Sched 23'!E5</f>
        <v>727270</v>
      </c>
      <c r="D1809" s="2" t="str">
        <f t="shared" si="27"/>
        <v>Error?</v>
      </c>
    </row>
    <row r="1810" spans="1:4" x14ac:dyDescent="0.2">
      <c r="A1810" s="5">
        <v>1749</v>
      </c>
      <c r="B1810" s="1831">
        <f>'Tax Sched 23'!E6</f>
        <v>0</v>
      </c>
      <c r="D1810" s="2" t="str">
        <f t="shared" si="27"/>
        <v>Error?</v>
      </c>
    </row>
    <row r="1811" spans="1:4" x14ac:dyDescent="0.2">
      <c r="A1811" s="5">
        <v>1750</v>
      </c>
      <c r="B1811" s="1831">
        <f>'Tax Sched 23'!E7</f>
        <v>610876</v>
      </c>
      <c r="D1811" s="2" t="str">
        <f t="shared" si="27"/>
        <v>Error?</v>
      </c>
    </row>
    <row r="1812" spans="1:4" x14ac:dyDescent="0.2">
      <c r="A1812" s="5">
        <v>1751</v>
      </c>
      <c r="B1812" s="1831">
        <f>'Tax Sched 23'!E8</f>
        <v>154124</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104737</v>
      </c>
      <c r="D1816" s="2" t="str">
        <f t="shared" si="27"/>
        <v>Error?</v>
      </c>
    </row>
    <row r="1817" spans="1:4" x14ac:dyDescent="0.2">
      <c r="A1817" s="5">
        <v>1756</v>
      </c>
      <c r="B1817" s="1831">
        <f>'Tax Sched 23'!E12</f>
        <v>26734</v>
      </c>
      <c r="D1817" s="2" t="str">
        <f t="shared" si="27"/>
        <v>Error?</v>
      </c>
    </row>
    <row r="1818" spans="1:4" x14ac:dyDescent="0.2">
      <c r="A1818" s="5">
        <v>1757</v>
      </c>
      <c r="B1818" s="1831">
        <f>'Tax Sched 23'!E14</f>
        <v>739659</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6112990</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1735000</v>
      </c>
      <c r="C1939" s="2" t="s">
        <v>569</v>
      </c>
      <c r="D1939" s="2" t="str">
        <f t="shared" si="29"/>
        <v>Error?</v>
      </c>
    </row>
    <row r="1940" spans="1:5" x14ac:dyDescent="0.2">
      <c r="A1940" s="5">
        <v>1879</v>
      </c>
      <c r="B1940" s="1831">
        <f>'Short-Term Long-Term Debt 24'!F49</f>
        <v>1500000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700894</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700894</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700894</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70404</v>
      </c>
      <c r="D2008" s="2" t="str">
        <f t="shared" si="30"/>
        <v>Error?</v>
      </c>
    </row>
    <row r="2009" spans="1:4" x14ac:dyDescent="0.2">
      <c r="A2009" s="5">
        <v>1948</v>
      </c>
      <c r="B2009" s="1831">
        <f>'Cap Outlay Deprec 26'!C8</f>
        <v>16158665</v>
      </c>
      <c r="D2009" s="2" t="str">
        <f t="shared" si="30"/>
        <v>Error?</v>
      </c>
    </row>
    <row r="2010" spans="1:4" x14ac:dyDescent="0.2">
      <c r="A2010" s="5">
        <v>1949</v>
      </c>
      <c r="B2010" s="1831">
        <f>'Cap Outlay Deprec 26'!C10</f>
        <v>1581431</v>
      </c>
      <c r="D2010" s="2" t="str">
        <f t="shared" si="30"/>
        <v>Error?</v>
      </c>
    </row>
    <row r="2011" spans="1:4" x14ac:dyDescent="0.2">
      <c r="A2011" s="5">
        <v>1950</v>
      </c>
      <c r="B2011" s="1831">
        <f>'Cap Outlay Deprec 26'!C12</f>
        <v>2779181</v>
      </c>
      <c r="D2011" s="2" t="str">
        <f t="shared" si="30"/>
        <v>Error?</v>
      </c>
    </row>
    <row r="2012" spans="1:4" x14ac:dyDescent="0.2">
      <c r="A2012" s="5">
        <v>1951</v>
      </c>
      <c r="B2012" s="1831">
        <f>'Cap Outlay Deprec 26'!C13</f>
        <v>1325828</v>
      </c>
      <c r="D2012" s="2" t="str">
        <f t="shared" si="30"/>
        <v>Error?</v>
      </c>
    </row>
    <row r="2013" spans="1:4" x14ac:dyDescent="0.2">
      <c r="A2013" s="5">
        <v>1952</v>
      </c>
      <c r="B2013" s="1831">
        <f>'Cap Outlay Deprec 26'!C16</f>
        <v>21915509</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718329</v>
      </c>
      <c r="D2015" s="2" t="str">
        <f t="shared" si="30"/>
        <v>Error?</v>
      </c>
    </row>
    <row r="2016" spans="1:4" x14ac:dyDescent="0.2">
      <c r="A2016" s="5">
        <v>1955</v>
      </c>
      <c r="B2016" s="1831">
        <f>'Cap Outlay Deprec 26'!D10</f>
        <v>1877</v>
      </c>
      <c r="D2016" s="2" t="str">
        <f t="shared" si="30"/>
        <v>Error?</v>
      </c>
    </row>
    <row r="2017" spans="1:4" x14ac:dyDescent="0.2">
      <c r="A2017" s="5">
        <v>1956</v>
      </c>
      <c r="B2017" s="1831">
        <f>'Cap Outlay Deprec 26'!D12</f>
        <v>64851</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804500</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70404</v>
      </c>
      <c r="C2026" s="2" t="s">
        <v>569</v>
      </c>
      <c r="D2026" s="2" t="str">
        <f t="shared" si="30"/>
        <v>Error?</v>
      </c>
    </row>
    <row r="2027" spans="1:4" x14ac:dyDescent="0.2">
      <c r="A2027" s="5">
        <v>1966</v>
      </c>
      <c r="B2027" s="1831">
        <f>'Cap Outlay Deprec 26'!F8</f>
        <v>16876994</v>
      </c>
      <c r="C2027" s="2" t="s">
        <v>569</v>
      </c>
      <c r="D2027" s="2" t="str">
        <f t="shared" si="30"/>
        <v>Error?</v>
      </c>
    </row>
    <row r="2028" spans="1:4" x14ac:dyDescent="0.2">
      <c r="A2028" s="5">
        <v>1967</v>
      </c>
      <c r="B2028" s="1831">
        <f>'Cap Outlay Deprec 26'!F10</f>
        <v>1583308</v>
      </c>
      <c r="C2028" s="2" t="s">
        <v>569</v>
      </c>
      <c r="D2028" s="2" t="str">
        <f t="shared" si="30"/>
        <v>Error?</v>
      </c>
    </row>
    <row r="2029" spans="1:4" x14ac:dyDescent="0.2">
      <c r="A2029" s="5">
        <v>1968</v>
      </c>
      <c r="B2029" s="1831">
        <f>'Cap Outlay Deprec 26'!F12</f>
        <v>2844032</v>
      </c>
      <c r="C2029" s="2" t="s">
        <v>569</v>
      </c>
      <c r="D2029" s="2" t="str">
        <f t="shared" si="30"/>
        <v>Error?</v>
      </c>
    </row>
    <row r="2030" spans="1:4" x14ac:dyDescent="0.2">
      <c r="A2030" s="5">
        <v>1969</v>
      </c>
      <c r="B2030" s="1831">
        <f>'Cap Outlay Deprec 26'!F13</f>
        <v>1325828</v>
      </c>
      <c r="C2030" s="2" t="s">
        <v>569</v>
      </c>
      <c r="D2030" s="2" t="str">
        <f t="shared" si="30"/>
        <v>Error?</v>
      </c>
    </row>
    <row r="2031" spans="1:4" x14ac:dyDescent="0.2">
      <c r="A2031" s="5">
        <v>1970</v>
      </c>
      <c r="B2031" s="1831">
        <f>'Cap Outlay Deprec 26'!F16</f>
        <v>22720009</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7155041</v>
      </c>
      <c r="D2033" s="2" t="str">
        <f t="shared" si="30"/>
        <v>Error?</v>
      </c>
    </row>
    <row r="2034" spans="1:4" x14ac:dyDescent="0.2">
      <c r="A2034" s="5">
        <v>1973</v>
      </c>
      <c r="B2034" s="1831">
        <f>'Cap Outlay Deprec 26'!H10</f>
        <v>825420</v>
      </c>
      <c r="D2034" s="2" t="str">
        <f t="shared" si="30"/>
        <v>Error?</v>
      </c>
    </row>
    <row r="2035" spans="1:4" x14ac:dyDescent="0.2">
      <c r="A2035" s="5">
        <v>1974</v>
      </c>
      <c r="B2035" s="1831">
        <f>'Cap Outlay Deprec 26'!H12</f>
        <v>2520872</v>
      </c>
      <c r="D2035" s="2" t="str">
        <f t="shared" si="30"/>
        <v>Error?</v>
      </c>
    </row>
    <row r="2036" spans="1:4" x14ac:dyDescent="0.2">
      <c r="A2036" s="5">
        <v>1975</v>
      </c>
      <c r="B2036" s="1831">
        <f>'Cap Outlay Deprec 26'!H13</f>
        <v>1283224</v>
      </c>
      <c r="D2036" s="2" t="str">
        <f t="shared" si="30"/>
        <v>Error?</v>
      </c>
    </row>
    <row r="2037" spans="1:4" x14ac:dyDescent="0.2">
      <c r="A2037" s="5">
        <v>1976</v>
      </c>
      <c r="B2037" s="1831">
        <f>'Cap Outlay Deprec 26'!H16</f>
        <v>11784557</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337540</v>
      </c>
      <c r="D2039" s="2" t="str">
        <f t="shared" si="30"/>
        <v>Error?</v>
      </c>
    </row>
    <row r="2040" spans="1:4" x14ac:dyDescent="0.2">
      <c r="A2040" s="5">
        <v>1979</v>
      </c>
      <c r="B2040" s="1831">
        <f>'Cap Outlay Deprec 26'!I10</f>
        <v>64282</v>
      </c>
      <c r="D2040" s="2" t="str">
        <f t="shared" si="30"/>
        <v>Error?</v>
      </c>
    </row>
    <row r="2041" spans="1:4" x14ac:dyDescent="0.2">
      <c r="A2041" s="5">
        <v>1980</v>
      </c>
      <c r="B2041" s="1831">
        <f>'Cap Outlay Deprec 26'!I12</f>
        <v>71317</v>
      </c>
      <c r="D2041" s="2" t="str">
        <f t="shared" si="30"/>
        <v>Error?</v>
      </c>
    </row>
    <row r="2042" spans="1:4" x14ac:dyDescent="0.2">
      <c r="A2042" s="5">
        <v>1981</v>
      </c>
      <c r="B2042" s="1831">
        <f>'Cap Outlay Deprec 26'!I13</f>
        <v>12261</v>
      </c>
      <c r="D2042" s="2" t="str">
        <f t="shared" si="30"/>
        <v>Error?</v>
      </c>
    </row>
    <row r="2043" spans="1:4" x14ac:dyDescent="0.2">
      <c r="A2043" s="5">
        <v>1982</v>
      </c>
      <c r="B2043" s="1831">
        <f>'Cap Outlay Deprec 26'!I16</f>
        <v>491881</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7492581</v>
      </c>
      <c r="C2051" s="2" t="s">
        <v>569</v>
      </c>
      <c r="D2051" s="2" t="str">
        <f t="shared" si="31"/>
        <v>Error?</v>
      </c>
    </row>
    <row r="2052" spans="1:4" x14ac:dyDescent="0.2">
      <c r="A2052" s="5">
        <v>1991</v>
      </c>
      <c r="B2052" s="1831">
        <f>'Cap Outlay Deprec 26'!K10</f>
        <v>889702</v>
      </c>
      <c r="C2052" s="2" t="s">
        <v>569</v>
      </c>
      <c r="D2052" s="2" t="str">
        <f t="shared" si="31"/>
        <v>Error?</v>
      </c>
    </row>
    <row r="2053" spans="1:4" x14ac:dyDescent="0.2">
      <c r="A2053" s="5">
        <v>1992</v>
      </c>
      <c r="B2053" s="1831">
        <f>'Cap Outlay Deprec 26'!K12</f>
        <v>2592189</v>
      </c>
      <c r="C2053" s="2" t="s">
        <v>569</v>
      </c>
      <c r="D2053" s="2" t="str">
        <f t="shared" si="31"/>
        <v>Error?</v>
      </c>
    </row>
    <row r="2054" spans="1:4" x14ac:dyDescent="0.2">
      <c r="A2054" s="5">
        <v>1993</v>
      </c>
      <c r="B2054" s="1831">
        <f>'Cap Outlay Deprec 26'!K13</f>
        <v>1295485</v>
      </c>
      <c r="C2054" s="2" t="s">
        <v>569</v>
      </c>
      <c r="D2054" s="2" t="str">
        <f t="shared" si="31"/>
        <v>Error?</v>
      </c>
    </row>
    <row r="2055" spans="1:4" x14ac:dyDescent="0.2">
      <c r="A2055" s="5">
        <v>1994</v>
      </c>
      <c r="B2055" s="1831">
        <f>'Cap Outlay Deprec 26'!K16</f>
        <v>12276438</v>
      </c>
      <c r="C2055" s="2" t="s">
        <v>569</v>
      </c>
      <c r="D2055" s="2" t="str">
        <f t="shared" si="31"/>
        <v>Error?</v>
      </c>
    </row>
    <row r="2056" spans="1:4" x14ac:dyDescent="0.2">
      <c r="A2056" s="5">
        <v>1995</v>
      </c>
      <c r="B2056" s="1831">
        <f>'Cap Outlay Deprec 26'!L5</f>
        <v>70404</v>
      </c>
      <c r="C2056" s="2" t="s">
        <v>569</v>
      </c>
      <c r="D2056" s="2" t="str">
        <f t="shared" si="31"/>
        <v>Error?</v>
      </c>
    </row>
    <row r="2057" spans="1:4" x14ac:dyDescent="0.2">
      <c r="A2057" s="5">
        <v>1996</v>
      </c>
      <c r="B2057" s="1831">
        <f>'Cap Outlay Deprec 26'!L8</f>
        <v>9384413</v>
      </c>
      <c r="C2057" s="2" t="s">
        <v>569</v>
      </c>
      <c r="D2057" s="2" t="str">
        <f t="shared" si="31"/>
        <v>Error?</v>
      </c>
    </row>
    <row r="2058" spans="1:4" x14ac:dyDescent="0.2">
      <c r="A2058" s="5">
        <v>1997</v>
      </c>
      <c r="B2058" s="1831">
        <f>'Cap Outlay Deprec 26'!L10</f>
        <v>693606</v>
      </c>
      <c r="C2058" s="2" t="s">
        <v>569</v>
      </c>
      <c r="D2058" s="2" t="str">
        <f t="shared" si="31"/>
        <v>Error?</v>
      </c>
    </row>
    <row r="2059" spans="1:4" x14ac:dyDescent="0.2">
      <c r="A2059" s="5">
        <v>1998</v>
      </c>
      <c r="B2059" s="1831">
        <f>'Cap Outlay Deprec 26'!L12</f>
        <v>251843</v>
      </c>
      <c r="C2059" s="2" t="s">
        <v>569</v>
      </c>
      <c r="D2059" s="2" t="str">
        <f t="shared" si="31"/>
        <v>Error?</v>
      </c>
    </row>
    <row r="2060" spans="1:4" x14ac:dyDescent="0.2">
      <c r="A2060" s="5">
        <v>1999</v>
      </c>
      <c r="B2060" s="1831">
        <f>'Cap Outlay Deprec 26'!L13</f>
        <v>30343</v>
      </c>
      <c r="C2060" s="2" t="s">
        <v>569</v>
      </c>
      <c r="D2060" s="2" t="str">
        <f t="shared" si="31"/>
        <v>Error?</v>
      </c>
    </row>
    <row r="2061" spans="1:4" x14ac:dyDescent="0.2">
      <c r="A2061" s="5">
        <v>2000</v>
      </c>
      <c r="B2061" s="1831">
        <f>'Cap Outlay Deprec 26'!L16</f>
        <v>10443571</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713715</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713715</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5197699</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2468017</v>
      </c>
      <c r="C2553" s="2" t="s">
        <v>569</v>
      </c>
      <c r="D2553" s="2" t="str">
        <f t="shared" si="38"/>
        <v>Error?</v>
      </c>
    </row>
    <row r="2554" spans="1:4" x14ac:dyDescent="0.2">
      <c r="A2554" s="5">
        <v>2493</v>
      </c>
      <c r="B2554" s="1831">
        <f>'Acct Summary 7-8'!C7</f>
        <v>339028</v>
      </c>
      <c r="C2554" s="2" t="s">
        <v>569</v>
      </c>
      <c r="D2554" s="2" t="str">
        <f t="shared" si="38"/>
        <v>Error?</v>
      </c>
    </row>
    <row r="2555" spans="1:4" x14ac:dyDescent="0.2">
      <c r="A2555" s="5">
        <v>2494</v>
      </c>
      <c r="B2555" s="1831">
        <f>'Acct Summary 7-8'!C8</f>
        <v>8004744</v>
      </c>
      <c r="C2555" s="2" t="s">
        <v>569</v>
      </c>
      <c r="D2555" s="2" t="str">
        <f t="shared" si="38"/>
        <v>Error?</v>
      </c>
    </row>
    <row r="2556" spans="1:4" x14ac:dyDescent="0.2">
      <c r="A2556" s="5">
        <v>2495</v>
      </c>
      <c r="B2556" s="1831">
        <f>'Acct Summary 7-8'!C12</f>
        <v>4993490</v>
      </c>
      <c r="C2556" s="2" t="s">
        <v>569</v>
      </c>
      <c r="D2556" s="2" t="str">
        <f t="shared" si="38"/>
        <v>Error?</v>
      </c>
    </row>
    <row r="2557" spans="1:4" x14ac:dyDescent="0.2">
      <c r="A2557" s="5">
        <v>2496</v>
      </c>
      <c r="B2557" s="1831">
        <f>'Acct Summary 7-8'!C13</f>
        <v>1783634</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713715</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7490839</v>
      </c>
      <c r="C2561" s="2" t="s">
        <v>569</v>
      </c>
      <c r="D2561" s="2" t="str">
        <f t="shared" si="39"/>
        <v>Error?</v>
      </c>
    </row>
    <row r="2562" spans="1:4" x14ac:dyDescent="0.2">
      <c r="A2562" s="5">
        <v>2501</v>
      </c>
      <c r="B2562" s="1831">
        <f>'Acct Summary 7-8'!C20</f>
        <v>513905</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1252411</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379114</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1631525</v>
      </c>
      <c r="C2568" s="2" t="s">
        <v>569</v>
      </c>
      <c r="D2568" s="2" t="str">
        <f t="shared" si="39"/>
        <v>Error?</v>
      </c>
    </row>
    <row r="2569" spans="1:4" x14ac:dyDescent="0.2">
      <c r="A2569" s="5">
        <v>2508</v>
      </c>
      <c r="B2569" s="1831">
        <f>'Acct Summary 7-8'!D13</f>
        <v>762039</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762039</v>
      </c>
      <c r="C2573" s="2" t="s">
        <v>569</v>
      </c>
      <c r="D2573" s="2" t="str">
        <f t="shared" si="39"/>
        <v>Error?</v>
      </c>
    </row>
    <row r="2574" spans="1:4" x14ac:dyDescent="0.2">
      <c r="A2574" s="5">
        <v>2513</v>
      </c>
      <c r="B2574" s="1831">
        <f>'Acct Summary 7-8'!D20</f>
        <v>869486</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620604</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290618</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911222</v>
      </c>
      <c r="C2595" s="2" t="s">
        <v>569</v>
      </c>
      <c r="D2595" s="2" t="str">
        <f t="shared" si="39"/>
        <v>Error?</v>
      </c>
    </row>
    <row r="2596" spans="1:4" x14ac:dyDescent="0.2">
      <c r="A2596" s="5">
        <v>2535</v>
      </c>
      <c r="B2596" s="1831">
        <f>'Acct Summary 7-8'!F13</f>
        <v>565466</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565466</v>
      </c>
      <c r="C2600" s="2" t="s">
        <v>569</v>
      </c>
      <c r="D2600" s="2" t="str">
        <f t="shared" si="39"/>
        <v>Error?</v>
      </c>
    </row>
    <row r="2601" spans="1:4" x14ac:dyDescent="0.2">
      <c r="A2601" s="5">
        <v>2540</v>
      </c>
      <c r="B2601" s="1831">
        <f>'Acct Summary 7-8'!F20</f>
        <v>345756</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290461</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290461</v>
      </c>
      <c r="C2606" s="2" t="s">
        <v>569</v>
      </c>
      <c r="D2606" s="2" t="str">
        <f t="shared" si="39"/>
        <v>Error?</v>
      </c>
    </row>
    <row r="2607" spans="1:4" x14ac:dyDescent="0.2">
      <c r="A2607" s="5">
        <v>2546</v>
      </c>
      <c r="B2607" s="1831">
        <f>'Acct Summary 7-8'!G12</f>
        <v>133659</v>
      </c>
      <c r="C2607" s="2" t="s">
        <v>569</v>
      </c>
      <c r="D2607" s="2" t="str">
        <f t="shared" si="39"/>
        <v>Error?</v>
      </c>
    </row>
    <row r="2608" spans="1:4" x14ac:dyDescent="0.2">
      <c r="A2608" s="5">
        <v>2547</v>
      </c>
      <c r="B2608" s="1831">
        <f>'Acct Summary 7-8'!G13</f>
        <v>163080</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296739</v>
      </c>
      <c r="C2612" s="2" t="s">
        <v>569</v>
      </c>
      <c r="D2612" s="2" t="str">
        <f t="shared" si="39"/>
        <v>Error?</v>
      </c>
    </row>
    <row r="2613" spans="1:4" x14ac:dyDescent="0.2">
      <c r="A2613" s="5">
        <v>2552</v>
      </c>
      <c r="B2613" s="1831">
        <f>'Acct Summary 7-8'!G20</f>
        <v>-6278</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0</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0</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603625</v>
      </c>
      <c r="C2634" s="2" t="s">
        <v>569</v>
      </c>
      <c r="D2634" s="2" t="str">
        <f t="shared" si="40"/>
        <v>Error?</v>
      </c>
    </row>
    <row r="2635" spans="1:4" x14ac:dyDescent="0.2">
      <c r="A2635" s="5">
        <v>2574</v>
      </c>
      <c r="B2635" s="1831">
        <f>'Acct Summary 7-8'!E17</f>
        <v>603625</v>
      </c>
      <c r="C2635" s="2" t="s">
        <v>569</v>
      </c>
      <c r="D2635" s="2" t="str">
        <f t="shared" si="40"/>
        <v>Error?</v>
      </c>
    </row>
    <row r="2636" spans="1:4" x14ac:dyDescent="0.2">
      <c r="A2636" s="5">
        <v>2575</v>
      </c>
      <c r="B2636" s="1831">
        <f>'Acct Summary 7-8'!E20</f>
        <v>-603625</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381119</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381119</v>
      </c>
      <c r="C2658" s="2" t="s">
        <v>569</v>
      </c>
      <c r="D2658" s="2" t="str">
        <f t="shared" si="40"/>
        <v>Error?</v>
      </c>
    </row>
    <row r="2659" spans="1:4" x14ac:dyDescent="0.2">
      <c r="A2659" s="5">
        <v>2598</v>
      </c>
      <c r="B2659" s="1831">
        <f>'Acct Summary 7-8'!H13</f>
        <v>1233280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1233280</v>
      </c>
      <c r="C2661" s="2" t="s">
        <v>569</v>
      </c>
      <c r="D2661" s="2" t="str">
        <f t="shared" si="40"/>
        <v>Error?</v>
      </c>
    </row>
    <row r="2662" spans="1:4" x14ac:dyDescent="0.2">
      <c r="A2662" s="5">
        <v>2601</v>
      </c>
      <c r="B2662" s="1831">
        <f>'Acct Summary 7-8'!H20</f>
        <v>-852161</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2000</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92464</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82137</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504761</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92464</v>
      </c>
      <c r="D2912" s="2" t="str">
        <f t="shared" si="44"/>
        <v>Error?</v>
      </c>
    </row>
    <row r="2913" spans="1:4" x14ac:dyDescent="0.2">
      <c r="A2913" s="5">
        <v>2852</v>
      </c>
      <c r="B2913" s="1831">
        <f>'Assets-Liab 5-6'!I41</f>
        <v>92464</v>
      </c>
      <c r="C2913" s="2" t="s">
        <v>569</v>
      </c>
      <c r="D2913" s="2" t="str">
        <f t="shared" si="44"/>
        <v>Error?</v>
      </c>
    </row>
    <row r="2914" spans="1:4" x14ac:dyDescent="0.2">
      <c r="A2914" s="5">
        <v>2853</v>
      </c>
      <c r="B2914" s="1831">
        <f>'Assets-Liab 5-6'!L33</f>
        <v>504761</v>
      </c>
      <c r="D2914" s="2" t="str">
        <f t="shared" si="44"/>
        <v>Error?</v>
      </c>
    </row>
    <row r="2915" spans="1:4" x14ac:dyDescent="0.2">
      <c r="A2915" s="10">
        <v>2854</v>
      </c>
      <c r="B2915" s="1831"/>
      <c r="D2915" s="2" t="str">
        <f t="shared" si="44"/>
        <v>OK</v>
      </c>
    </row>
    <row r="2916" spans="1:4" x14ac:dyDescent="0.2">
      <c r="A2916" s="5">
        <v>2855</v>
      </c>
      <c r="B2916" s="1831">
        <f>'Assets-Liab 5-6'!L34</f>
        <v>504761</v>
      </c>
      <c r="C2916" s="2" t="s">
        <v>569</v>
      </c>
      <c r="D2916" s="2" t="str">
        <f t="shared" si="44"/>
        <v>Error?</v>
      </c>
    </row>
    <row r="2917" spans="1:4" x14ac:dyDescent="0.2">
      <c r="A2917" s="5">
        <v>2856</v>
      </c>
      <c r="B2917" s="1831">
        <f>'Assets-Liab 5-6'!L41</f>
        <v>504761</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336364</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377351</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336364</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377351</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2000</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96493</v>
      </c>
      <c r="D3055" s="2" t="str">
        <f t="shared" si="46"/>
        <v>Error?</v>
      </c>
    </row>
    <row r="3056" spans="1:4" x14ac:dyDescent="0.2">
      <c r="A3056" s="5">
        <v>2995</v>
      </c>
      <c r="B3056" s="1831">
        <f>'Expenditures 15-22'!D10</f>
        <v>17110</v>
      </c>
      <c r="D3056" s="2" t="str">
        <f t="shared" si="46"/>
        <v>Error?</v>
      </c>
    </row>
    <row r="3057" spans="1:4" x14ac:dyDescent="0.2">
      <c r="A3057" s="5">
        <v>2996</v>
      </c>
      <c r="B3057" s="1831">
        <f>'Expenditures 15-22'!E10</f>
        <v>8250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121853</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18015</v>
      </c>
      <c r="D3064" s="2" t="str">
        <f t="shared" si="46"/>
        <v>Error?</v>
      </c>
    </row>
    <row r="3065" spans="1:4" x14ac:dyDescent="0.2">
      <c r="A3065" s="5">
        <v>3004</v>
      </c>
      <c r="B3065" s="1831">
        <f>'Expenditures 15-22'!K219</f>
        <v>18015</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0</v>
      </c>
      <c r="C3225" s="2" t="s">
        <v>569</v>
      </c>
      <c r="D3225" s="2" t="str">
        <f t="shared" si="49"/>
        <v>Error?</v>
      </c>
    </row>
    <row r="3226" spans="1:4" x14ac:dyDescent="0.2">
      <c r="A3226" s="5">
        <v>3165</v>
      </c>
      <c r="B3226" s="1831">
        <f>'Acct Summary 7-8'!I8</f>
        <v>0</v>
      </c>
      <c r="C3226" s="2" t="s">
        <v>569</v>
      </c>
      <c r="D3226" s="2" t="str">
        <f t="shared" si="49"/>
        <v>Error?</v>
      </c>
    </row>
    <row r="3227" spans="1:4" x14ac:dyDescent="0.2">
      <c r="A3227" s="5">
        <v>3166</v>
      </c>
      <c r="B3227" s="1831">
        <f>'Acct Summary 7-8'!I20</f>
        <v>0</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513905</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592000</v>
      </c>
      <c r="D3236" s="2" t="str">
        <f t="shared" si="49"/>
        <v>Error?</v>
      </c>
    </row>
    <row r="3237" spans="1:4" x14ac:dyDescent="0.2">
      <c r="A3237" s="5">
        <v>3176</v>
      </c>
      <c r="B3237" s="1831">
        <f>'Acct Summary 7-8'!D76</f>
        <v>592000</v>
      </c>
      <c r="C3237" s="2" t="s">
        <v>569</v>
      </c>
      <c r="D3237" s="2" t="str">
        <f t="shared" si="49"/>
        <v>Error?</v>
      </c>
    </row>
    <row r="3238" spans="1:4" x14ac:dyDescent="0.2">
      <c r="A3238" s="5">
        <v>3177</v>
      </c>
      <c r="B3238" s="1831">
        <f>'Acct Summary 7-8'!D77</f>
        <v>-592000</v>
      </c>
      <c r="C3238" s="2" t="s">
        <v>569</v>
      </c>
      <c r="D3238" s="2" t="str">
        <f t="shared" si="49"/>
        <v>Error?</v>
      </c>
    </row>
    <row r="3239" spans="1:4" x14ac:dyDescent="0.2">
      <c r="A3239" s="5">
        <v>3178</v>
      </c>
      <c r="B3239" s="1831">
        <f>'Acct Summary 7-8'!D78</f>
        <v>277486</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345756</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-6278</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592000</v>
      </c>
      <c r="D3273" s="2" t="str">
        <f t="shared" si="50"/>
        <v>Error?</v>
      </c>
    </row>
    <row r="3274" spans="1:4" x14ac:dyDescent="0.2">
      <c r="A3274" s="5">
        <v>3213</v>
      </c>
      <c r="B3274" s="1831">
        <f>'Acct Summary 7-8'!E44</f>
        <v>592000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592000</v>
      </c>
      <c r="C3277" s="2" t="s">
        <v>569</v>
      </c>
      <c r="D3277" s="2" t="str">
        <f t="shared" si="50"/>
        <v>Error?</v>
      </c>
    </row>
    <row r="3278" spans="1:4" x14ac:dyDescent="0.2">
      <c r="A3278" s="5">
        <v>3217</v>
      </c>
      <c r="B3278" s="1831">
        <f>'Acct Summary 7-8'!E78</f>
        <v>-11625</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1500821</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1500821</v>
      </c>
      <c r="C3299" s="2" t="s">
        <v>569</v>
      </c>
      <c r="D3299" s="2" t="str">
        <f t="shared" si="50"/>
        <v>Error?</v>
      </c>
    </row>
    <row r="3300" spans="1:4" x14ac:dyDescent="0.2">
      <c r="A3300" s="5">
        <v>3239</v>
      </c>
      <c r="B3300" s="1831">
        <f>'Acct Summary 7-8'!H78</f>
        <v>648660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0</v>
      </c>
      <c r="C3320" s="2" t="s">
        <v>569</v>
      </c>
      <c r="D3320" s="2" t="str">
        <f t="shared" si="50"/>
        <v>Error?</v>
      </c>
    </row>
    <row r="3321" spans="1:4" x14ac:dyDescent="0.2">
      <c r="A3321" s="5">
        <v>3260</v>
      </c>
      <c r="B3321" s="1831">
        <f>'Acct Summary 7-8'!I79</f>
        <v>92464</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92464</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1043229</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132051</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129</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8091</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1258</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1184758</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29099</v>
      </c>
      <c r="D3387" s="2" t="str">
        <f t="shared" si="51"/>
        <v>Error?</v>
      </c>
    </row>
    <row r="3388" spans="1:4" x14ac:dyDescent="0.2">
      <c r="A3388" s="5">
        <v>3327</v>
      </c>
      <c r="B3388" s="1831">
        <f>'Expenditures 15-22'!D217</f>
        <v>54419</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29099</v>
      </c>
      <c r="C3390" s="2" t="s">
        <v>569</v>
      </c>
      <c r="D3390" s="2" t="str">
        <f t="shared" si="51"/>
        <v>Error?</v>
      </c>
    </row>
    <row r="3391" spans="1:4" x14ac:dyDescent="0.2">
      <c r="A3391" s="5">
        <v>3330</v>
      </c>
      <c r="B3391" s="1831">
        <f>'Expenditures 15-22'!K217</f>
        <v>54419</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2531</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531708</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5036</v>
      </c>
      <c r="D3417" s="2" t="str">
        <f t="shared" si="52"/>
        <v>Error?</v>
      </c>
    </row>
    <row r="3418" spans="1:4" x14ac:dyDescent="0.2">
      <c r="A3418" s="10">
        <v>3357</v>
      </c>
      <c r="B3418" s="1831"/>
      <c r="D3418" s="2" t="str">
        <f t="shared" si="52"/>
        <v>OK</v>
      </c>
    </row>
    <row r="3419" spans="1:4" x14ac:dyDescent="0.2">
      <c r="A3419" s="5">
        <v>3358</v>
      </c>
      <c r="B3419" s="1831">
        <f>'Assets-Liab 5-6'!F4</f>
        <v>1332550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33230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638317</v>
      </c>
      <c r="D3425" s="2" t="str">
        <f t="shared" si="52"/>
        <v>Error?</v>
      </c>
    </row>
    <row r="3426" spans="1:4" x14ac:dyDescent="0.2">
      <c r="A3426" s="10">
        <v>3365</v>
      </c>
      <c r="B3426" s="1831"/>
      <c r="D3426" s="2" t="str">
        <f t="shared" si="52"/>
        <v>OK</v>
      </c>
    </row>
    <row r="3427" spans="1:4" x14ac:dyDescent="0.2">
      <c r="A3427" s="5">
        <v>3366</v>
      </c>
      <c r="B3427" s="1831">
        <f>'Assets-Liab 5-6'!I4</f>
        <v>92464</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422624</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145177</v>
      </c>
      <c r="C3446" s="2" t="s">
        <v>569</v>
      </c>
      <c r="D3446" s="2" t="str">
        <f t="shared" si="52"/>
        <v>Error?</v>
      </c>
    </row>
    <row r="3447" spans="1:4" x14ac:dyDescent="0.2">
      <c r="A3447" s="5">
        <v>3386</v>
      </c>
      <c r="B3447" s="1831">
        <f>'Tax Sched 23'!D16</f>
        <v>145177</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154124</v>
      </c>
      <c r="C3449" s="2" t="s">
        <v>569</v>
      </c>
      <c r="D3449" s="2" t="str">
        <f t="shared" si="52"/>
        <v>Error?</v>
      </c>
    </row>
    <row r="3450" spans="1:4" x14ac:dyDescent="0.2">
      <c r="A3450" s="5">
        <v>3389</v>
      </c>
      <c r="B3450" s="1831">
        <f>'Tax Sched 23'!E16</f>
        <v>154124</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2000</v>
      </c>
      <c r="E3521" s="4" t="s">
        <v>134</v>
      </c>
    </row>
    <row r="3522" spans="1:5" x14ac:dyDescent="0.2">
      <c r="A3522" s="10">
        <v>3461</v>
      </c>
      <c r="B3522" s="1831"/>
      <c r="D3522" s="4" t="s">
        <v>2000</v>
      </c>
      <c r="E3522" s="4" t="s">
        <v>134</v>
      </c>
    </row>
    <row r="3523" spans="1:5" x14ac:dyDescent="0.2">
      <c r="A3523" s="10">
        <v>3462</v>
      </c>
      <c r="B3523" s="1831"/>
      <c r="D3523" s="4" t="s">
        <v>2000</v>
      </c>
      <c r="E3523" s="4" t="s">
        <v>134</v>
      </c>
    </row>
    <row r="3524" spans="1:5" x14ac:dyDescent="0.2">
      <c r="A3524" s="10">
        <v>3463</v>
      </c>
      <c r="B3524" s="1831"/>
      <c r="D3524" s="4" t="s">
        <v>2000</v>
      </c>
      <c r="E3524" s="4" t="s">
        <v>134</v>
      </c>
    </row>
    <row r="3525" spans="1:5" x14ac:dyDescent="0.2">
      <c r="A3525" s="10">
        <v>3464</v>
      </c>
      <c r="B3525" s="1831"/>
      <c r="D3525" s="4" t="s">
        <v>2000</v>
      </c>
      <c r="E3525" s="4" t="s">
        <v>134</v>
      </c>
    </row>
    <row r="3526" spans="1:5" x14ac:dyDescent="0.2">
      <c r="A3526" s="10">
        <v>3465</v>
      </c>
      <c r="B3526" s="1831"/>
      <c r="D3526" s="4" t="s">
        <v>2000</v>
      </c>
      <c r="E3526" s="4" t="s">
        <v>134</v>
      </c>
    </row>
    <row r="3527" spans="1:5" x14ac:dyDescent="0.2">
      <c r="A3527" s="10">
        <v>3466</v>
      </c>
      <c r="B3527" s="1831"/>
      <c r="D3527" s="4" t="s">
        <v>2000</v>
      </c>
      <c r="E3527" s="4" t="s">
        <v>134</v>
      </c>
    </row>
    <row r="3528" spans="1:5" x14ac:dyDescent="0.2">
      <c r="A3528" s="10">
        <v>3467</v>
      </c>
      <c r="B3528" s="1831"/>
      <c r="D3528" s="4" t="s">
        <v>2000</v>
      </c>
      <c r="E3528" s="4" t="s">
        <v>134</v>
      </c>
    </row>
    <row r="3529" spans="1:5" x14ac:dyDescent="0.2">
      <c r="A3529" s="10">
        <v>3468</v>
      </c>
      <c r="B3529" s="1831"/>
      <c r="D3529" s="4" t="s">
        <v>2000</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115669</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115669</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115669</v>
      </c>
      <c r="D3567" s="2" t="str">
        <f t="shared" si="54"/>
        <v>Error?</v>
      </c>
    </row>
    <row r="3568" spans="1:4" x14ac:dyDescent="0.2">
      <c r="A3568" s="5">
        <v>3507</v>
      </c>
      <c r="B3568" s="1831">
        <f>'Assets-Liab 5-6'!K41</f>
        <v>115669</v>
      </c>
      <c r="C3568" s="2" t="s">
        <v>569</v>
      </c>
      <c r="D3568" s="2" t="str">
        <f t="shared" si="54"/>
        <v>Error?</v>
      </c>
    </row>
    <row r="3569" spans="1:4" x14ac:dyDescent="0.2">
      <c r="A3569" s="5">
        <v>3508</v>
      </c>
      <c r="B3569" s="1831">
        <f>'Acct Summary 7-8'!K4</f>
        <v>20029</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20029</v>
      </c>
      <c r="C3571" s="2" t="s">
        <v>569</v>
      </c>
      <c r="D3571" s="2" t="str">
        <f t="shared" si="54"/>
        <v>Error?</v>
      </c>
    </row>
    <row r="3572" spans="1:4" x14ac:dyDescent="0.2">
      <c r="A3572" s="5">
        <v>3511</v>
      </c>
      <c r="B3572" s="1831">
        <f>'Acct Summary 7-8'!K13</f>
        <v>9425</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9425</v>
      </c>
      <c r="C3575" s="2" t="s">
        <v>569</v>
      </c>
      <c r="D3575" s="2" t="str">
        <f t="shared" si="54"/>
        <v>Error?</v>
      </c>
    </row>
    <row r="3576" spans="1:4" x14ac:dyDescent="0.2">
      <c r="A3576" s="5">
        <v>3515</v>
      </c>
      <c r="B3576" s="1831">
        <f>'Acct Summary 7-8'!K20</f>
        <v>10604</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10604</v>
      </c>
      <c r="C3588" s="2" t="s">
        <v>569</v>
      </c>
      <c r="D3588" s="2" t="str">
        <f t="shared" si="55"/>
        <v>Error?</v>
      </c>
    </row>
    <row r="3589" spans="1:4" x14ac:dyDescent="0.2">
      <c r="A3589" s="5">
        <v>3528</v>
      </c>
      <c r="B3589" s="1831">
        <f>'Acct Summary 7-8'!K79</f>
        <v>105065</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115669</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2974</v>
      </c>
      <c r="D3632" s="2" t="str">
        <f t="shared" si="55"/>
        <v>Error?</v>
      </c>
    </row>
    <row r="3633" spans="1:4" x14ac:dyDescent="0.2">
      <c r="A3633" s="5">
        <v>3572</v>
      </c>
      <c r="B3633" s="1831">
        <f>'Expenditures 15-22'!E350</f>
        <v>2974</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2974</v>
      </c>
      <c r="C3635" s="2" t="s">
        <v>569</v>
      </c>
      <c r="D3635" s="2" t="str">
        <f t="shared" si="55"/>
        <v>Error?</v>
      </c>
    </row>
    <row r="3636" spans="1:4" x14ac:dyDescent="0.2">
      <c r="A3636" s="5">
        <v>3575</v>
      </c>
      <c r="B3636" s="1831">
        <f>'Expenditures 15-22'!E367</f>
        <v>2974</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6451</v>
      </c>
      <c r="D3646" s="2" t="str">
        <f t="shared" si="55"/>
        <v>Error?</v>
      </c>
    </row>
    <row r="3647" spans="1:4" x14ac:dyDescent="0.2">
      <c r="A3647" s="5">
        <v>3586</v>
      </c>
      <c r="B3647" s="1831">
        <f>'Expenditures 15-22'!G350</f>
        <v>6451</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6451</v>
      </c>
      <c r="C3649" s="2" t="s">
        <v>569</v>
      </c>
      <c r="D3649" s="2" t="str">
        <f t="shared" si="56"/>
        <v>Error?</v>
      </c>
    </row>
    <row r="3650" spans="1:4" x14ac:dyDescent="0.2">
      <c r="A3650" s="5">
        <v>3589</v>
      </c>
      <c r="B3650" s="1831">
        <f>'Expenditures 15-22'!G367</f>
        <v>6451</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9425</v>
      </c>
      <c r="C3669" s="2" t="s">
        <v>569</v>
      </c>
      <c r="D3669" s="2" t="str">
        <f t="shared" si="56"/>
        <v>Error?</v>
      </c>
    </row>
    <row r="3670" spans="1:4" x14ac:dyDescent="0.2">
      <c r="A3670" s="5">
        <v>3609</v>
      </c>
      <c r="B3670" s="1831">
        <f>'Expenditures 15-22'!K350</f>
        <v>9425</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9425</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9425</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10604</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3820832</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11825576</v>
      </c>
      <c r="C4122" s="2" t="s">
        <v>569</v>
      </c>
      <c r="D4122" s="2" t="str">
        <f t="shared" si="63"/>
        <v>Error?</v>
      </c>
    </row>
    <row r="4123" spans="1:4" x14ac:dyDescent="0.2">
      <c r="A4123" s="5">
        <v>4062</v>
      </c>
      <c r="B4123" s="1831">
        <f>'Acct Summary 7-8'!D10</f>
        <v>1631525</v>
      </c>
      <c r="C4123" s="2" t="s">
        <v>569</v>
      </c>
      <c r="D4123" s="2" t="str">
        <f t="shared" si="63"/>
        <v>Error?</v>
      </c>
    </row>
    <row r="4124" spans="1:4" x14ac:dyDescent="0.2">
      <c r="A4124" s="5">
        <v>4063</v>
      </c>
      <c r="B4124" s="1831">
        <f>'Acct Summary 7-8'!E10</f>
        <v>0</v>
      </c>
      <c r="C4124" s="2" t="s">
        <v>569</v>
      </c>
      <c r="D4124" s="2" t="str">
        <f t="shared" si="63"/>
        <v>Error?</v>
      </c>
    </row>
    <row r="4125" spans="1:4" x14ac:dyDescent="0.2">
      <c r="A4125" s="5">
        <v>4064</v>
      </c>
      <c r="B4125" s="1831">
        <f>'Acct Summary 7-8'!F10</f>
        <v>911222</v>
      </c>
      <c r="C4125" s="2" t="s">
        <v>569</v>
      </c>
      <c r="D4125" s="2" t="str">
        <f t="shared" si="63"/>
        <v>Error?</v>
      </c>
    </row>
    <row r="4126" spans="1:4" x14ac:dyDescent="0.2">
      <c r="A4126" s="5">
        <v>4065</v>
      </c>
      <c r="B4126" s="1831">
        <f>'Acct Summary 7-8'!G10</f>
        <v>290461</v>
      </c>
      <c r="C4126" s="2" t="s">
        <v>569</v>
      </c>
      <c r="D4126" s="2" t="str">
        <f t="shared" si="63"/>
        <v>Error?</v>
      </c>
    </row>
    <row r="4127" spans="1:4" x14ac:dyDescent="0.2">
      <c r="A4127" s="5">
        <v>4066</v>
      </c>
      <c r="B4127" s="1831">
        <f>'Acct Summary 7-8'!H10</f>
        <v>381119</v>
      </c>
      <c r="C4127" s="2" t="s">
        <v>569</v>
      </c>
      <c r="D4127" s="2" t="str">
        <f t="shared" si="63"/>
        <v>Error?</v>
      </c>
    </row>
    <row r="4128" spans="1:4" x14ac:dyDescent="0.2">
      <c r="A4128" s="5">
        <v>4067</v>
      </c>
      <c r="B4128" s="1831">
        <f>'Acct Summary 7-8'!I10</f>
        <v>0</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20029</v>
      </c>
      <c r="C4130" s="2" t="s">
        <v>569</v>
      </c>
      <c r="D4130" s="2" t="str">
        <f t="shared" si="63"/>
        <v>Error?</v>
      </c>
    </row>
    <row r="4131" spans="1:4" x14ac:dyDescent="0.2">
      <c r="A4131" s="5">
        <v>4070</v>
      </c>
      <c r="B4131" s="1831">
        <f>'Acct Summary 7-8'!C18</f>
        <v>3820832</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11311671</v>
      </c>
      <c r="C4136" s="2" t="s">
        <v>569</v>
      </c>
      <c r="D4136" s="2" t="str">
        <f t="shared" si="63"/>
        <v>Error?</v>
      </c>
    </row>
    <row r="4137" spans="1:4" x14ac:dyDescent="0.2">
      <c r="A4137" s="5">
        <v>4076</v>
      </c>
      <c r="B4137" s="1831">
        <f>'Acct Summary 7-8'!D19</f>
        <v>762039</v>
      </c>
      <c r="C4137" s="2" t="s">
        <v>569</v>
      </c>
      <c r="D4137" s="2" t="str">
        <f t="shared" si="63"/>
        <v>Error?</v>
      </c>
    </row>
    <row r="4138" spans="1:4" x14ac:dyDescent="0.2">
      <c r="A4138" s="5">
        <v>4077</v>
      </c>
      <c r="B4138" s="1831">
        <f>'Acct Summary 7-8'!E19</f>
        <v>603625</v>
      </c>
      <c r="C4138" s="2" t="s">
        <v>569</v>
      </c>
      <c r="D4138" s="2" t="str">
        <f t="shared" si="63"/>
        <v>Error?</v>
      </c>
    </row>
    <row r="4139" spans="1:4" x14ac:dyDescent="0.2">
      <c r="A4139" s="5">
        <v>4078</v>
      </c>
      <c r="B4139" s="1831">
        <f>'Acct Summary 7-8'!F19</f>
        <v>565466</v>
      </c>
      <c r="C4139" s="2" t="s">
        <v>569</v>
      </c>
      <c r="D4139" s="2" t="str">
        <f t="shared" si="63"/>
        <v>Error?</v>
      </c>
    </row>
    <row r="4140" spans="1:4" x14ac:dyDescent="0.2">
      <c r="A4140" s="5">
        <v>4079</v>
      </c>
      <c r="B4140" s="1831">
        <f>'Acct Summary 7-8'!G19</f>
        <v>296739</v>
      </c>
      <c r="C4140" s="2" t="s">
        <v>569</v>
      </c>
      <c r="D4140" s="2" t="str">
        <f t="shared" si="63"/>
        <v>Error?</v>
      </c>
    </row>
    <row r="4141" spans="1:4" x14ac:dyDescent="0.2">
      <c r="A4141" s="5">
        <v>4080</v>
      </c>
      <c r="B4141" s="1831">
        <f>'Acct Summary 7-8'!H19</f>
        <v>1233280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9425</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2675000</v>
      </c>
      <c r="C4171" s="2" t="s">
        <v>569</v>
      </c>
      <c r="D4171" s="2" t="str">
        <f t="shared" si="64"/>
        <v>Error?</v>
      </c>
    </row>
    <row r="4172" spans="1:4" x14ac:dyDescent="0.2">
      <c r="A4172" s="5">
        <v>4111</v>
      </c>
      <c r="B4172" s="1831">
        <f>'Short-Term Long-Term Debt 24'!J49</f>
        <v>2669964</v>
      </c>
      <c r="C4172" s="2" t="s">
        <v>569</v>
      </c>
      <c r="D4172" s="2" t="str">
        <f t="shared" si="64"/>
        <v>Error?</v>
      </c>
    </row>
    <row r="4173" spans="1:4" x14ac:dyDescent="0.2">
      <c r="A4173" s="5">
        <v>4112</v>
      </c>
      <c r="B4173" s="1831">
        <f>'Short-Term Long-Term Debt 24'!H49</f>
        <v>560000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1902</v>
      </c>
    </row>
    <row r="4236" spans="1:5" x14ac:dyDescent="0.2">
      <c r="A4236" s="10">
        <v>4175</v>
      </c>
      <c r="B4236" s="1831"/>
      <c r="D4236" s="2" t="str">
        <f t="shared" si="65"/>
        <v>OK</v>
      </c>
      <c r="E4236" s="4" t="s">
        <v>1902</v>
      </c>
    </row>
    <row r="4237" spans="1:5" x14ac:dyDescent="0.2">
      <c r="A4237" s="10">
        <v>4176</v>
      </c>
      <c r="B4237" s="1831"/>
      <c r="D4237" s="2" t="str">
        <f t="shared" si="65"/>
        <v>OK</v>
      </c>
      <c r="E4237" s="4" t="s">
        <v>1902</v>
      </c>
    </row>
    <row r="4238" spans="1:5" x14ac:dyDescent="0.2">
      <c r="A4238" s="10">
        <v>4177</v>
      </c>
      <c r="B4238" s="1831"/>
      <c r="D4238" s="2" t="str">
        <f t="shared" si="65"/>
        <v>OK</v>
      </c>
      <c r="E4238" s="4" t="s">
        <v>1902</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1471.32</v>
      </c>
      <c r="C4265" s="2" t="s">
        <v>569</v>
      </c>
      <c r="D4265" s="2" t="str">
        <f t="shared" si="65"/>
        <v>Error?</v>
      </c>
      <c r="E4265" s="125"/>
    </row>
    <row r="4266" spans="1:5" x14ac:dyDescent="0.2">
      <c r="A4266" s="12">
        <v>4205</v>
      </c>
      <c r="B4266" s="1831">
        <f>('FP Info 3'!F10)*100000</f>
        <v>297.61</v>
      </c>
      <c r="C4266" s="2" t="s">
        <v>569</v>
      </c>
      <c r="D4266" s="2" t="str">
        <f t="shared" si="65"/>
        <v>Error?</v>
      </c>
      <c r="E4266" s="125"/>
    </row>
    <row r="4267" spans="1:5" x14ac:dyDescent="0.2">
      <c r="A4267" s="12">
        <v>4206</v>
      </c>
      <c r="B4267" s="1831">
        <f>('FP Info 3'!H10)*100000</f>
        <v>249.98</v>
      </c>
      <c r="C4267" s="2" t="s">
        <v>569</v>
      </c>
      <c r="D4267" s="2" t="str">
        <f t="shared" si="65"/>
        <v>Error?</v>
      </c>
      <c r="E4267" s="125"/>
    </row>
    <row r="4268" spans="1:5" x14ac:dyDescent="0.2">
      <c r="A4268" s="12">
        <v>4207</v>
      </c>
      <c r="B4268" s="1831">
        <f>('FP Info 3'!J10)*100000</f>
        <v>2019</v>
      </c>
      <c r="C4268" s="2" t="s">
        <v>569</v>
      </c>
      <c r="D4268" s="2" t="str">
        <f t="shared" si="65"/>
        <v>Error?</v>
      </c>
    </row>
    <row r="4269" spans="1:5" x14ac:dyDescent="0.2">
      <c r="A4269" s="12">
        <v>4208</v>
      </c>
      <c r="B4269" s="1831">
        <f>'FP Info 3'!J16</f>
        <v>4014353</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1824</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1902</v>
      </c>
    </row>
    <row r="4400" spans="1:5" x14ac:dyDescent="0.2">
      <c r="A4400" s="10">
        <v>4339</v>
      </c>
      <c r="B4400" s="1831"/>
      <c r="D4400" s="2" t="str">
        <f t="shared" si="67"/>
        <v>OK</v>
      </c>
      <c r="E4400" s="4" t="s">
        <v>1902</v>
      </c>
    </row>
    <row r="4401" spans="1:5" x14ac:dyDescent="0.2">
      <c r="A4401" s="10">
        <v>4340</v>
      </c>
      <c r="B4401" s="1831"/>
      <c r="D4401" s="2" t="str">
        <f t="shared" si="67"/>
        <v>OK</v>
      </c>
      <c r="E4401" s="4" t="s">
        <v>1902</v>
      </c>
    </row>
    <row r="4402" spans="1:5" x14ac:dyDescent="0.2">
      <c r="A4402" s="10">
        <v>4341</v>
      </c>
      <c r="B4402" s="1831"/>
      <c r="D4402" s="2" t="str">
        <f t="shared" si="67"/>
        <v>OK</v>
      </c>
      <c r="E4402" s="4" t="s">
        <v>1902</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31774</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27429</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1500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54114</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244370044</v>
      </c>
      <c r="D4995" s="2" t="str">
        <f t="shared" si="77"/>
        <v>Error?</v>
      </c>
    </row>
    <row r="4996" spans="1:4" x14ac:dyDescent="0.2">
      <c r="A4996" s="12">
        <v>4935</v>
      </c>
      <c r="B4996" s="1831">
        <f>'FP Info 3'!H31</f>
        <v>16861533.036000002</v>
      </c>
      <c r="D4996" s="2" t="str">
        <f t="shared" si="77"/>
        <v>Error?</v>
      </c>
    </row>
    <row r="4997" spans="1:4" x14ac:dyDescent="0.2">
      <c r="A4997" s="12">
        <v>4936</v>
      </c>
      <c r="B4997" s="1831">
        <f>'FP Info 3'!H37</f>
        <v>2675000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3480991</v>
      </c>
      <c r="D5061" s="2" t="str">
        <f t="shared" si="78"/>
        <v>Error?</v>
      </c>
    </row>
    <row r="5062" spans="1:4" x14ac:dyDescent="0.2">
      <c r="A5062" s="10">
        <v>5001</v>
      </c>
      <c r="B5062" s="1831"/>
      <c r="D5062" s="2" t="str">
        <f t="shared" si="78"/>
        <v>OK</v>
      </c>
    </row>
    <row r="5063" spans="1:4" x14ac:dyDescent="0.2">
      <c r="A5063" s="5">
        <v>5002</v>
      </c>
      <c r="B5063" s="1831">
        <f>'Revenues 9-14'!C7</f>
        <v>701679</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4182670</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480602</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480602</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49836</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49836</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47176</v>
      </c>
      <c r="D5095" s="2" t="str">
        <f t="shared" si="78"/>
        <v>Error?</v>
      </c>
    </row>
    <row r="5096" spans="1:4" x14ac:dyDescent="0.2">
      <c r="A5096" s="5">
        <v>5035</v>
      </c>
      <c r="B5096" s="1831">
        <f>'Revenues 9-14'!C75</f>
        <v>259852</v>
      </c>
      <c r="C5096" s="2" t="s">
        <v>569</v>
      </c>
      <c r="D5096" s="2" t="str">
        <f t="shared" si="78"/>
        <v>Error?</v>
      </c>
    </row>
    <row r="5097" spans="1:4" x14ac:dyDescent="0.2">
      <c r="A5097" s="5">
        <v>5036</v>
      </c>
      <c r="B5097" s="1831">
        <f>'Revenues 9-14'!C77</f>
        <v>29375</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29375</v>
      </c>
      <c r="C5102" s="2" t="s">
        <v>569</v>
      </c>
      <c r="D5102" s="2" t="str">
        <f t="shared" si="78"/>
        <v>Error?</v>
      </c>
    </row>
    <row r="5103" spans="1:4" x14ac:dyDescent="0.2">
      <c r="A5103" s="5">
        <v>5042</v>
      </c>
      <c r="B5103" s="1831">
        <f>'Revenues 9-14'!C84</f>
        <v>71065</v>
      </c>
      <c r="D5103" s="2" t="str">
        <f t="shared" si="78"/>
        <v>Error?</v>
      </c>
    </row>
    <row r="5104" spans="1:4" x14ac:dyDescent="0.2">
      <c r="A5104" s="5">
        <v>5043</v>
      </c>
      <c r="B5104" s="1831">
        <f>'Revenues 9-14'!C85</f>
        <v>4172</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75237</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48731</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49125</v>
      </c>
      <c r="D5119" s="2" t="str">
        <f t="shared" ref="D5119:D5182" si="79">IF(ISBLANK(B5119),"OK",IF(A5119-B5119=0,"OK","Error?"))</f>
        <v>Error?</v>
      </c>
    </row>
    <row r="5120" spans="1:4" x14ac:dyDescent="0.2">
      <c r="A5120" s="5">
        <v>5059</v>
      </c>
      <c r="B5120" s="1831">
        <f>'Revenues 9-14'!C108</f>
        <v>120127</v>
      </c>
      <c r="C5120" s="2" t="s">
        <v>569</v>
      </c>
      <c r="D5120" s="2" t="str">
        <f t="shared" si="79"/>
        <v>Error?</v>
      </c>
    </row>
    <row r="5121" spans="1:4" x14ac:dyDescent="0.2">
      <c r="A5121" s="5">
        <v>5060</v>
      </c>
      <c r="B5121" s="1831">
        <f>'Revenues 9-14'!C109</f>
        <v>5197699</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2347794</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2347794</v>
      </c>
      <c r="C5132" s="2" t="s">
        <v>569</v>
      </c>
      <c r="D5132" s="2" t="str">
        <f t="shared" si="79"/>
        <v>Error?</v>
      </c>
    </row>
    <row r="5133" spans="1:4" x14ac:dyDescent="0.2">
      <c r="A5133" s="5">
        <v>5072</v>
      </c>
      <c r="B5133" s="1831">
        <f>'Revenues 9-14'!C125</f>
        <v>64452</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64452</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30623</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2157</v>
      </c>
      <c r="D5167" s="2" t="str">
        <f t="shared" si="79"/>
        <v>Error?</v>
      </c>
    </row>
    <row r="5168" spans="1:4" x14ac:dyDescent="0.2">
      <c r="A5168" s="5">
        <v>5107</v>
      </c>
      <c r="B5168" s="1831">
        <f>'Revenues 9-14'!C148</f>
        <v>21491</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1902</v>
      </c>
    </row>
    <row r="5200" spans="1:5" x14ac:dyDescent="0.2">
      <c r="A5200" s="10">
        <v>5139</v>
      </c>
      <c r="B5200" s="1831"/>
      <c r="D5200" s="2" t="str">
        <f t="shared" si="80"/>
        <v>OK</v>
      </c>
      <c r="E5200" s="4" t="s">
        <v>1902</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120223</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2468017</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65961</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10641</v>
      </c>
      <c r="D5241" s="2" t="str">
        <f t="shared" si="80"/>
        <v>Error?</v>
      </c>
    </row>
    <row r="5242" spans="1:4" x14ac:dyDescent="0.2">
      <c r="A5242" s="5">
        <v>5181</v>
      </c>
      <c r="B5242" s="1831">
        <f>'Revenues 9-14'!C194</f>
        <v>46634</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123236</v>
      </c>
      <c r="C5246" s="2" t="s">
        <v>569</v>
      </c>
      <c r="D5246" s="2" t="str">
        <f t="shared" si="80"/>
        <v>Error?</v>
      </c>
    </row>
    <row r="5247" spans="1:4" x14ac:dyDescent="0.2">
      <c r="A5247" s="5">
        <v>5186</v>
      </c>
      <c r="B5247" s="1831">
        <f>'Revenues 9-14'!C200</f>
        <v>154765</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1902</v>
      </c>
    </row>
    <row r="5255" spans="1:5" x14ac:dyDescent="0.2">
      <c r="A5255" s="5">
        <v>5194</v>
      </c>
      <c r="B5255" s="1831">
        <f>'Revenues 9-14'!C202</f>
        <v>0</v>
      </c>
      <c r="D5255" s="2" t="str">
        <f t="shared" si="81"/>
        <v>Error?</v>
      </c>
    </row>
    <row r="5256" spans="1:5" x14ac:dyDescent="0.2">
      <c r="A5256" s="5">
        <v>5195</v>
      </c>
      <c r="B5256" s="1831">
        <f>'Revenues 9-14'!C206</f>
        <v>31774</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154765</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1902</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339028</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339028</v>
      </c>
      <c r="C5326" s="2" t="s">
        <v>569</v>
      </c>
      <c r="D5326" s="2" t="str">
        <f t="shared" si="82"/>
        <v>Error?</v>
      </c>
    </row>
    <row r="5327" spans="1:5" x14ac:dyDescent="0.2">
      <c r="A5327" s="5">
        <v>5266</v>
      </c>
      <c r="B5327" s="1831">
        <f>'Revenues 9-14'!C268</f>
        <v>8004744</v>
      </c>
      <c r="C5327" s="2" t="s">
        <v>569</v>
      </c>
      <c r="D5327" s="2" t="str">
        <f t="shared" si="82"/>
        <v>Error?</v>
      </c>
    </row>
    <row r="5328" spans="1:5" x14ac:dyDescent="0.2">
      <c r="A5328" s="5">
        <v>5267</v>
      </c>
      <c r="B5328" s="1831">
        <f>'Revenues 9-14'!D5</f>
        <v>650946</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650946</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240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240</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700</v>
      </c>
      <c r="D5349" s="2" t="str">
        <f t="shared" si="82"/>
        <v>Error?</v>
      </c>
    </row>
    <row r="5350" spans="1:4" x14ac:dyDescent="0.2">
      <c r="A5350" s="5">
        <v>5289</v>
      </c>
      <c r="B5350" s="1831">
        <f>'Revenues 9-14'!D96</f>
        <v>3465</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1016</v>
      </c>
      <c r="D5352" s="2" t="str">
        <f t="shared" si="82"/>
        <v>Error?</v>
      </c>
    </row>
    <row r="5353" spans="1:4" x14ac:dyDescent="0.2">
      <c r="A5353" s="5">
        <v>5292</v>
      </c>
      <c r="B5353" s="1831">
        <f>'Revenues 9-14'!D104</f>
        <v>54800</v>
      </c>
      <c r="D5353" s="2" t="str">
        <f t="shared" si="82"/>
        <v>Error?</v>
      </c>
    </row>
    <row r="5354" spans="1:4" x14ac:dyDescent="0.2">
      <c r="A5354" s="5">
        <v>5293</v>
      </c>
      <c r="B5354" s="1831">
        <f>'Revenues 9-14'!D107</f>
        <v>265936</v>
      </c>
      <c r="D5354" s="2" t="str">
        <f t="shared" si="82"/>
        <v>Error?</v>
      </c>
    </row>
    <row r="5355" spans="1:4" x14ac:dyDescent="0.2">
      <c r="A5355" s="5">
        <v>5294</v>
      </c>
      <c r="B5355" s="1831">
        <f>'Revenues 9-14'!D108</f>
        <v>601225</v>
      </c>
      <c r="C5355" s="2" t="s">
        <v>569</v>
      </c>
      <c r="D5355" s="2" t="str">
        <f t="shared" si="82"/>
        <v>Error?</v>
      </c>
    </row>
    <row r="5356" spans="1:4" x14ac:dyDescent="0.2">
      <c r="A5356" s="5">
        <v>5295</v>
      </c>
      <c r="B5356" s="1831">
        <f>'Revenues 9-14'!D109</f>
        <v>1252411</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325000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325000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54114</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379114</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1902</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1631525</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0</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0</v>
      </c>
      <c r="C5552" s="2" t="s">
        <v>569</v>
      </c>
      <c r="D5552" s="2" t="str">
        <f t="shared" si="85"/>
        <v>Error?</v>
      </c>
    </row>
    <row r="5553" spans="1:4" x14ac:dyDescent="0.2">
      <c r="A5553" s="5">
        <v>5492</v>
      </c>
      <c r="B5553" s="1831">
        <f>'Revenues 9-14'!F5</f>
        <v>620375</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620375</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229</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229</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620604</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223280</v>
      </c>
      <c r="D5615" s="2" t="str">
        <f t="shared" si="86"/>
        <v>Error?</v>
      </c>
    </row>
    <row r="5616" spans="1:4" x14ac:dyDescent="0.2">
      <c r="A5616" s="10">
        <v>5555</v>
      </c>
      <c r="B5616" s="1831"/>
      <c r="D5616" s="2" t="str">
        <f t="shared" si="86"/>
        <v>OK</v>
      </c>
    </row>
    <row r="5617" spans="1:5" x14ac:dyDescent="0.2">
      <c r="A5617" s="5">
        <v>5556</v>
      </c>
      <c r="B5617" s="1831">
        <f>'Revenues 9-14'!F153</f>
        <v>67338</v>
      </c>
      <c r="D5617" s="2" t="str">
        <f t="shared" si="86"/>
        <v>Error?</v>
      </c>
    </row>
    <row r="5618" spans="1:5" x14ac:dyDescent="0.2">
      <c r="A5618" s="5">
        <v>5557</v>
      </c>
      <c r="B5618" s="1831">
        <f>'Revenues 9-14'!F155</f>
        <v>290618</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1902</v>
      </c>
    </row>
    <row r="5631" spans="1:5" x14ac:dyDescent="0.2">
      <c r="A5631" s="10">
        <v>5570</v>
      </c>
      <c r="B5631" s="1831"/>
      <c r="D5631" s="2" t="str">
        <f t="shared" ref="D5631:D5694" si="87">IF(ISBLANK(B5631),"OK",IF(A5631-B5631=0,"OK","Error?"))</f>
        <v>OK</v>
      </c>
      <c r="E5631" s="4" t="s">
        <v>1902</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290618</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290618</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1902</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1902</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911222</v>
      </c>
      <c r="C5720" s="2" t="s">
        <v>569</v>
      </c>
      <c r="D5720" s="2" t="str">
        <f t="shared" si="88"/>
        <v>Error?</v>
      </c>
    </row>
    <row r="5721" spans="1:4" x14ac:dyDescent="0.2">
      <c r="A5721" s="5">
        <v>5660</v>
      </c>
      <c r="B5721" s="1831">
        <f>'Revenues 9-14'!G5</f>
        <v>145177</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145177</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290354</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569</v>
      </c>
      <c r="D5730" s="2" t="str">
        <f t="shared" si="88"/>
        <v>Error?</v>
      </c>
    </row>
    <row r="5731" spans="1:4" x14ac:dyDescent="0.2">
      <c r="A5731" s="5">
        <v>5670</v>
      </c>
      <c r="B5731" s="1831">
        <f>'Revenues 9-14'!G65</f>
        <v>107</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107</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1902</v>
      </c>
    </row>
    <row r="5768" spans="1:5" x14ac:dyDescent="0.2">
      <c r="A5768" s="10">
        <v>5707</v>
      </c>
      <c r="B5768" s="1831"/>
      <c r="D5768" s="2" t="str">
        <f t="shared" si="89"/>
        <v>OK</v>
      </c>
      <c r="E5768" s="4" t="s">
        <v>1902</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1902</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1902</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290461</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7213</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381119</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381119</v>
      </c>
      <c r="C5915" s="2" t="s">
        <v>569</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0</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0</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0</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20022</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20022</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7</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7</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20029</v>
      </c>
      <c r="C6023" s="2" t="s">
        <v>569</v>
      </c>
      <c r="D6023" s="2" t="str">
        <f t="shared" si="93"/>
        <v>Error?</v>
      </c>
    </row>
    <row r="6024" spans="1:5" x14ac:dyDescent="0.2">
      <c r="A6024" s="5">
        <v>5963</v>
      </c>
      <c r="B6024" s="1831">
        <f>'Revenues 9-14'!G109</f>
        <v>290461</v>
      </c>
      <c r="C6024" s="2" t="s">
        <v>569</v>
      </c>
      <c r="D6024" s="2" t="str">
        <f t="shared" si="93"/>
        <v>Error?</v>
      </c>
    </row>
    <row r="6025" spans="1:5" x14ac:dyDescent="0.2">
      <c r="A6025" s="5">
        <v>5964</v>
      </c>
      <c r="B6025" s="1831">
        <f>'Revenues 9-14'!H109</f>
        <v>381119</v>
      </c>
      <c r="C6025" s="2" t="s">
        <v>569</v>
      </c>
      <c r="D6025" s="2" t="str">
        <f t="shared" si="93"/>
        <v>Error?</v>
      </c>
    </row>
    <row r="6026" spans="1:5" x14ac:dyDescent="0.2">
      <c r="A6026" s="5">
        <v>5965</v>
      </c>
      <c r="B6026" s="1831">
        <f>'Revenues 9-14'!I109</f>
        <v>0</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20029</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212676</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0</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629.5</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21754</v>
      </c>
      <c r="D6124" s="2" t="str">
        <f t="shared" si="94"/>
        <v>Error?</v>
      </c>
      <c r="E6124" s="2" t="s">
        <v>189</v>
      </c>
    </row>
    <row r="6125" spans="1:5" x14ac:dyDescent="0.2">
      <c r="A6125">
        <v>6064</v>
      </c>
      <c r="B6125" s="1831">
        <f>'Assets-Liab 5-6'!C25</f>
        <v>2065445</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-754</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30772</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21754</v>
      </c>
      <c r="D6215" s="2" t="str">
        <f t="shared" si="96"/>
        <v>Error?</v>
      </c>
      <c r="E6215" s="2" t="s">
        <v>189</v>
      </c>
    </row>
    <row r="6216" spans="1:5" x14ac:dyDescent="0.2">
      <c r="A6216">
        <v>6155</v>
      </c>
      <c r="B6216" s="1831">
        <f>'Assets-Liab 5-6'!J41</f>
        <v>21754</v>
      </c>
      <c r="D6216" s="2" t="str">
        <f t="shared" si="96"/>
        <v>Error?</v>
      </c>
      <c r="E6216" s="2" t="s">
        <v>189</v>
      </c>
    </row>
    <row r="6217" spans="1:5" x14ac:dyDescent="0.2">
      <c r="A6217">
        <v>6156</v>
      </c>
      <c r="B6217" s="1831">
        <f>'Assets-Liab 5-6'!J4</f>
        <v>21754</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93335</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93335</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93335</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75127</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75127</v>
      </c>
      <c r="D6229" s="2" t="str">
        <f t="shared" si="96"/>
        <v>Error?</v>
      </c>
      <c r="E6229" s="2" t="s">
        <v>189</v>
      </c>
    </row>
    <row r="6230" spans="1:5" x14ac:dyDescent="0.2">
      <c r="A6230">
        <v>6169</v>
      </c>
      <c r="B6230" s="1831">
        <f>'Acct Summary 7-8'!J20</f>
        <v>18208</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18208</v>
      </c>
      <c r="D6263" s="2" t="str">
        <f t="shared" si="96"/>
        <v>Error?</v>
      </c>
      <c r="E6263" s="2" t="s">
        <v>189</v>
      </c>
    </row>
    <row r="6264" spans="1:5" x14ac:dyDescent="0.2">
      <c r="A6264">
        <v>6203</v>
      </c>
      <c r="B6264" s="1831">
        <f>'Acct Summary 7-8'!J79</f>
        <v>3546</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21754</v>
      </c>
      <c r="D6266" s="2" t="str">
        <f t="shared" si="96"/>
        <v>Error?</v>
      </c>
      <c r="E6266" s="2" t="s">
        <v>189</v>
      </c>
    </row>
    <row r="6267" spans="1:5" x14ac:dyDescent="0.2">
      <c r="A6267">
        <v>6206</v>
      </c>
      <c r="B6267" s="1831">
        <f>'Acct Summary 7-8'!C82</f>
        <v>513905</v>
      </c>
      <c r="D6267" s="2" t="str">
        <f t="shared" si="96"/>
        <v>Error?</v>
      </c>
      <c r="E6267" s="2" t="s">
        <v>189</v>
      </c>
    </row>
    <row r="6268" spans="1:5" x14ac:dyDescent="0.2">
      <c r="A6268">
        <v>6207</v>
      </c>
      <c r="B6268" s="1831">
        <f>'Acct Summary 7-8'!D82</f>
        <v>277486</v>
      </c>
      <c r="D6268" s="2" t="str">
        <f t="shared" si="96"/>
        <v>Error?</v>
      </c>
      <c r="E6268" s="2" t="s">
        <v>189</v>
      </c>
    </row>
    <row r="6269" spans="1:5" x14ac:dyDescent="0.2">
      <c r="A6269">
        <v>6208</v>
      </c>
      <c r="B6269" s="1831">
        <f>'Acct Summary 7-8'!E82</f>
        <v>-11625</v>
      </c>
      <c r="D6269" s="2" t="str">
        <f t="shared" si="96"/>
        <v>Error?</v>
      </c>
      <c r="E6269" s="2" t="s">
        <v>189</v>
      </c>
    </row>
    <row r="6270" spans="1:5" x14ac:dyDescent="0.2">
      <c r="A6270">
        <v>6209</v>
      </c>
      <c r="B6270" s="1831">
        <f>'Acct Summary 7-8'!F82</f>
        <v>345756</v>
      </c>
      <c r="D6270" s="2" t="str">
        <f t="shared" si="96"/>
        <v>Error?</v>
      </c>
      <c r="E6270" s="2" t="s">
        <v>189</v>
      </c>
    </row>
    <row r="6271" spans="1:5" x14ac:dyDescent="0.2">
      <c r="A6271">
        <v>6210</v>
      </c>
      <c r="B6271" s="1831">
        <f>'Acct Summary 7-8'!G82</f>
        <v>-6278</v>
      </c>
      <c r="D6271" s="2" t="str">
        <f t="shared" ref="D6271:D6334" si="97">IF(ISBLANK(B6271),"OK",IF(A6271-B6271=0,"OK","Error?"))</f>
        <v>Error?</v>
      </c>
      <c r="E6271" s="2" t="s">
        <v>189</v>
      </c>
    </row>
    <row r="6272" spans="1:5" x14ac:dyDescent="0.2">
      <c r="A6272">
        <v>6211</v>
      </c>
      <c r="B6272" s="1831">
        <f>'Acct Summary 7-8'!H82</f>
        <v>648660</v>
      </c>
      <c r="D6272" s="2" t="str">
        <f t="shared" si="97"/>
        <v>Error?</v>
      </c>
      <c r="E6272" s="2" t="s">
        <v>189</v>
      </c>
    </row>
    <row r="6273" spans="1:5" x14ac:dyDescent="0.2">
      <c r="A6273">
        <v>6212</v>
      </c>
      <c r="B6273" s="1831">
        <f>'Acct Summary 7-8'!I82</f>
        <v>0</v>
      </c>
      <c r="D6273" s="2" t="str">
        <f t="shared" si="97"/>
        <v>Error?</v>
      </c>
      <c r="E6273" s="2" t="s">
        <v>189</v>
      </c>
    </row>
    <row r="6274" spans="1:5" x14ac:dyDescent="0.2">
      <c r="A6274">
        <v>6213</v>
      </c>
      <c r="B6274" s="1831">
        <f>'Acct Summary 7-8'!J82</f>
        <v>18208</v>
      </c>
      <c r="D6274" s="2" t="str">
        <f t="shared" si="97"/>
        <v>Error?</v>
      </c>
      <c r="E6274" s="2" t="s">
        <v>189</v>
      </c>
    </row>
    <row r="6275" spans="1:5" x14ac:dyDescent="0.2">
      <c r="A6275">
        <v>6214</v>
      </c>
      <c r="B6275" s="1831">
        <f>'Acct Summary 7-8'!K82</f>
        <v>10604</v>
      </c>
      <c r="D6275" s="2" t="str">
        <f t="shared" si="97"/>
        <v>Error?</v>
      </c>
      <c r="E6275" s="2" t="s">
        <v>189</v>
      </c>
    </row>
    <row r="6276" spans="1:5" x14ac:dyDescent="0.2">
      <c r="A6276">
        <v>6215</v>
      </c>
      <c r="B6276" s="1831">
        <f>'Acct Summary 7-8'!C83</f>
        <v>0.24978783551395328</v>
      </c>
      <c r="D6276" s="2" t="str">
        <f t="shared" si="97"/>
        <v>Error?</v>
      </c>
      <c r="E6276" s="2" t="s">
        <v>189</v>
      </c>
    </row>
    <row r="6277" spans="1:5" x14ac:dyDescent="0.2">
      <c r="A6277">
        <v>6216</v>
      </c>
      <c r="B6277" s="1831">
        <f>'Acct Summary 7-8'!D83</f>
        <v>0.52160983495620139</v>
      </c>
      <c r="D6277" s="2" t="str">
        <f t="shared" si="97"/>
        <v>Error?</v>
      </c>
      <c r="E6277" s="2" t="s">
        <v>189</v>
      </c>
    </row>
    <row r="6278" spans="1:5" x14ac:dyDescent="0.2">
      <c r="A6278">
        <v>6217</v>
      </c>
      <c r="B6278" s="1831">
        <f>'Acct Summary 7-8'!E83</f>
        <v>-2.3083796664019061</v>
      </c>
      <c r="D6278" s="2" t="str">
        <f t="shared" si="97"/>
        <v>Error?</v>
      </c>
      <c r="E6278" s="2" t="s">
        <v>189</v>
      </c>
    </row>
    <row r="6279" spans="1:5" x14ac:dyDescent="0.2">
      <c r="A6279">
        <v>6218</v>
      </c>
      <c r="B6279" s="1831">
        <f>'Acct Summary 7-8'!F83</f>
        <v>0.25947080131748096</v>
      </c>
      <c r="D6279" s="2" t="str">
        <f t="shared" si="97"/>
        <v>Error?</v>
      </c>
      <c r="E6279" s="2" t="s">
        <v>189</v>
      </c>
    </row>
    <row r="6280" spans="1:5" x14ac:dyDescent="0.2">
      <c r="A6280">
        <v>6219</v>
      </c>
      <c r="B6280" s="1831">
        <f>'Acct Summary 7-8'!G83</f>
        <v>-2.4342768514928266</v>
      </c>
      <c r="D6280" s="2" t="str">
        <f t="shared" si="97"/>
        <v>Error?</v>
      </c>
      <c r="E6280" s="2" t="s">
        <v>189</v>
      </c>
    </row>
    <row r="6281" spans="1:5" x14ac:dyDescent="0.2">
      <c r="A6281">
        <v>6220</v>
      </c>
      <c r="B6281" s="1831">
        <f>'Acct Summary 7-8'!H83</f>
        <v>1.0162035477670186</v>
      </c>
      <c r="D6281" s="2" t="str">
        <f t="shared" si="97"/>
        <v>Error?</v>
      </c>
      <c r="E6281" s="2" t="s">
        <v>189</v>
      </c>
    </row>
    <row r="6282" spans="1:5" x14ac:dyDescent="0.2">
      <c r="A6282">
        <v>6221</v>
      </c>
      <c r="B6282" s="1831">
        <f>'Acct Summary 7-8'!I83</f>
        <v>0</v>
      </c>
      <c r="D6282" s="2" t="str">
        <f t="shared" si="97"/>
        <v>Error?</v>
      </c>
      <c r="E6282" s="2" t="s">
        <v>189</v>
      </c>
    </row>
    <row r="6283" spans="1:5" x14ac:dyDescent="0.2">
      <c r="A6283">
        <v>6222</v>
      </c>
      <c r="B6283" s="1831">
        <f>'Acct Summary 7-8'!J83</f>
        <v>0.83699549508136439</v>
      </c>
      <c r="D6283" s="2" t="str">
        <f t="shared" si="97"/>
        <v>Error?</v>
      </c>
      <c r="E6283" s="2" t="s">
        <v>189</v>
      </c>
    </row>
    <row r="6284" spans="1:5" x14ac:dyDescent="0.2">
      <c r="A6284">
        <v>6223</v>
      </c>
      <c r="B6284" s="1831">
        <f>'Acct Summary 7-8'!K83</f>
        <v>9.1675384070061983E-2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93301</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93301</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34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34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270158</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22271</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5150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93335</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30623</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1901</v>
      </c>
    </row>
    <row r="6383" spans="1:6" x14ac:dyDescent="0.2">
      <c r="A6383" s="126">
        <v>6322</v>
      </c>
      <c r="B6383" s="1831"/>
      <c r="D6383" s="2" t="str">
        <f t="shared" si="98"/>
        <v>OK</v>
      </c>
      <c r="E6383" s="2" t="s">
        <v>189</v>
      </c>
      <c r="F6383" s="1" t="s">
        <v>1901</v>
      </c>
    </row>
    <row r="6384" spans="1:6" x14ac:dyDescent="0.2">
      <c r="A6384" s="126">
        <v>6323</v>
      </c>
      <c r="B6384" s="1831"/>
      <c r="D6384" s="2" t="str">
        <f t="shared" si="98"/>
        <v>OK</v>
      </c>
      <c r="E6384" s="2" t="s">
        <v>189</v>
      </c>
      <c r="F6384" s="1" t="s">
        <v>1901</v>
      </c>
    </row>
    <row r="6385" spans="1:6" x14ac:dyDescent="0.2">
      <c r="A6385" s="126">
        <v>6324</v>
      </c>
      <c r="B6385" s="1831"/>
      <c r="D6385" s="2" t="str">
        <f t="shared" si="98"/>
        <v>OK</v>
      </c>
      <c r="E6385" s="2" t="s">
        <v>189</v>
      </c>
      <c r="F6385" s="1" t="s">
        <v>1901</v>
      </c>
    </row>
    <row r="6386" spans="1:6" x14ac:dyDescent="0.2">
      <c r="A6386" s="126">
        <v>6325</v>
      </c>
      <c r="B6386" s="1831"/>
      <c r="D6386" s="2" t="str">
        <f t="shared" si="98"/>
        <v>OK</v>
      </c>
      <c r="E6386" s="2" t="s">
        <v>189</v>
      </c>
      <c r="F6386" s="1" t="s">
        <v>1901</v>
      </c>
    </row>
    <row r="6387" spans="1:6" x14ac:dyDescent="0.2">
      <c r="A6387" s="126">
        <v>6326</v>
      </c>
      <c r="B6387" s="1831"/>
      <c r="D6387" s="2" t="str">
        <f t="shared" si="98"/>
        <v>OK</v>
      </c>
      <c r="E6387" s="2" t="s">
        <v>189</v>
      </c>
      <c r="F6387" s="1" t="s">
        <v>1901</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1901</v>
      </c>
    </row>
    <row r="6411" spans="1:6" x14ac:dyDescent="0.2">
      <c r="A6411" s="126">
        <v>6350</v>
      </c>
      <c r="B6411" s="1831"/>
      <c r="D6411" s="2" t="str">
        <f t="shared" si="99"/>
        <v>OK</v>
      </c>
      <c r="E6411" s="2" t="s">
        <v>189</v>
      </c>
      <c r="F6411" s="1" t="s">
        <v>1901</v>
      </c>
    </row>
    <row r="6412" spans="1:6" x14ac:dyDescent="0.2">
      <c r="A6412" s="126">
        <v>6351</v>
      </c>
      <c r="B6412" s="1831"/>
      <c r="D6412" s="2" t="str">
        <f t="shared" si="99"/>
        <v>OK</v>
      </c>
      <c r="E6412" s="2" t="s">
        <v>189</v>
      </c>
      <c r="F6412" s="1" t="s">
        <v>1901</v>
      </c>
    </row>
    <row r="6413" spans="1:6" x14ac:dyDescent="0.2">
      <c r="A6413" s="126">
        <v>6352</v>
      </c>
      <c r="B6413" s="1831"/>
      <c r="D6413" s="2" t="str">
        <f t="shared" si="99"/>
        <v>OK</v>
      </c>
      <c r="E6413" s="2" t="s">
        <v>189</v>
      </c>
      <c r="F6413" s="1" t="s">
        <v>1901</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1997</v>
      </c>
    </row>
    <row r="6417" spans="1:5" x14ac:dyDescent="0.2">
      <c r="A6417" s="126">
        <v>6356</v>
      </c>
      <c r="B6417" s="1831"/>
      <c r="D6417" s="2" t="str">
        <f t="shared" si="99"/>
        <v>OK</v>
      </c>
      <c r="E6417" s="4" t="s">
        <v>1997</v>
      </c>
    </row>
    <row r="6418" spans="1:5" x14ac:dyDescent="0.2">
      <c r="A6418" s="126">
        <v>6357</v>
      </c>
      <c r="B6418" s="1831"/>
      <c r="D6418" s="2" t="str">
        <f t="shared" si="99"/>
        <v>OK</v>
      </c>
      <c r="E6418" s="4" t="s">
        <v>1997</v>
      </c>
    </row>
    <row r="6419" spans="1:5" x14ac:dyDescent="0.2">
      <c r="A6419" s="126">
        <v>6358</v>
      </c>
      <c r="B6419" s="1831"/>
      <c r="D6419" s="2" t="str">
        <f t="shared" si="99"/>
        <v>OK</v>
      </c>
      <c r="E6419" s="4" t="s">
        <v>1997</v>
      </c>
    </row>
    <row r="6420" spans="1:5" x14ac:dyDescent="0.2">
      <c r="A6420" s="126">
        <v>6359</v>
      </c>
      <c r="B6420" s="1831"/>
      <c r="D6420" s="2" t="str">
        <f t="shared" si="99"/>
        <v>OK</v>
      </c>
      <c r="E6420" s="4" t="s">
        <v>1997</v>
      </c>
    </row>
    <row r="6421" spans="1:5" x14ac:dyDescent="0.2">
      <c r="A6421" s="126">
        <v>6360</v>
      </c>
      <c r="B6421" s="1831"/>
      <c r="D6421" s="2" t="str">
        <f t="shared" si="99"/>
        <v>OK</v>
      </c>
      <c r="E6421" s="4" t="s">
        <v>1997</v>
      </c>
    </row>
    <row r="6422" spans="1:5" x14ac:dyDescent="0.2">
      <c r="A6422" s="126">
        <v>6361</v>
      </c>
      <c r="B6422" s="1831"/>
      <c r="D6422" s="2" t="str">
        <f t="shared" si="99"/>
        <v>OK</v>
      </c>
      <c r="E6422" s="4" t="s">
        <v>1997</v>
      </c>
    </row>
    <row r="6423" spans="1:5" x14ac:dyDescent="0.2">
      <c r="A6423" s="126">
        <v>6362</v>
      </c>
      <c r="B6423" s="1831"/>
      <c r="D6423" s="2" t="str">
        <f t="shared" si="99"/>
        <v>OK</v>
      </c>
      <c r="E6423" s="4" t="s">
        <v>1997</v>
      </c>
    </row>
    <row r="6424" spans="1:5" x14ac:dyDescent="0.2">
      <c r="A6424" s="126">
        <v>6363</v>
      </c>
      <c r="B6424" s="1831"/>
      <c r="D6424" s="2" t="str">
        <f t="shared" si="99"/>
        <v>OK</v>
      </c>
      <c r="E6424" s="4" t="s">
        <v>1997</v>
      </c>
    </row>
    <row r="6425" spans="1:5" x14ac:dyDescent="0.2">
      <c r="A6425" s="126">
        <v>6364</v>
      </c>
      <c r="B6425" s="1831"/>
      <c r="D6425" s="2" t="str">
        <f t="shared" si="99"/>
        <v>OK</v>
      </c>
      <c r="E6425" s="4" t="s">
        <v>1997</v>
      </c>
    </row>
    <row r="6426" spans="1:5" x14ac:dyDescent="0.2">
      <c r="A6426" s="126">
        <v>6365</v>
      </c>
      <c r="B6426" s="1831"/>
      <c r="D6426" s="2" t="str">
        <f t="shared" si="99"/>
        <v>OK</v>
      </c>
      <c r="E6426" s="4" t="s">
        <v>1997</v>
      </c>
    </row>
    <row r="6427" spans="1:5" x14ac:dyDescent="0.2">
      <c r="A6427" s="126">
        <v>6366</v>
      </c>
      <c r="B6427" s="1831"/>
      <c r="D6427" s="2" t="str">
        <f t="shared" si="99"/>
        <v>OK</v>
      </c>
      <c r="E6427" s="4" t="s">
        <v>1997</v>
      </c>
    </row>
    <row r="6428" spans="1:5" x14ac:dyDescent="0.2">
      <c r="A6428" s="126">
        <v>6367</v>
      </c>
      <c r="B6428" s="1831"/>
      <c r="D6428" s="2" t="str">
        <f t="shared" si="99"/>
        <v>OK</v>
      </c>
      <c r="E6428" s="4" t="s">
        <v>1997</v>
      </c>
    </row>
    <row r="6429" spans="1:5" x14ac:dyDescent="0.2">
      <c r="A6429" s="126">
        <v>6368</v>
      </c>
      <c r="B6429" s="1831"/>
      <c r="D6429" s="2" t="str">
        <f t="shared" si="99"/>
        <v>OK</v>
      </c>
      <c r="E6429" s="4" t="s">
        <v>1997</v>
      </c>
    </row>
    <row r="6430" spans="1:5" x14ac:dyDescent="0.2">
      <c r="A6430" s="126">
        <v>6369</v>
      </c>
      <c r="B6430" s="1831"/>
      <c r="D6430" s="2" t="str">
        <f t="shared" si="99"/>
        <v>OK</v>
      </c>
      <c r="E6430" s="4" t="s">
        <v>1997</v>
      </c>
    </row>
    <row r="6431" spans="1:5" x14ac:dyDescent="0.2">
      <c r="A6431" s="126">
        <v>6370</v>
      </c>
      <c r="B6431" s="1831"/>
      <c r="D6431" s="2" t="str">
        <f t="shared" si="99"/>
        <v>OK</v>
      </c>
      <c r="E6431" s="4" t="s">
        <v>1997</v>
      </c>
    </row>
    <row r="6432" spans="1:5" x14ac:dyDescent="0.2">
      <c r="A6432" s="126">
        <v>6371</v>
      </c>
      <c r="B6432" s="1831"/>
      <c r="D6432" s="2" t="str">
        <f t="shared" si="99"/>
        <v>OK</v>
      </c>
      <c r="E6432" s="4" t="s">
        <v>1997</v>
      </c>
    </row>
    <row r="6433" spans="1:5" x14ac:dyDescent="0.2">
      <c r="A6433" s="126">
        <v>6372</v>
      </c>
      <c r="B6433" s="1831"/>
      <c r="D6433" s="2" t="str">
        <f t="shared" si="99"/>
        <v>OK</v>
      </c>
      <c r="E6433" s="4" t="s">
        <v>1997</v>
      </c>
    </row>
    <row r="6434" spans="1:5" x14ac:dyDescent="0.2">
      <c r="A6434" s="126">
        <v>6373</v>
      </c>
      <c r="B6434" s="1831"/>
      <c r="D6434" s="2" t="str">
        <f t="shared" si="99"/>
        <v>OK</v>
      </c>
      <c r="E6434" s="4" t="s">
        <v>1997</v>
      </c>
    </row>
    <row r="6435" spans="1:5" x14ac:dyDescent="0.2">
      <c r="A6435" s="126">
        <v>6374</v>
      </c>
      <c r="B6435" s="1831"/>
      <c r="D6435" s="2" t="str">
        <f t="shared" si="99"/>
        <v>OK</v>
      </c>
      <c r="E6435" s="4" t="s">
        <v>1997</v>
      </c>
    </row>
    <row r="6436" spans="1:5" x14ac:dyDescent="0.2">
      <c r="A6436" s="126">
        <v>6375</v>
      </c>
      <c r="B6436" s="1831"/>
      <c r="D6436" s="2" t="str">
        <f t="shared" si="99"/>
        <v>OK</v>
      </c>
      <c r="E6436" s="4" t="s">
        <v>1997</v>
      </c>
    </row>
    <row r="6437" spans="1:5" x14ac:dyDescent="0.2">
      <c r="A6437" s="126">
        <v>6376</v>
      </c>
      <c r="B6437" s="1831"/>
      <c r="D6437" s="2" t="str">
        <f t="shared" si="99"/>
        <v>OK</v>
      </c>
      <c r="E6437" s="4" t="s">
        <v>1997</v>
      </c>
    </row>
    <row r="6438" spans="1:5" x14ac:dyDescent="0.2">
      <c r="A6438" s="126">
        <v>6377</v>
      </c>
      <c r="B6438" s="1831"/>
      <c r="D6438" s="2" t="str">
        <f t="shared" si="99"/>
        <v>OK</v>
      </c>
      <c r="E6438" s="4" t="s">
        <v>1997</v>
      </c>
    </row>
    <row r="6439" spans="1:5" x14ac:dyDescent="0.2">
      <c r="A6439" s="126">
        <v>6378</v>
      </c>
      <c r="B6439" s="1831"/>
      <c r="D6439" s="2" t="str">
        <f t="shared" si="99"/>
        <v>OK</v>
      </c>
      <c r="E6439" s="4" t="s">
        <v>1997</v>
      </c>
    </row>
    <row r="6440" spans="1:5" x14ac:dyDescent="0.2">
      <c r="A6440" s="126">
        <v>6379</v>
      </c>
      <c r="B6440" s="1831"/>
      <c r="D6440" s="2" t="str">
        <f t="shared" si="99"/>
        <v>OK</v>
      </c>
      <c r="E6440" s="4" t="s">
        <v>1997</v>
      </c>
    </row>
    <row r="6441" spans="1:5" x14ac:dyDescent="0.2">
      <c r="A6441" s="126">
        <v>6380</v>
      </c>
      <c r="B6441" s="1831"/>
      <c r="D6441" s="2" t="str">
        <f t="shared" si="99"/>
        <v>OK</v>
      </c>
      <c r="E6441" s="4" t="s">
        <v>1997</v>
      </c>
    </row>
    <row r="6442" spans="1:5" x14ac:dyDescent="0.2">
      <c r="A6442" s="126">
        <v>6381</v>
      </c>
      <c r="B6442" s="1831"/>
      <c r="D6442" s="2" t="str">
        <f t="shared" si="99"/>
        <v>OK</v>
      </c>
      <c r="E6442" s="4" t="s">
        <v>1997</v>
      </c>
    </row>
    <row r="6443" spans="1:5" x14ac:dyDescent="0.2">
      <c r="A6443" s="126">
        <v>6382</v>
      </c>
      <c r="B6443" s="1831"/>
      <c r="D6443" s="2" t="str">
        <f t="shared" si="99"/>
        <v>OK</v>
      </c>
      <c r="E6443" s="4" t="s">
        <v>1997</v>
      </c>
    </row>
    <row r="6444" spans="1:5" x14ac:dyDescent="0.2">
      <c r="A6444" s="126">
        <v>6383</v>
      </c>
      <c r="B6444" s="1831"/>
      <c r="D6444" s="2" t="str">
        <f t="shared" si="99"/>
        <v>OK</v>
      </c>
      <c r="E6444" s="4" t="s">
        <v>1997</v>
      </c>
    </row>
    <row r="6445" spans="1:5" x14ac:dyDescent="0.2">
      <c r="A6445" s="126">
        <v>6384</v>
      </c>
      <c r="B6445" s="1831"/>
      <c r="D6445" s="2" t="str">
        <f t="shared" si="99"/>
        <v>OK</v>
      </c>
      <c r="E6445" s="4" t="s">
        <v>1997</v>
      </c>
    </row>
    <row r="6446" spans="1:5" x14ac:dyDescent="0.2">
      <c r="A6446" s="126">
        <v>6385</v>
      </c>
      <c r="B6446" s="1831"/>
      <c r="D6446" s="2" t="str">
        <f t="shared" si="99"/>
        <v>OK</v>
      </c>
      <c r="E6446" s="4" t="s">
        <v>1997</v>
      </c>
    </row>
    <row r="6447" spans="1:5" x14ac:dyDescent="0.2">
      <c r="A6447" s="126">
        <v>6386</v>
      </c>
      <c r="B6447" s="1831"/>
      <c r="D6447" s="2" t="str">
        <f t="shared" si="99"/>
        <v>OK</v>
      </c>
      <c r="E6447" s="4" t="s">
        <v>1997</v>
      </c>
    </row>
    <row r="6448" spans="1:5" x14ac:dyDescent="0.2">
      <c r="A6448" s="126">
        <v>6387</v>
      </c>
      <c r="B6448" s="1831"/>
      <c r="D6448" s="2" t="str">
        <f t="shared" si="99"/>
        <v>OK</v>
      </c>
      <c r="E6448" s="4" t="s">
        <v>1997</v>
      </c>
    </row>
    <row r="6449" spans="1:5" x14ac:dyDescent="0.2">
      <c r="A6449" s="126">
        <v>6388</v>
      </c>
      <c r="B6449" s="1831"/>
      <c r="D6449" s="2" t="str">
        <f t="shared" si="99"/>
        <v>OK</v>
      </c>
      <c r="E6449" s="4" t="s">
        <v>1997</v>
      </c>
    </row>
    <row r="6450" spans="1:5" x14ac:dyDescent="0.2">
      <c r="A6450" s="126">
        <v>6389</v>
      </c>
      <c r="B6450" s="1831"/>
      <c r="D6450" s="2" t="str">
        <f t="shared" si="99"/>
        <v>OK</v>
      </c>
      <c r="E6450" s="4" t="s">
        <v>1997</v>
      </c>
    </row>
    <row r="6451" spans="1:5" x14ac:dyDescent="0.2">
      <c r="A6451" s="126">
        <v>6390</v>
      </c>
      <c r="B6451" s="1831"/>
      <c r="D6451" s="2" t="str">
        <f t="shared" si="99"/>
        <v>OK</v>
      </c>
      <c r="E6451" s="4" t="s">
        <v>1997</v>
      </c>
    </row>
    <row r="6452" spans="1:5" x14ac:dyDescent="0.2">
      <c r="A6452" s="126">
        <v>6391</v>
      </c>
      <c r="B6452" s="1831"/>
      <c r="D6452" s="2" t="str">
        <f t="shared" si="99"/>
        <v>OK</v>
      </c>
      <c r="E6452" s="4" t="s">
        <v>1997</v>
      </c>
    </row>
    <row r="6453" spans="1:5" x14ac:dyDescent="0.2">
      <c r="A6453" s="126">
        <v>6392</v>
      </c>
      <c r="B6453" s="1831"/>
      <c r="D6453" s="2" t="str">
        <f t="shared" si="99"/>
        <v>OK</v>
      </c>
      <c r="E6453" s="4" t="s">
        <v>1997</v>
      </c>
    </row>
    <row r="6454" spans="1:5" x14ac:dyDescent="0.2">
      <c r="A6454" s="126">
        <v>6393</v>
      </c>
      <c r="B6454" s="1831"/>
      <c r="D6454" s="2" t="str">
        <f t="shared" si="99"/>
        <v>OK</v>
      </c>
      <c r="E6454" s="4" t="s">
        <v>1997</v>
      </c>
    </row>
    <row r="6455" spans="1:5" x14ac:dyDescent="0.2">
      <c r="A6455" s="126">
        <v>6394</v>
      </c>
      <c r="B6455" s="1831"/>
      <c r="D6455" s="2" t="str">
        <f t="shared" si="99"/>
        <v>OK</v>
      </c>
      <c r="E6455" s="4" t="s">
        <v>1997</v>
      </c>
    </row>
    <row r="6456" spans="1:5" x14ac:dyDescent="0.2">
      <c r="A6456" s="126">
        <v>6395</v>
      </c>
      <c r="B6456" s="1831"/>
      <c r="D6456" s="2" t="str">
        <f t="shared" si="99"/>
        <v>OK</v>
      </c>
      <c r="E6456" s="4" t="s">
        <v>1997</v>
      </c>
    </row>
    <row r="6457" spans="1:5" x14ac:dyDescent="0.2">
      <c r="A6457" s="126">
        <v>6396</v>
      </c>
      <c r="B6457" s="1831"/>
      <c r="D6457" s="2" t="str">
        <f t="shared" si="99"/>
        <v>OK</v>
      </c>
      <c r="E6457" s="4" t="s">
        <v>1997</v>
      </c>
    </row>
    <row r="6458" spans="1:5" x14ac:dyDescent="0.2">
      <c r="A6458" s="126">
        <v>6397</v>
      </c>
      <c r="B6458" s="1831"/>
      <c r="D6458" s="2" t="str">
        <f t="shared" si="99"/>
        <v>OK</v>
      </c>
      <c r="E6458" s="4" t="s">
        <v>1997</v>
      </c>
    </row>
    <row r="6459" spans="1:5" x14ac:dyDescent="0.2">
      <c r="A6459" s="126">
        <v>6398</v>
      </c>
      <c r="B6459" s="1831"/>
      <c r="D6459" s="2" t="str">
        <f t="shared" si="99"/>
        <v>OK</v>
      </c>
      <c r="E6459" s="4" t="s">
        <v>1997</v>
      </c>
    </row>
    <row r="6460" spans="1:5" x14ac:dyDescent="0.2">
      <c r="A6460" s="126">
        <v>6399</v>
      </c>
      <c r="B6460" s="1831"/>
      <c r="D6460" s="2" t="str">
        <f t="shared" si="99"/>
        <v>OK</v>
      </c>
      <c r="E6460" s="4" t="s">
        <v>1997</v>
      </c>
    </row>
    <row r="6461" spans="1:5" x14ac:dyDescent="0.2">
      <c r="A6461" s="126">
        <v>6400</v>
      </c>
      <c r="B6461" s="1831"/>
      <c r="D6461" s="2" t="str">
        <f t="shared" si="99"/>
        <v>OK</v>
      </c>
      <c r="E6461" s="4" t="s">
        <v>1997</v>
      </c>
    </row>
    <row r="6462" spans="1:5" x14ac:dyDescent="0.2">
      <c r="A6462" s="126">
        <v>6401</v>
      </c>
      <c r="B6462" s="1831"/>
      <c r="D6462" s="2" t="str">
        <f t="shared" si="99"/>
        <v>OK</v>
      </c>
      <c r="E6462" s="4" t="s">
        <v>1997</v>
      </c>
    </row>
    <row r="6463" spans="1:5" x14ac:dyDescent="0.2">
      <c r="A6463" s="126">
        <v>6402</v>
      </c>
      <c r="B6463" s="1831"/>
      <c r="D6463" s="2" t="str">
        <f t="shared" ref="D6463:D6526" si="100">IF(ISBLANK(B6463),"OK",IF(A6463-B6463=0,"OK","Error?"))</f>
        <v>OK</v>
      </c>
      <c r="E6463" s="4" t="s">
        <v>1997</v>
      </c>
    </row>
    <row r="6464" spans="1:5" x14ac:dyDescent="0.2">
      <c r="A6464" s="126">
        <v>6403</v>
      </c>
      <c r="B6464" s="1831"/>
      <c r="D6464" s="2" t="str">
        <f t="shared" si="100"/>
        <v>OK</v>
      </c>
      <c r="E6464" s="4" t="s">
        <v>1997</v>
      </c>
    </row>
    <row r="6465" spans="1:5" x14ac:dyDescent="0.2">
      <c r="A6465" s="126">
        <v>6404</v>
      </c>
      <c r="B6465" s="1831"/>
      <c r="D6465" s="2" t="str">
        <f t="shared" si="100"/>
        <v>OK</v>
      </c>
      <c r="E6465" s="4" t="s">
        <v>1997</v>
      </c>
    </row>
    <row r="6466" spans="1:5" x14ac:dyDescent="0.2">
      <c r="A6466" s="126">
        <v>6405</v>
      </c>
      <c r="B6466" s="1831"/>
      <c r="D6466" s="2" t="str">
        <f t="shared" si="100"/>
        <v>OK</v>
      </c>
      <c r="E6466" s="4" t="s">
        <v>1997</v>
      </c>
    </row>
    <row r="6467" spans="1:5" x14ac:dyDescent="0.2">
      <c r="A6467" s="126">
        <v>6406</v>
      </c>
      <c r="B6467" s="1831"/>
      <c r="D6467" s="2" t="str">
        <f t="shared" si="100"/>
        <v>OK</v>
      </c>
      <c r="E6467" s="4" t="s">
        <v>1997</v>
      </c>
    </row>
    <row r="6468" spans="1:5" x14ac:dyDescent="0.2">
      <c r="A6468" s="126">
        <v>6407</v>
      </c>
      <c r="B6468" s="1831"/>
      <c r="D6468" s="2" t="str">
        <f t="shared" si="100"/>
        <v>OK</v>
      </c>
      <c r="E6468" s="4" t="s">
        <v>1997</v>
      </c>
    </row>
    <row r="6469" spans="1:5" x14ac:dyDescent="0.2">
      <c r="A6469" s="126">
        <v>6408</v>
      </c>
      <c r="B6469" s="1831"/>
      <c r="D6469" s="2" t="str">
        <f t="shared" si="100"/>
        <v>OK</v>
      </c>
      <c r="E6469" s="4" t="s">
        <v>1997</v>
      </c>
    </row>
    <row r="6470" spans="1:5" x14ac:dyDescent="0.2">
      <c r="A6470" s="126">
        <v>6409</v>
      </c>
      <c r="B6470" s="1831"/>
      <c r="D6470" s="2" t="str">
        <f t="shared" si="100"/>
        <v>OK</v>
      </c>
      <c r="E6470" s="4" t="s">
        <v>1997</v>
      </c>
    </row>
    <row r="6471" spans="1:5" x14ac:dyDescent="0.2">
      <c r="A6471" s="126">
        <v>6410</v>
      </c>
      <c r="B6471" s="1831"/>
      <c r="D6471" s="2" t="str">
        <f t="shared" si="100"/>
        <v>OK</v>
      </c>
      <c r="E6471" s="4" t="s">
        <v>1997</v>
      </c>
    </row>
    <row r="6472" spans="1:5" x14ac:dyDescent="0.2">
      <c r="A6472" s="126">
        <v>6411</v>
      </c>
      <c r="B6472" s="1831"/>
      <c r="D6472" s="2" t="str">
        <f t="shared" si="100"/>
        <v>OK</v>
      </c>
      <c r="E6472" s="4" t="s">
        <v>1997</v>
      </c>
    </row>
    <row r="6473" spans="1:5" x14ac:dyDescent="0.2">
      <c r="A6473" s="126">
        <v>6412</v>
      </c>
      <c r="B6473" s="1831"/>
      <c r="D6473" s="2" t="str">
        <f t="shared" si="100"/>
        <v>OK</v>
      </c>
      <c r="E6473" s="4" t="s">
        <v>1997</v>
      </c>
    </row>
    <row r="6474" spans="1:5" x14ac:dyDescent="0.2">
      <c r="A6474" s="126">
        <v>6413</v>
      </c>
      <c r="B6474" s="1831"/>
      <c r="D6474" s="2" t="str">
        <f t="shared" si="100"/>
        <v>OK</v>
      </c>
      <c r="E6474" s="4" t="s">
        <v>1997</v>
      </c>
    </row>
    <row r="6475" spans="1:5" x14ac:dyDescent="0.2">
      <c r="A6475" s="126">
        <v>6414</v>
      </c>
      <c r="B6475" s="1831"/>
      <c r="D6475" s="2" t="str">
        <f t="shared" si="100"/>
        <v>OK</v>
      </c>
      <c r="E6475" s="4" t="s">
        <v>1997</v>
      </c>
    </row>
    <row r="6476" spans="1:5" x14ac:dyDescent="0.2">
      <c r="A6476" s="126">
        <v>6415</v>
      </c>
      <c r="B6476" s="1831"/>
      <c r="D6476" s="2" t="str">
        <f t="shared" si="100"/>
        <v>OK</v>
      </c>
      <c r="E6476" s="4" t="s">
        <v>1997</v>
      </c>
    </row>
    <row r="6477" spans="1:5" x14ac:dyDescent="0.2">
      <c r="A6477" s="126">
        <v>6416</v>
      </c>
      <c r="B6477" s="1831"/>
      <c r="D6477" s="2" t="str">
        <f t="shared" si="100"/>
        <v>OK</v>
      </c>
      <c r="E6477" s="4" t="s">
        <v>1997</v>
      </c>
    </row>
    <row r="6478" spans="1:5" x14ac:dyDescent="0.2">
      <c r="A6478" s="126">
        <v>6417</v>
      </c>
      <c r="B6478" s="1831"/>
      <c r="D6478" s="2" t="str">
        <f t="shared" si="100"/>
        <v>OK</v>
      </c>
      <c r="E6478" s="4" t="s">
        <v>1997</v>
      </c>
    </row>
    <row r="6479" spans="1:5" x14ac:dyDescent="0.2">
      <c r="A6479" s="126">
        <v>6418</v>
      </c>
      <c r="B6479" s="1831"/>
      <c r="D6479" s="2" t="str">
        <f t="shared" si="100"/>
        <v>OK</v>
      </c>
      <c r="E6479" s="4" t="s">
        <v>1997</v>
      </c>
    </row>
    <row r="6480" spans="1:5" x14ac:dyDescent="0.2">
      <c r="A6480" s="126">
        <v>6419</v>
      </c>
      <c r="B6480" s="1831"/>
      <c r="D6480" s="2" t="str">
        <f t="shared" si="100"/>
        <v>OK</v>
      </c>
      <c r="E6480" s="4" t="s">
        <v>1997</v>
      </c>
    </row>
    <row r="6481" spans="1:5" x14ac:dyDescent="0.2">
      <c r="A6481" s="126">
        <v>6420</v>
      </c>
      <c r="B6481" s="1831"/>
      <c r="D6481" s="2" t="str">
        <f t="shared" si="100"/>
        <v>OK</v>
      </c>
      <c r="E6481" s="4" t="s">
        <v>1997</v>
      </c>
    </row>
    <row r="6482" spans="1:5" x14ac:dyDescent="0.2">
      <c r="A6482" s="126">
        <v>6421</v>
      </c>
      <c r="B6482" s="1831"/>
      <c r="D6482" s="2" t="str">
        <f t="shared" si="100"/>
        <v>OK</v>
      </c>
      <c r="E6482" s="4" t="s">
        <v>1997</v>
      </c>
    </row>
    <row r="6483" spans="1:5" x14ac:dyDescent="0.2">
      <c r="A6483" s="126">
        <v>6422</v>
      </c>
      <c r="B6483" s="1831"/>
      <c r="D6483" s="2" t="str">
        <f t="shared" si="100"/>
        <v>OK</v>
      </c>
      <c r="E6483" s="4" t="s">
        <v>1997</v>
      </c>
    </row>
    <row r="6484" spans="1:5" x14ac:dyDescent="0.2">
      <c r="A6484" s="126">
        <v>6423</v>
      </c>
      <c r="B6484" s="1831"/>
      <c r="D6484" s="2" t="str">
        <f t="shared" si="100"/>
        <v>OK</v>
      </c>
      <c r="E6484" s="4" t="s">
        <v>1997</v>
      </c>
    </row>
    <row r="6485" spans="1:5" x14ac:dyDescent="0.2">
      <c r="A6485" s="126">
        <v>6424</v>
      </c>
      <c r="B6485" s="1831"/>
      <c r="D6485" s="2" t="str">
        <f t="shared" si="100"/>
        <v>OK</v>
      </c>
      <c r="E6485" s="4" t="s">
        <v>1997</v>
      </c>
    </row>
    <row r="6486" spans="1:5" x14ac:dyDescent="0.2">
      <c r="A6486" s="126">
        <v>6425</v>
      </c>
      <c r="B6486" s="1831"/>
      <c r="D6486" s="2" t="str">
        <f t="shared" si="100"/>
        <v>OK</v>
      </c>
      <c r="E6486" s="4" t="s">
        <v>1997</v>
      </c>
    </row>
    <row r="6487" spans="1:5" x14ac:dyDescent="0.2">
      <c r="A6487" s="126">
        <v>6426</v>
      </c>
      <c r="B6487" s="1831"/>
      <c r="D6487" s="2" t="str">
        <f t="shared" si="100"/>
        <v>OK</v>
      </c>
      <c r="E6487" s="4" t="s">
        <v>1997</v>
      </c>
    </row>
    <row r="6488" spans="1:5" x14ac:dyDescent="0.2">
      <c r="A6488" s="126">
        <v>6427</v>
      </c>
      <c r="B6488" s="1831"/>
      <c r="D6488" s="2" t="str">
        <f t="shared" si="100"/>
        <v>OK</v>
      </c>
      <c r="E6488" s="4" t="s">
        <v>1997</v>
      </c>
    </row>
    <row r="6489" spans="1:5" x14ac:dyDescent="0.2">
      <c r="A6489" s="126">
        <v>6428</v>
      </c>
      <c r="B6489" s="1831"/>
      <c r="D6489" s="2" t="str">
        <f t="shared" si="100"/>
        <v>OK</v>
      </c>
      <c r="E6489" s="4" t="s">
        <v>1997</v>
      </c>
    </row>
    <row r="6490" spans="1:5" x14ac:dyDescent="0.2">
      <c r="A6490" s="126">
        <v>6429</v>
      </c>
      <c r="B6490" s="1831"/>
      <c r="D6490" s="2" t="str">
        <f t="shared" si="100"/>
        <v>OK</v>
      </c>
      <c r="E6490" s="4" t="s">
        <v>1997</v>
      </c>
    </row>
    <row r="6491" spans="1:5" x14ac:dyDescent="0.2">
      <c r="A6491" s="126">
        <v>6430</v>
      </c>
      <c r="B6491" s="1831"/>
      <c r="D6491" s="2" t="str">
        <f t="shared" si="100"/>
        <v>OK</v>
      </c>
      <c r="E6491" s="4" t="s">
        <v>1997</v>
      </c>
    </row>
    <row r="6492" spans="1:5" x14ac:dyDescent="0.2">
      <c r="A6492" s="126">
        <v>6431</v>
      </c>
      <c r="B6492" s="1831"/>
      <c r="D6492" s="2" t="str">
        <f t="shared" si="100"/>
        <v>OK</v>
      </c>
      <c r="E6492" s="4" t="s">
        <v>1997</v>
      </c>
    </row>
    <row r="6493" spans="1:5" x14ac:dyDescent="0.2">
      <c r="A6493" s="126">
        <v>6432</v>
      </c>
      <c r="B6493" s="1831"/>
      <c r="D6493" s="2" t="str">
        <f t="shared" si="100"/>
        <v>OK</v>
      </c>
      <c r="E6493" s="4" t="s">
        <v>1997</v>
      </c>
    </row>
    <row r="6494" spans="1:5" x14ac:dyDescent="0.2">
      <c r="A6494" s="126">
        <v>6433</v>
      </c>
      <c r="B6494" s="1831"/>
      <c r="D6494" s="2" t="str">
        <f t="shared" si="100"/>
        <v>OK</v>
      </c>
      <c r="E6494" s="4" t="s">
        <v>1997</v>
      </c>
    </row>
    <row r="6495" spans="1:5" x14ac:dyDescent="0.2">
      <c r="A6495" s="126">
        <v>6434</v>
      </c>
      <c r="B6495" s="1831"/>
      <c r="D6495" s="2" t="str">
        <f t="shared" si="100"/>
        <v>OK</v>
      </c>
      <c r="E6495" s="4" t="s">
        <v>1997</v>
      </c>
    </row>
    <row r="6496" spans="1:5" x14ac:dyDescent="0.2">
      <c r="A6496" s="126">
        <v>6435</v>
      </c>
      <c r="B6496" s="1831"/>
      <c r="D6496" s="2" t="str">
        <f t="shared" si="100"/>
        <v>OK</v>
      </c>
      <c r="E6496" s="4" t="s">
        <v>1997</v>
      </c>
    </row>
    <row r="6497" spans="1:5" x14ac:dyDescent="0.2">
      <c r="A6497" s="126">
        <v>6436</v>
      </c>
      <c r="B6497" s="1831"/>
      <c r="D6497" s="2" t="str">
        <f t="shared" si="100"/>
        <v>OK</v>
      </c>
      <c r="E6497" s="4" t="s">
        <v>1997</v>
      </c>
    </row>
    <row r="6498" spans="1:5" x14ac:dyDescent="0.2">
      <c r="A6498" s="126">
        <v>6437</v>
      </c>
      <c r="B6498" s="1831"/>
      <c r="D6498" s="2" t="str">
        <f t="shared" si="100"/>
        <v>OK</v>
      </c>
      <c r="E6498" s="4" t="s">
        <v>1997</v>
      </c>
    </row>
    <row r="6499" spans="1:5" x14ac:dyDescent="0.2">
      <c r="A6499" s="126">
        <v>6438</v>
      </c>
      <c r="B6499" s="1831"/>
      <c r="D6499" s="2" t="str">
        <f t="shared" si="100"/>
        <v>OK</v>
      </c>
      <c r="E6499" s="4" t="s">
        <v>1997</v>
      </c>
    </row>
    <row r="6500" spans="1:5" x14ac:dyDescent="0.2">
      <c r="A6500" s="126">
        <v>6439</v>
      </c>
      <c r="B6500" s="1831"/>
      <c r="D6500" s="2" t="str">
        <f t="shared" si="100"/>
        <v>OK</v>
      </c>
      <c r="E6500" s="4" t="s">
        <v>1997</v>
      </c>
    </row>
    <row r="6501" spans="1:5" x14ac:dyDescent="0.2">
      <c r="A6501" s="126">
        <v>6440</v>
      </c>
      <c r="B6501" s="1831"/>
      <c r="D6501" s="2" t="str">
        <f t="shared" si="100"/>
        <v>OK</v>
      </c>
      <c r="E6501" s="4" t="s">
        <v>1997</v>
      </c>
    </row>
    <row r="6502" spans="1:5" x14ac:dyDescent="0.2">
      <c r="A6502" s="126">
        <v>6441</v>
      </c>
      <c r="B6502" s="1831"/>
      <c r="D6502" s="2" t="str">
        <f t="shared" si="100"/>
        <v>OK</v>
      </c>
      <c r="E6502" s="4" t="s">
        <v>1997</v>
      </c>
    </row>
    <row r="6503" spans="1:5" x14ac:dyDescent="0.2">
      <c r="A6503" s="126">
        <v>6442</v>
      </c>
      <c r="B6503" s="1831"/>
      <c r="D6503" s="2" t="str">
        <f t="shared" si="100"/>
        <v>OK</v>
      </c>
      <c r="E6503" s="4" t="s">
        <v>1997</v>
      </c>
    </row>
    <row r="6504" spans="1:5" x14ac:dyDescent="0.2">
      <c r="A6504" s="126">
        <v>6443</v>
      </c>
      <c r="B6504" s="1831"/>
      <c r="D6504" s="2" t="str">
        <f t="shared" si="100"/>
        <v>OK</v>
      </c>
      <c r="E6504" s="4" t="s">
        <v>1997</v>
      </c>
    </row>
    <row r="6505" spans="1:5" x14ac:dyDescent="0.2">
      <c r="A6505" s="126">
        <v>6444</v>
      </c>
      <c r="B6505" s="1831"/>
      <c r="D6505" s="2" t="str">
        <f t="shared" si="100"/>
        <v>OK</v>
      </c>
      <c r="E6505" s="4" t="s">
        <v>1997</v>
      </c>
    </row>
    <row r="6506" spans="1:5" x14ac:dyDescent="0.2">
      <c r="A6506" s="126">
        <v>6445</v>
      </c>
      <c r="B6506" s="1831"/>
      <c r="D6506" s="2" t="str">
        <f t="shared" si="100"/>
        <v>OK</v>
      </c>
      <c r="E6506" s="4" t="s">
        <v>1997</v>
      </c>
    </row>
    <row r="6507" spans="1:5" x14ac:dyDescent="0.2">
      <c r="A6507" s="126">
        <v>6446</v>
      </c>
      <c r="B6507" s="1831"/>
      <c r="D6507" s="2" t="str">
        <f t="shared" si="100"/>
        <v>OK</v>
      </c>
      <c r="E6507" s="4" t="s">
        <v>1997</v>
      </c>
    </row>
    <row r="6508" spans="1:5" x14ac:dyDescent="0.2">
      <c r="A6508" s="126">
        <v>6447</v>
      </c>
      <c r="B6508" s="1831"/>
      <c r="D6508" s="2" t="str">
        <f t="shared" si="100"/>
        <v>OK</v>
      </c>
      <c r="E6508" s="4" t="s">
        <v>1997</v>
      </c>
    </row>
    <row r="6509" spans="1:5" x14ac:dyDescent="0.2">
      <c r="A6509" s="126">
        <v>6448</v>
      </c>
      <c r="B6509" s="1831"/>
      <c r="D6509" s="2" t="str">
        <f t="shared" si="100"/>
        <v>OK</v>
      </c>
      <c r="E6509" s="4" t="s">
        <v>1997</v>
      </c>
    </row>
    <row r="6510" spans="1:5" x14ac:dyDescent="0.2">
      <c r="A6510" s="126">
        <v>6449</v>
      </c>
      <c r="B6510" s="1831"/>
      <c r="D6510" s="2" t="str">
        <f t="shared" si="100"/>
        <v>OK</v>
      </c>
      <c r="E6510" s="4" t="s">
        <v>1997</v>
      </c>
    </row>
    <row r="6511" spans="1:5" x14ac:dyDescent="0.2">
      <c r="A6511" s="126">
        <v>6450</v>
      </c>
      <c r="B6511" s="1831"/>
      <c r="D6511" s="2" t="str">
        <f t="shared" si="100"/>
        <v>OK</v>
      </c>
      <c r="E6511" s="4" t="s">
        <v>1997</v>
      </c>
    </row>
    <row r="6512" spans="1:5" x14ac:dyDescent="0.2">
      <c r="A6512" s="126">
        <v>6451</v>
      </c>
      <c r="B6512" s="1831"/>
      <c r="D6512" s="2" t="str">
        <f t="shared" si="100"/>
        <v>OK</v>
      </c>
      <c r="E6512" s="4" t="s">
        <v>1997</v>
      </c>
    </row>
    <row r="6513" spans="1:5" x14ac:dyDescent="0.2">
      <c r="A6513" s="126">
        <v>6452</v>
      </c>
      <c r="B6513" s="1831"/>
      <c r="D6513" s="2" t="str">
        <f t="shared" si="100"/>
        <v>OK</v>
      </c>
      <c r="E6513" s="4" t="s">
        <v>1997</v>
      </c>
    </row>
    <row r="6514" spans="1:5" x14ac:dyDescent="0.2">
      <c r="A6514" s="126">
        <v>6453</v>
      </c>
      <c r="B6514" s="1831"/>
      <c r="D6514" s="2" t="str">
        <f t="shared" si="100"/>
        <v>OK</v>
      </c>
      <c r="E6514" s="4" t="s">
        <v>1997</v>
      </c>
    </row>
    <row r="6515" spans="1:5" x14ac:dyDescent="0.2">
      <c r="A6515" s="126">
        <v>6454</v>
      </c>
      <c r="B6515" s="1831"/>
      <c r="D6515" s="2" t="str">
        <f t="shared" si="100"/>
        <v>OK</v>
      </c>
      <c r="E6515" s="4" t="s">
        <v>1997</v>
      </c>
    </row>
    <row r="6516" spans="1:5" x14ac:dyDescent="0.2">
      <c r="A6516" s="126">
        <v>6455</v>
      </c>
      <c r="B6516" s="1831"/>
      <c r="D6516" s="2" t="str">
        <f t="shared" si="100"/>
        <v>OK</v>
      </c>
      <c r="E6516" s="4" t="s">
        <v>1997</v>
      </c>
    </row>
    <row r="6517" spans="1:5" x14ac:dyDescent="0.2">
      <c r="A6517" s="126">
        <v>6456</v>
      </c>
      <c r="B6517" s="1831"/>
      <c r="D6517" s="2" t="str">
        <f t="shared" si="100"/>
        <v>OK</v>
      </c>
      <c r="E6517" s="4" t="s">
        <v>1997</v>
      </c>
    </row>
    <row r="6518" spans="1:5" x14ac:dyDescent="0.2">
      <c r="A6518" s="126">
        <v>6457</v>
      </c>
      <c r="B6518" s="1831"/>
      <c r="D6518" s="2" t="str">
        <f t="shared" si="100"/>
        <v>OK</v>
      </c>
      <c r="E6518" s="4" t="s">
        <v>1997</v>
      </c>
    </row>
    <row r="6519" spans="1:5" x14ac:dyDescent="0.2">
      <c r="A6519" s="126">
        <v>6458</v>
      </c>
      <c r="B6519" s="1831"/>
      <c r="D6519" s="2" t="str">
        <f t="shared" si="100"/>
        <v>OK</v>
      </c>
      <c r="E6519" s="4" t="s">
        <v>1997</v>
      </c>
    </row>
    <row r="6520" spans="1:5" x14ac:dyDescent="0.2">
      <c r="A6520" s="126">
        <v>6459</v>
      </c>
      <c r="B6520" s="1831"/>
      <c r="D6520" s="2" t="str">
        <f t="shared" si="100"/>
        <v>OK</v>
      </c>
      <c r="E6520" s="4" t="s">
        <v>1997</v>
      </c>
    </row>
    <row r="6521" spans="1:5" x14ac:dyDescent="0.2">
      <c r="A6521" s="126">
        <v>6460</v>
      </c>
      <c r="B6521" s="1831"/>
      <c r="D6521" s="2" t="str">
        <f t="shared" si="100"/>
        <v>OK</v>
      </c>
      <c r="E6521" s="4" t="s">
        <v>1997</v>
      </c>
    </row>
    <row r="6522" spans="1:5" x14ac:dyDescent="0.2">
      <c r="A6522" s="126">
        <v>6461</v>
      </c>
      <c r="B6522" s="1831"/>
      <c r="D6522" s="2" t="str">
        <f t="shared" si="100"/>
        <v>OK</v>
      </c>
      <c r="E6522" s="4" t="s">
        <v>1997</v>
      </c>
    </row>
    <row r="6523" spans="1:5" x14ac:dyDescent="0.2">
      <c r="A6523" s="126">
        <v>6462</v>
      </c>
      <c r="B6523" s="1831"/>
      <c r="D6523" s="2" t="str">
        <f t="shared" si="100"/>
        <v>OK</v>
      </c>
      <c r="E6523" s="4" t="s">
        <v>1997</v>
      </c>
    </row>
    <row r="6524" spans="1:5" x14ac:dyDescent="0.2">
      <c r="A6524" s="126">
        <v>6463</v>
      </c>
      <c r="B6524" s="1831"/>
      <c r="D6524" s="2" t="str">
        <f t="shared" si="100"/>
        <v>OK</v>
      </c>
      <c r="E6524" s="4" t="s">
        <v>1997</v>
      </c>
    </row>
    <row r="6525" spans="1:5" x14ac:dyDescent="0.2">
      <c r="A6525" s="126">
        <v>6464</v>
      </c>
      <c r="B6525" s="1831"/>
      <c r="D6525" s="2" t="str">
        <f t="shared" si="100"/>
        <v>OK</v>
      </c>
      <c r="E6525" s="4" t="s">
        <v>1997</v>
      </c>
    </row>
    <row r="6526" spans="1:5" x14ac:dyDescent="0.2">
      <c r="A6526" s="126">
        <v>6465</v>
      </c>
      <c r="B6526" s="1831"/>
      <c r="D6526" s="2" t="str">
        <f t="shared" si="100"/>
        <v>OK</v>
      </c>
      <c r="E6526" s="4" t="s">
        <v>1997</v>
      </c>
    </row>
    <row r="6527" spans="1:5" x14ac:dyDescent="0.2">
      <c r="A6527" s="126">
        <v>6466</v>
      </c>
      <c r="B6527" s="1831"/>
      <c r="D6527" s="2" t="str">
        <f t="shared" ref="D6527:D6590" si="101">IF(ISBLANK(B6527),"OK",IF(A6527-B6527=0,"OK","Error?"))</f>
        <v>OK</v>
      </c>
      <c r="E6527" s="4" t="s">
        <v>1997</v>
      </c>
    </row>
    <row r="6528" spans="1:5" x14ac:dyDescent="0.2">
      <c r="A6528" s="126">
        <v>6467</v>
      </c>
      <c r="B6528" s="1831"/>
      <c r="D6528" s="2" t="str">
        <f t="shared" si="101"/>
        <v>OK</v>
      </c>
      <c r="E6528" s="4" t="s">
        <v>1997</v>
      </c>
    </row>
    <row r="6529" spans="1:5" x14ac:dyDescent="0.2">
      <c r="A6529" s="126">
        <v>6468</v>
      </c>
      <c r="B6529" s="1831"/>
      <c r="D6529" s="2" t="str">
        <f t="shared" si="101"/>
        <v>OK</v>
      </c>
      <c r="E6529" s="4" t="s">
        <v>1997</v>
      </c>
    </row>
    <row r="6530" spans="1:5" x14ac:dyDescent="0.2">
      <c r="A6530" s="126">
        <v>6469</v>
      </c>
      <c r="B6530" s="1831"/>
      <c r="D6530" s="2" t="str">
        <f t="shared" si="101"/>
        <v>OK</v>
      </c>
      <c r="E6530" s="4" t="s">
        <v>1997</v>
      </c>
    </row>
    <row r="6531" spans="1:5" x14ac:dyDescent="0.2">
      <c r="A6531" s="126">
        <v>6470</v>
      </c>
      <c r="B6531" s="1831"/>
      <c r="D6531" s="2" t="str">
        <f t="shared" si="101"/>
        <v>OK</v>
      </c>
      <c r="E6531" s="4" t="s">
        <v>1997</v>
      </c>
    </row>
    <row r="6532" spans="1:5" x14ac:dyDescent="0.2">
      <c r="A6532" s="126">
        <v>6471</v>
      </c>
      <c r="B6532" s="1831"/>
      <c r="D6532" s="2" t="str">
        <f t="shared" si="101"/>
        <v>OK</v>
      </c>
      <c r="E6532" s="4" t="s">
        <v>1997</v>
      </c>
    </row>
    <row r="6533" spans="1:5" x14ac:dyDescent="0.2">
      <c r="A6533" s="126">
        <v>6472</v>
      </c>
      <c r="B6533" s="1831"/>
      <c r="D6533" s="2" t="str">
        <f t="shared" si="101"/>
        <v>OK</v>
      </c>
      <c r="E6533" s="4" t="s">
        <v>1997</v>
      </c>
    </row>
    <row r="6534" spans="1:5" x14ac:dyDescent="0.2">
      <c r="A6534" s="126">
        <v>6473</v>
      </c>
      <c r="B6534" s="1831"/>
      <c r="D6534" s="2" t="str">
        <f t="shared" si="101"/>
        <v>OK</v>
      </c>
      <c r="E6534" s="4" t="s">
        <v>1997</v>
      </c>
    </row>
    <row r="6535" spans="1:5" x14ac:dyDescent="0.2">
      <c r="A6535" s="126">
        <v>6474</v>
      </c>
      <c r="B6535" s="1831"/>
      <c r="D6535" s="2" t="str">
        <f t="shared" si="101"/>
        <v>OK</v>
      </c>
      <c r="E6535" s="4" t="s">
        <v>1997</v>
      </c>
    </row>
    <row r="6536" spans="1:5" x14ac:dyDescent="0.2">
      <c r="A6536" s="126">
        <v>6475</v>
      </c>
      <c r="B6536" s="1831"/>
      <c r="D6536" s="2" t="str">
        <f t="shared" si="101"/>
        <v>OK</v>
      </c>
      <c r="E6536" s="4" t="s">
        <v>1997</v>
      </c>
    </row>
    <row r="6537" spans="1:5" x14ac:dyDescent="0.2">
      <c r="A6537" s="126">
        <v>6476</v>
      </c>
      <c r="B6537" s="1831"/>
      <c r="D6537" s="2" t="str">
        <f t="shared" si="101"/>
        <v>OK</v>
      </c>
      <c r="E6537" s="4" t="s">
        <v>1997</v>
      </c>
    </row>
    <row r="6538" spans="1:5" x14ac:dyDescent="0.2">
      <c r="A6538" s="126">
        <v>6477</v>
      </c>
      <c r="B6538" s="1831"/>
      <c r="D6538" s="2" t="str">
        <f t="shared" si="101"/>
        <v>OK</v>
      </c>
      <c r="E6538" s="4" t="s">
        <v>1997</v>
      </c>
    </row>
    <row r="6539" spans="1:5" x14ac:dyDescent="0.2">
      <c r="A6539" s="126">
        <v>6478</v>
      </c>
      <c r="B6539" s="1831"/>
      <c r="D6539" s="2" t="str">
        <f t="shared" si="101"/>
        <v>OK</v>
      </c>
      <c r="E6539" s="4" t="s">
        <v>1997</v>
      </c>
    </row>
    <row r="6540" spans="1:5" x14ac:dyDescent="0.2">
      <c r="A6540" s="126">
        <v>6479</v>
      </c>
      <c r="B6540" s="1831"/>
      <c r="D6540" s="2" t="str">
        <f t="shared" si="101"/>
        <v>OK</v>
      </c>
      <c r="E6540" s="4" t="s">
        <v>1997</v>
      </c>
    </row>
    <row r="6541" spans="1:5" x14ac:dyDescent="0.2">
      <c r="A6541" s="126">
        <v>6480</v>
      </c>
      <c r="B6541" s="1831"/>
      <c r="D6541" s="2" t="str">
        <f t="shared" si="101"/>
        <v>OK</v>
      </c>
      <c r="E6541" s="4" t="s">
        <v>1997</v>
      </c>
    </row>
    <row r="6542" spans="1:5" x14ac:dyDescent="0.2">
      <c r="A6542" s="126">
        <v>6481</v>
      </c>
      <c r="B6542" s="1831"/>
      <c r="D6542" s="2" t="str">
        <f t="shared" si="101"/>
        <v>OK</v>
      </c>
      <c r="E6542" s="4" t="s">
        <v>1997</v>
      </c>
    </row>
    <row r="6543" spans="1:5" x14ac:dyDescent="0.2">
      <c r="A6543" s="126">
        <v>6482</v>
      </c>
      <c r="B6543" s="1831"/>
      <c r="D6543" s="2" t="str">
        <f t="shared" si="101"/>
        <v>OK</v>
      </c>
      <c r="E6543" s="4" t="s">
        <v>1997</v>
      </c>
    </row>
    <row r="6544" spans="1:5" x14ac:dyDescent="0.2">
      <c r="A6544" s="126">
        <v>6483</v>
      </c>
      <c r="B6544" s="1831"/>
      <c r="D6544" s="2" t="str">
        <f t="shared" si="101"/>
        <v>OK</v>
      </c>
      <c r="E6544" s="4" t="s">
        <v>1997</v>
      </c>
    </row>
    <row r="6545" spans="1:5" x14ac:dyDescent="0.2">
      <c r="A6545" s="126">
        <v>6484</v>
      </c>
      <c r="B6545" s="1831"/>
      <c r="D6545" s="2" t="str">
        <f t="shared" si="101"/>
        <v>OK</v>
      </c>
      <c r="E6545" s="4" t="s">
        <v>1997</v>
      </c>
    </row>
    <row r="6546" spans="1:5" x14ac:dyDescent="0.2">
      <c r="A6546" s="126">
        <v>6485</v>
      </c>
      <c r="B6546" s="1831"/>
      <c r="D6546" s="2" t="str">
        <f t="shared" si="101"/>
        <v>OK</v>
      </c>
      <c r="E6546" s="4" t="s">
        <v>1997</v>
      </c>
    </row>
    <row r="6547" spans="1:5" x14ac:dyDescent="0.2">
      <c r="A6547" s="126">
        <v>6486</v>
      </c>
      <c r="B6547" s="1831"/>
      <c r="D6547" s="2" t="str">
        <f t="shared" si="101"/>
        <v>OK</v>
      </c>
      <c r="E6547" s="4" t="s">
        <v>1997</v>
      </c>
    </row>
    <row r="6548" spans="1:5" x14ac:dyDescent="0.2">
      <c r="A6548" s="126">
        <v>6487</v>
      </c>
      <c r="B6548" s="1831"/>
      <c r="D6548" s="2" t="str">
        <f t="shared" si="101"/>
        <v>OK</v>
      </c>
      <c r="E6548" s="4" t="s">
        <v>1997</v>
      </c>
    </row>
    <row r="6549" spans="1:5" x14ac:dyDescent="0.2">
      <c r="A6549" s="126">
        <v>6488</v>
      </c>
      <c r="B6549" s="1831"/>
      <c r="D6549" s="2" t="str">
        <f t="shared" si="101"/>
        <v>OK</v>
      </c>
      <c r="E6549" s="4" t="s">
        <v>1997</v>
      </c>
    </row>
    <row r="6550" spans="1:5" x14ac:dyDescent="0.2">
      <c r="A6550" s="126">
        <v>6489</v>
      </c>
      <c r="B6550" s="1831"/>
      <c r="D6550" s="2" t="str">
        <f t="shared" si="101"/>
        <v>OK</v>
      </c>
      <c r="E6550" s="4" t="s">
        <v>1997</v>
      </c>
    </row>
    <row r="6551" spans="1:5" x14ac:dyDescent="0.2">
      <c r="A6551" s="126">
        <v>6490</v>
      </c>
      <c r="B6551" s="1831"/>
      <c r="D6551" s="2" t="str">
        <f t="shared" si="101"/>
        <v>OK</v>
      </c>
      <c r="E6551" s="4" t="s">
        <v>1997</v>
      </c>
    </row>
    <row r="6552" spans="1:5" x14ac:dyDescent="0.2">
      <c r="A6552" s="126">
        <v>6491</v>
      </c>
      <c r="B6552" s="1831"/>
      <c r="D6552" s="2" t="str">
        <f t="shared" si="101"/>
        <v>OK</v>
      </c>
      <c r="E6552" s="4" t="s">
        <v>1997</v>
      </c>
    </row>
    <row r="6553" spans="1:5" x14ac:dyDescent="0.2">
      <c r="A6553" s="126">
        <v>6492</v>
      </c>
      <c r="B6553" s="1831"/>
      <c r="D6553" s="2" t="str">
        <f t="shared" si="101"/>
        <v>OK</v>
      </c>
      <c r="E6553" s="4" t="s">
        <v>1997</v>
      </c>
    </row>
    <row r="6554" spans="1:5" x14ac:dyDescent="0.2">
      <c r="A6554" s="126">
        <v>6493</v>
      </c>
      <c r="B6554" s="1831"/>
      <c r="D6554" s="2" t="str">
        <f t="shared" si="101"/>
        <v>OK</v>
      </c>
      <c r="E6554" s="4" t="s">
        <v>1997</v>
      </c>
    </row>
    <row r="6555" spans="1:5" x14ac:dyDescent="0.2">
      <c r="A6555" s="126">
        <v>6494</v>
      </c>
      <c r="B6555" s="1831"/>
      <c r="D6555" s="2" t="str">
        <f t="shared" si="101"/>
        <v>OK</v>
      </c>
      <c r="E6555" s="4" t="s">
        <v>1997</v>
      </c>
    </row>
    <row r="6556" spans="1:5" x14ac:dyDescent="0.2">
      <c r="A6556" s="126">
        <v>6495</v>
      </c>
      <c r="B6556" s="1831"/>
      <c r="D6556" s="2" t="str">
        <f t="shared" si="101"/>
        <v>OK</v>
      </c>
      <c r="E6556" s="4" t="s">
        <v>1997</v>
      </c>
    </row>
    <row r="6557" spans="1:5" x14ac:dyDescent="0.2">
      <c r="A6557" s="126">
        <v>6496</v>
      </c>
      <c r="B6557" s="1831"/>
      <c r="D6557" s="2" t="str">
        <f t="shared" si="101"/>
        <v>OK</v>
      </c>
      <c r="E6557" s="4" t="s">
        <v>1997</v>
      </c>
    </row>
    <row r="6558" spans="1:5" x14ac:dyDescent="0.2">
      <c r="A6558" s="126">
        <v>6497</v>
      </c>
      <c r="B6558" s="1831"/>
      <c r="D6558" s="2" t="str">
        <f t="shared" si="101"/>
        <v>OK</v>
      </c>
      <c r="E6558" s="4" t="s">
        <v>1997</v>
      </c>
    </row>
    <row r="6559" spans="1:5" x14ac:dyDescent="0.2">
      <c r="A6559" s="126">
        <v>6498</v>
      </c>
      <c r="B6559" s="1831"/>
      <c r="D6559" s="2" t="str">
        <f t="shared" si="101"/>
        <v>OK</v>
      </c>
      <c r="E6559" s="4" t="s">
        <v>1997</v>
      </c>
    </row>
    <row r="6560" spans="1:5" x14ac:dyDescent="0.2">
      <c r="A6560" s="126">
        <v>6499</v>
      </c>
      <c r="B6560" s="1831"/>
      <c r="D6560" s="2" t="str">
        <f t="shared" si="101"/>
        <v>OK</v>
      </c>
      <c r="E6560" s="4" t="s">
        <v>1997</v>
      </c>
    </row>
    <row r="6561" spans="1:5" x14ac:dyDescent="0.2">
      <c r="A6561" s="126">
        <v>6500</v>
      </c>
      <c r="B6561" s="1831"/>
      <c r="D6561" s="2" t="str">
        <f t="shared" si="101"/>
        <v>OK</v>
      </c>
      <c r="E6561" s="4" t="s">
        <v>1997</v>
      </c>
    </row>
    <row r="6562" spans="1:5" x14ac:dyDescent="0.2">
      <c r="A6562" s="126">
        <v>6501</v>
      </c>
      <c r="B6562" s="1831"/>
      <c r="D6562" s="2" t="str">
        <f t="shared" si="101"/>
        <v>OK</v>
      </c>
      <c r="E6562" s="4" t="s">
        <v>1997</v>
      </c>
    </row>
    <row r="6563" spans="1:5" x14ac:dyDescent="0.2">
      <c r="A6563" s="126">
        <v>6502</v>
      </c>
      <c r="B6563" s="1831"/>
      <c r="D6563" s="2" t="str">
        <f t="shared" si="101"/>
        <v>OK</v>
      </c>
      <c r="E6563" s="4" t="s">
        <v>1997</v>
      </c>
    </row>
    <row r="6564" spans="1:5" x14ac:dyDescent="0.2">
      <c r="A6564" s="126">
        <v>6503</v>
      </c>
      <c r="B6564" s="1831"/>
      <c r="D6564" s="2" t="str">
        <f t="shared" si="101"/>
        <v>OK</v>
      </c>
      <c r="E6564" s="4" t="s">
        <v>1997</v>
      </c>
    </row>
    <row r="6565" spans="1:5" x14ac:dyDescent="0.2">
      <c r="A6565" s="126">
        <v>6504</v>
      </c>
      <c r="B6565" s="1831"/>
      <c r="D6565" s="2" t="str">
        <f t="shared" si="101"/>
        <v>OK</v>
      </c>
      <c r="E6565" s="4" t="s">
        <v>1997</v>
      </c>
    </row>
    <row r="6566" spans="1:5" x14ac:dyDescent="0.2">
      <c r="A6566" s="126">
        <v>6505</v>
      </c>
      <c r="B6566" s="1831"/>
      <c r="D6566" s="2" t="str">
        <f t="shared" si="101"/>
        <v>OK</v>
      </c>
      <c r="E6566" s="4" t="s">
        <v>1997</v>
      </c>
    </row>
    <row r="6567" spans="1:5" x14ac:dyDescent="0.2">
      <c r="A6567" s="126">
        <v>6506</v>
      </c>
      <c r="B6567" s="1831"/>
      <c r="D6567" s="2" t="str">
        <f t="shared" si="101"/>
        <v>OK</v>
      </c>
      <c r="E6567" s="4" t="s">
        <v>1997</v>
      </c>
    </row>
    <row r="6568" spans="1:5" x14ac:dyDescent="0.2">
      <c r="A6568" s="126">
        <v>6507</v>
      </c>
      <c r="B6568" s="1831"/>
      <c r="D6568" s="2" t="str">
        <f t="shared" si="101"/>
        <v>OK</v>
      </c>
      <c r="E6568" s="4" t="s">
        <v>1997</v>
      </c>
    </row>
    <row r="6569" spans="1:5" x14ac:dyDescent="0.2">
      <c r="A6569" s="126">
        <v>6508</v>
      </c>
      <c r="B6569" s="1831"/>
      <c r="D6569" s="2" t="str">
        <f t="shared" si="101"/>
        <v>OK</v>
      </c>
      <c r="E6569" s="4" t="s">
        <v>1997</v>
      </c>
    </row>
    <row r="6570" spans="1:5" x14ac:dyDescent="0.2">
      <c r="A6570" s="126">
        <v>6509</v>
      </c>
      <c r="B6570" s="1831"/>
      <c r="D6570" s="2" t="str">
        <f t="shared" si="101"/>
        <v>OK</v>
      </c>
      <c r="E6570" s="4" t="s">
        <v>1997</v>
      </c>
    </row>
    <row r="6571" spans="1:5" x14ac:dyDescent="0.2">
      <c r="A6571" s="126">
        <v>6510</v>
      </c>
      <c r="B6571" s="1831"/>
      <c r="D6571" s="2" t="str">
        <f t="shared" si="101"/>
        <v>OK</v>
      </c>
      <c r="E6571" s="4" t="s">
        <v>1997</v>
      </c>
    </row>
    <row r="6572" spans="1:5" x14ac:dyDescent="0.2">
      <c r="A6572" s="126">
        <v>6511</v>
      </c>
      <c r="B6572" s="1831"/>
      <c r="D6572" s="2" t="str">
        <f t="shared" si="101"/>
        <v>OK</v>
      </c>
      <c r="E6572" s="4" t="s">
        <v>1997</v>
      </c>
    </row>
    <row r="6573" spans="1:5" x14ac:dyDescent="0.2">
      <c r="A6573" s="126">
        <v>6512</v>
      </c>
      <c r="B6573" s="1831"/>
      <c r="D6573" s="2" t="str">
        <f t="shared" si="101"/>
        <v>OK</v>
      </c>
      <c r="E6573" s="4" t="s">
        <v>1997</v>
      </c>
    </row>
    <row r="6574" spans="1:5" x14ac:dyDescent="0.2">
      <c r="A6574" s="126">
        <v>6513</v>
      </c>
      <c r="B6574" s="1831"/>
      <c r="D6574" s="2" t="str">
        <f t="shared" si="101"/>
        <v>OK</v>
      </c>
      <c r="E6574" s="4" t="s">
        <v>1997</v>
      </c>
    </row>
    <row r="6575" spans="1:5" x14ac:dyDescent="0.2">
      <c r="A6575" s="126">
        <v>6514</v>
      </c>
      <c r="B6575" s="1831"/>
      <c r="D6575" s="2" t="str">
        <f t="shared" si="101"/>
        <v>OK</v>
      </c>
      <c r="E6575" s="4" t="s">
        <v>1997</v>
      </c>
    </row>
    <row r="6576" spans="1:5" x14ac:dyDescent="0.2">
      <c r="A6576" s="126">
        <v>6515</v>
      </c>
      <c r="B6576" s="1831"/>
      <c r="D6576" s="2" t="str">
        <f t="shared" si="101"/>
        <v>OK</v>
      </c>
      <c r="E6576" s="4" t="s">
        <v>1997</v>
      </c>
    </row>
    <row r="6577" spans="1:5" x14ac:dyDescent="0.2">
      <c r="A6577" s="126">
        <v>6516</v>
      </c>
      <c r="B6577" s="1831"/>
      <c r="D6577" s="2" t="str">
        <f t="shared" si="101"/>
        <v>OK</v>
      </c>
      <c r="E6577" s="4" t="s">
        <v>1997</v>
      </c>
    </row>
    <row r="6578" spans="1:5" x14ac:dyDescent="0.2">
      <c r="A6578" s="126">
        <v>6517</v>
      </c>
      <c r="B6578" s="1831"/>
      <c r="D6578" s="2" t="str">
        <f t="shared" si="101"/>
        <v>OK</v>
      </c>
      <c r="E6578" s="4" t="s">
        <v>1997</v>
      </c>
    </row>
    <row r="6579" spans="1:5" x14ac:dyDescent="0.2">
      <c r="A6579" s="126">
        <v>6518</v>
      </c>
      <c r="B6579" s="1831"/>
      <c r="D6579" s="2" t="str">
        <f t="shared" si="101"/>
        <v>OK</v>
      </c>
      <c r="E6579" s="4" t="s">
        <v>1997</v>
      </c>
    </row>
    <row r="6580" spans="1:5" x14ac:dyDescent="0.2">
      <c r="A6580" s="126">
        <v>6519</v>
      </c>
      <c r="B6580" s="1831"/>
      <c r="D6580" s="2" t="str">
        <f t="shared" si="101"/>
        <v>OK</v>
      </c>
      <c r="E6580" s="4" t="s">
        <v>1997</v>
      </c>
    </row>
    <row r="6581" spans="1:5" x14ac:dyDescent="0.2">
      <c r="A6581" s="126">
        <v>6520</v>
      </c>
      <c r="B6581" s="1831"/>
      <c r="D6581" s="2" t="str">
        <f t="shared" si="101"/>
        <v>OK</v>
      </c>
      <c r="E6581" s="4" t="s">
        <v>1997</v>
      </c>
    </row>
    <row r="6582" spans="1:5" x14ac:dyDescent="0.2">
      <c r="A6582" s="126">
        <v>6521</v>
      </c>
      <c r="B6582" s="1831"/>
      <c r="D6582" s="2" t="str">
        <f t="shared" si="101"/>
        <v>OK</v>
      </c>
      <c r="E6582" s="4" t="s">
        <v>1997</v>
      </c>
    </row>
    <row r="6583" spans="1:5" x14ac:dyDescent="0.2">
      <c r="A6583" s="126">
        <v>6522</v>
      </c>
      <c r="B6583" s="1831"/>
      <c r="D6583" s="2" t="str">
        <f t="shared" si="101"/>
        <v>OK</v>
      </c>
      <c r="E6583" s="4" t="s">
        <v>1997</v>
      </c>
    </row>
    <row r="6584" spans="1:5" x14ac:dyDescent="0.2">
      <c r="A6584" s="126">
        <v>6523</v>
      </c>
      <c r="B6584" s="1831"/>
      <c r="D6584" s="2" t="str">
        <f t="shared" si="101"/>
        <v>OK</v>
      </c>
      <c r="E6584" s="4" t="s">
        <v>1997</v>
      </c>
    </row>
    <row r="6585" spans="1:5" x14ac:dyDescent="0.2">
      <c r="A6585" s="126">
        <v>6524</v>
      </c>
      <c r="B6585" s="1831"/>
      <c r="D6585" s="2" t="str">
        <f t="shared" si="101"/>
        <v>OK</v>
      </c>
      <c r="E6585" s="4" t="s">
        <v>1997</v>
      </c>
    </row>
    <row r="6586" spans="1:5" x14ac:dyDescent="0.2">
      <c r="A6586" s="126">
        <v>6525</v>
      </c>
      <c r="B6586" s="1831"/>
      <c r="D6586" s="2" t="str">
        <f t="shared" si="101"/>
        <v>OK</v>
      </c>
      <c r="E6586" s="4" t="s">
        <v>1997</v>
      </c>
    </row>
    <row r="6587" spans="1:5" x14ac:dyDescent="0.2">
      <c r="A6587" s="126">
        <v>6526</v>
      </c>
      <c r="B6587" s="1831"/>
      <c r="D6587" s="2" t="str">
        <f t="shared" si="101"/>
        <v>OK</v>
      </c>
      <c r="E6587" s="4" t="s">
        <v>1997</v>
      </c>
    </row>
    <row r="6588" spans="1:5" x14ac:dyDescent="0.2">
      <c r="A6588" s="126">
        <v>6527</v>
      </c>
      <c r="B6588" s="1831"/>
      <c r="D6588" s="2" t="str">
        <f t="shared" si="101"/>
        <v>OK</v>
      </c>
      <c r="E6588" s="4" t="s">
        <v>1997</v>
      </c>
    </row>
    <row r="6589" spans="1:5" x14ac:dyDescent="0.2">
      <c r="A6589" s="126">
        <v>6528</v>
      </c>
      <c r="B6589" s="1831"/>
      <c r="D6589" s="2" t="str">
        <f t="shared" si="101"/>
        <v>OK</v>
      </c>
      <c r="E6589" s="4" t="s">
        <v>1997</v>
      </c>
    </row>
    <row r="6590" spans="1:5" x14ac:dyDescent="0.2">
      <c r="A6590" s="126">
        <v>6529</v>
      </c>
      <c r="B6590" s="1831"/>
      <c r="D6590" s="2" t="str">
        <f t="shared" si="101"/>
        <v>OK</v>
      </c>
      <c r="E6590" s="4" t="s">
        <v>1997</v>
      </c>
    </row>
    <row r="6591" spans="1:5" x14ac:dyDescent="0.2">
      <c r="A6591" s="126">
        <v>6530</v>
      </c>
      <c r="B6591" s="1831"/>
      <c r="D6591" s="2" t="str">
        <f t="shared" ref="D6591:D6654" si="102">IF(ISBLANK(B6591),"OK",IF(A6591-B6591=0,"OK","Error?"))</f>
        <v>OK</v>
      </c>
      <c r="E6591" s="4" t="s">
        <v>1997</v>
      </c>
    </row>
    <row r="6592" spans="1:5" x14ac:dyDescent="0.2">
      <c r="A6592" s="126">
        <v>6531</v>
      </c>
      <c r="B6592" s="1831"/>
      <c r="D6592" s="2" t="str">
        <f t="shared" si="102"/>
        <v>OK</v>
      </c>
      <c r="E6592" s="4" t="s">
        <v>1997</v>
      </c>
    </row>
    <row r="6593" spans="1:5" x14ac:dyDescent="0.2">
      <c r="A6593" s="126">
        <v>6532</v>
      </c>
      <c r="B6593" s="1831"/>
      <c r="D6593" s="2" t="str">
        <f t="shared" si="102"/>
        <v>OK</v>
      </c>
      <c r="E6593" s="4" t="s">
        <v>1997</v>
      </c>
    </row>
    <row r="6594" spans="1:5" x14ac:dyDescent="0.2">
      <c r="A6594" s="126">
        <v>6533</v>
      </c>
      <c r="B6594" s="1831"/>
      <c r="D6594" s="2" t="str">
        <f t="shared" si="102"/>
        <v>OK</v>
      </c>
      <c r="E6594" s="4" t="s">
        <v>1997</v>
      </c>
    </row>
    <row r="6595" spans="1:5" x14ac:dyDescent="0.2">
      <c r="A6595" s="126">
        <v>6534</v>
      </c>
      <c r="B6595" s="1831"/>
      <c r="D6595" s="2" t="str">
        <f t="shared" si="102"/>
        <v>OK</v>
      </c>
      <c r="E6595" s="4" t="s">
        <v>1997</v>
      </c>
    </row>
    <row r="6596" spans="1:5" x14ac:dyDescent="0.2">
      <c r="A6596" s="126">
        <v>6535</v>
      </c>
      <c r="B6596" s="1831"/>
      <c r="D6596" s="2" t="str">
        <f t="shared" si="102"/>
        <v>OK</v>
      </c>
      <c r="E6596" s="4" t="s">
        <v>1997</v>
      </c>
    </row>
    <row r="6597" spans="1:5" x14ac:dyDescent="0.2">
      <c r="A6597" s="126">
        <v>6536</v>
      </c>
      <c r="B6597" s="1831"/>
      <c r="D6597" s="2" t="str">
        <f t="shared" si="102"/>
        <v>OK</v>
      </c>
      <c r="E6597" s="4" t="s">
        <v>1997</v>
      </c>
    </row>
    <row r="6598" spans="1:5" x14ac:dyDescent="0.2">
      <c r="A6598" s="126">
        <v>6537</v>
      </c>
      <c r="B6598" s="1831"/>
      <c r="D6598" s="2" t="str">
        <f t="shared" si="102"/>
        <v>OK</v>
      </c>
      <c r="E6598" s="4" t="s">
        <v>1997</v>
      </c>
    </row>
    <row r="6599" spans="1:5" x14ac:dyDescent="0.2">
      <c r="A6599" s="126">
        <v>6538</v>
      </c>
      <c r="B6599" s="1831"/>
      <c r="D6599" s="2" t="str">
        <f t="shared" si="102"/>
        <v>OK</v>
      </c>
      <c r="E6599" s="4" t="s">
        <v>1997</v>
      </c>
    </row>
    <row r="6600" spans="1:5" x14ac:dyDescent="0.2">
      <c r="A6600" s="126">
        <v>6539</v>
      </c>
      <c r="B6600" s="1831"/>
      <c r="D6600" s="2" t="str">
        <f t="shared" si="102"/>
        <v>OK</v>
      </c>
      <c r="E6600" s="4" t="s">
        <v>1997</v>
      </c>
    </row>
    <row r="6601" spans="1:5" x14ac:dyDescent="0.2">
      <c r="A6601" s="126">
        <v>6540</v>
      </c>
      <c r="B6601" s="1831"/>
      <c r="D6601" s="2" t="str">
        <f t="shared" si="102"/>
        <v>OK</v>
      </c>
      <c r="E6601" s="4" t="s">
        <v>1997</v>
      </c>
    </row>
    <row r="6602" spans="1:5" x14ac:dyDescent="0.2">
      <c r="A6602" s="126">
        <v>6541</v>
      </c>
      <c r="B6602" s="1831"/>
      <c r="D6602" s="2" t="str">
        <f t="shared" si="102"/>
        <v>OK</v>
      </c>
      <c r="E6602" s="4" t="s">
        <v>1997</v>
      </c>
    </row>
    <row r="6603" spans="1:5" x14ac:dyDescent="0.2">
      <c r="A6603" s="126">
        <v>6542</v>
      </c>
      <c r="B6603" s="1831"/>
      <c r="D6603" s="2" t="str">
        <f t="shared" si="102"/>
        <v>OK</v>
      </c>
      <c r="E6603" s="4" t="s">
        <v>1997</v>
      </c>
    </row>
    <row r="6604" spans="1:5" x14ac:dyDescent="0.2">
      <c r="A6604" s="126">
        <v>6543</v>
      </c>
      <c r="B6604" s="1831"/>
      <c r="D6604" s="2" t="str">
        <f t="shared" si="102"/>
        <v>OK</v>
      </c>
      <c r="E6604" s="4" t="s">
        <v>1997</v>
      </c>
    </row>
    <row r="6605" spans="1:5" x14ac:dyDescent="0.2">
      <c r="A6605" s="126">
        <v>6544</v>
      </c>
      <c r="B6605" s="1831"/>
      <c r="D6605" s="2" t="str">
        <f t="shared" si="102"/>
        <v>OK</v>
      </c>
      <c r="E6605" s="4" t="s">
        <v>1997</v>
      </c>
    </row>
    <row r="6606" spans="1:5" x14ac:dyDescent="0.2">
      <c r="A6606" s="126">
        <v>6545</v>
      </c>
      <c r="B6606" s="1831"/>
      <c r="D6606" s="2" t="str">
        <f t="shared" si="102"/>
        <v>OK</v>
      </c>
      <c r="E6606" s="4" t="s">
        <v>1997</v>
      </c>
    </row>
    <row r="6607" spans="1:5" x14ac:dyDescent="0.2">
      <c r="A6607" s="126">
        <v>6546</v>
      </c>
      <c r="B6607" s="1831"/>
      <c r="D6607" s="2" t="str">
        <f t="shared" si="102"/>
        <v>OK</v>
      </c>
      <c r="E6607" s="4" t="s">
        <v>1997</v>
      </c>
    </row>
    <row r="6608" spans="1:5" x14ac:dyDescent="0.2">
      <c r="A6608" s="126">
        <v>6547</v>
      </c>
      <c r="B6608" s="1831"/>
      <c r="D6608" s="2" t="str">
        <f t="shared" si="102"/>
        <v>OK</v>
      </c>
      <c r="E6608" s="4" t="s">
        <v>1997</v>
      </c>
    </row>
    <row r="6609" spans="1:5" x14ac:dyDescent="0.2">
      <c r="A6609" s="126">
        <v>6548</v>
      </c>
      <c r="B6609" s="1831"/>
      <c r="D6609" s="2" t="str">
        <f t="shared" si="102"/>
        <v>OK</v>
      </c>
      <c r="E6609" s="4" t="s">
        <v>1997</v>
      </c>
    </row>
    <row r="6610" spans="1:5" x14ac:dyDescent="0.2">
      <c r="A6610" s="126">
        <v>6549</v>
      </c>
      <c r="B6610" s="1831"/>
      <c r="D6610" s="2" t="str">
        <f t="shared" si="102"/>
        <v>OK</v>
      </c>
      <c r="E6610" s="4" t="s">
        <v>1997</v>
      </c>
    </row>
    <row r="6611" spans="1:5" x14ac:dyDescent="0.2">
      <c r="A6611" s="126">
        <v>6550</v>
      </c>
      <c r="B6611" s="1831"/>
      <c r="D6611" s="2" t="str">
        <f t="shared" si="102"/>
        <v>OK</v>
      </c>
      <c r="E6611" s="4" t="s">
        <v>1997</v>
      </c>
    </row>
    <row r="6612" spans="1:5" x14ac:dyDescent="0.2">
      <c r="A6612" s="126">
        <v>6551</v>
      </c>
      <c r="B6612" s="1831"/>
      <c r="D6612" s="2" t="str">
        <f t="shared" si="102"/>
        <v>OK</v>
      </c>
      <c r="E6612" s="4" t="s">
        <v>1997</v>
      </c>
    </row>
    <row r="6613" spans="1:5" x14ac:dyDescent="0.2">
      <c r="A6613" s="126">
        <v>6552</v>
      </c>
      <c r="B6613" s="1831"/>
      <c r="D6613" s="2" t="str">
        <f t="shared" si="102"/>
        <v>OK</v>
      </c>
      <c r="E6613" s="4" t="s">
        <v>1997</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1901</v>
      </c>
    </row>
    <row r="6842" spans="1:5" x14ac:dyDescent="0.2">
      <c r="A6842" s="126">
        <v>6781</v>
      </c>
      <c r="B6842" s="1831"/>
      <c r="D6842" s="2" t="str">
        <f t="shared" si="105"/>
        <v>OK</v>
      </c>
      <c r="E6842" s="1" t="s">
        <v>1901</v>
      </c>
    </row>
    <row r="6843" spans="1:5" x14ac:dyDescent="0.2">
      <c r="A6843" s="126">
        <v>6782</v>
      </c>
      <c r="B6843" s="1831"/>
      <c r="D6843" s="2" t="str">
        <f t="shared" si="105"/>
        <v>OK</v>
      </c>
      <c r="E6843" s="1" t="s">
        <v>1901</v>
      </c>
    </row>
    <row r="6844" spans="1:5" x14ac:dyDescent="0.2">
      <c r="A6844">
        <v>6783</v>
      </c>
      <c r="B6844" s="1831">
        <f>'Expenditures 15-22'!I5</f>
        <v>1166</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133617</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1166</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1000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1000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60135</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60135</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314</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314</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320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320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24269</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24269</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25903</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27069</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1319</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7568</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8887</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8887</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75127</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8887</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93335</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1766</v>
      </c>
      <c r="D7079" s="2" t="str">
        <f t="shared" si="109"/>
        <v>Error?</v>
      </c>
    </row>
    <row r="7080" spans="1:4" x14ac:dyDescent="0.2">
      <c r="A7080">
        <v>7019</v>
      </c>
      <c r="B7080" s="1831">
        <f>'Expenditures 15-22'!K226</f>
        <v>1766</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5720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5720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5720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75127</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75127</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75127</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75127</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75127</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75127</v>
      </c>
      <c r="D7224" s="2" t="str">
        <f t="shared" si="111"/>
        <v>Error?</v>
      </c>
    </row>
    <row r="7225" spans="1:4" x14ac:dyDescent="0.2">
      <c r="A7225">
        <v>7164</v>
      </c>
      <c r="B7225" s="1831">
        <f>'Expenditures 15-22'!K343</f>
        <v>18208</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124421</v>
      </c>
      <c r="D7263" s="2" t="str">
        <f t="shared" si="112"/>
        <v>Error?</v>
      </c>
    </row>
    <row r="7264" spans="1:4" x14ac:dyDescent="0.2">
      <c r="A7264">
        <f t="shared" si="113"/>
        <v>7203</v>
      </c>
      <c r="B7264" s="1831">
        <f>'Expenditures 15-22'!D17</f>
        <v>7436</v>
      </c>
      <c r="D7264" s="2" t="str">
        <f t="shared" si="112"/>
        <v>Error?</v>
      </c>
    </row>
    <row r="7265" spans="1:5" x14ac:dyDescent="0.2">
      <c r="A7265">
        <f t="shared" si="113"/>
        <v>7204</v>
      </c>
      <c r="B7265" s="1831">
        <f>'Expenditures 15-22'!E17</f>
        <v>140</v>
      </c>
      <c r="D7265" s="2" t="str">
        <f t="shared" si="112"/>
        <v>Error?</v>
      </c>
    </row>
    <row r="7266" spans="1:5" x14ac:dyDescent="0.2">
      <c r="A7266">
        <f t="shared" si="113"/>
        <v>7205</v>
      </c>
      <c r="B7266" s="1831">
        <f>'Expenditures 15-22'!F17</f>
        <v>1620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19443</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19443</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6481</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6481</v>
      </c>
      <c r="D7622" s="2" t="str">
        <f t="shared" si="124"/>
        <v>Error?</v>
      </c>
      <c r="E7622" s="2" t="s">
        <v>19</v>
      </c>
    </row>
    <row r="7623" spans="1:5" x14ac:dyDescent="0.2">
      <c r="A7623">
        <f t="shared" si="123"/>
        <v>7562</v>
      </c>
      <c r="B7623" s="1831">
        <f>'Cap Outlay Deprec 26'!L14</f>
        <v>12962</v>
      </c>
      <c r="D7623" s="2" t="str">
        <f t="shared" si="124"/>
        <v>Error?</v>
      </c>
      <c r="E7623" s="2" t="s">
        <v>19</v>
      </c>
    </row>
    <row r="7624" spans="1:5" x14ac:dyDescent="0.2">
      <c r="A7624">
        <f t="shared" si="123"/>
        <v>7563</v>
      </c>
      <c r="B7624" s="1831">
        <f>'Cap Outlay Deprec 26'!F17</f>
        <v>41676</v>
      </c>
      <c r="D7624" s="2" t="str">
        <f t="shared" si="124"/>
        <v>Error?</v>
      </c>
      <c r="E7624" s="2" t="s">
        <v>19</v>
      </c>
    </row>
    <row r="7625" spans="1:5" x14ac:dyDescent="0.2">
      <c r="A7625">
        <f t="shared" si="123"/>
        <v>7564</v>
      </c>
      <c r="B7625" s="1831">
        <f>'Cap Outlay Deprec 26'!I17</f>
        <v>4167.6000000000004</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496048.6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1998</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1998</v>
      </c>
    </row>
    <row r="7641" spans="1:6" x14ac:dyDescent="0.2">
      <c r="A7641" s="126">
        <f t="shared" si="125"/>
        <v>7580</v>
      </c>
      <c r="B7641" s="1832"/>
      <c r="D7641" s="2" t="str">
        <f t="shared" si="124"/>
        <v>OK</v>
      </c>
      <c r="E7641" s="4" t="s">
        <v>1998</v>
      </c>
    </row>
    <row r="7642" spans="1:6" x14ac:dyDescent="0.2">
      <c r="A7642" s="126">
        <f t="shared" si="125"/>
        <v>7581</v>
      </c>
      <c r="B7642" s="1832"/>
      <c r="D7642" s="2" t="str">
        <f t="shared" si="124"/>
        <v>OK</v>
      </c>
      <c r="E7642" s="4" t="s">
        <v>1998</v>
      </c>
    </row>
    <row r="7643" spans="1:6" x14ac:dyDescent="0.2">
      <c r="A7643" s="126">
        <f t="shared" si="125"/>
        <v>7582</v>
      </c>
      <c r="B7643" s="1832"/>
      <c r="D7643" s="2" t="str">
        <f t="shared" si="124"/>
        <v>OK</v>
      </c>
      <c r="E7643" s="4" t="s">
        <v>1998</v>
      </c>
    </row>
    <row r="7644" spans="1:6" x14ac:dyDescent="0.2">
      <c r="A7644" s="126">
        <f t="shared" si="125"/>
        <v>7583</v>
      </c>
      <c r="B7644" s="1832"/>
      <c r="D7644" s="2" t="str">
        <f t="shared" si="124"/>
        <v>OK</v>
      </c>
      <c r="E7644" s="4" t="s">
        <v>1998</v>
      </c>
    </row>
    <row r="7645" spans="1:6" x14ac:dyDescent="0.2">
      <c r="A7645" s="126">
        <f t="shared" si="125"/>
        <v>7584</v>
      </c>
      <c r="B7645" s="1832"/>
      <c r="D7645" s="2" t="str">
        <f t="shared" si="124"/>
        <v>OK</v>
      </c>
      <c r="E7645" s="4" t="s">
        <v>1998</v>
      </c>
    </row>
    <row r="7646" spans="1:6" x14ac:dyDescent="0.2">
      <c r="A7646" s="126">
        <f t="shared" si="125"/>
        <v>7585</v>
      </c>
      <c r="B7646" s="1832"/>
      <c r="D7646" s="2" t="str">
        <f t="shared" si="124"/>
        <v>OK</v>
      </c>
      <c r="E7646" s="4" t="s">
        <v>1998</v>
      </c>
    </row>
    <row r="7647" spans="1:6" x14ac:dyDescent="0.2">
      <c r="A7647" s="126">
        <f t="shared" si="125"/>
        <v>7586</v>
      </c>
      <c r="B7647" s="1832"/>
      <c r="D7647" s="2" t="str">
        <f t="shared" si="124"/>
        <v>OK</v>
      </c>
      <c r="E7647" s="4" t="s">
        <v>1998</v>
      </c>
    </row>
    <row r="7648" spans="1:6" x14ac:dyDescent="0.2">
      <c r="A7648" s="126">
        <f t="shared" si="125"/>
        <v>7587</v>
      </c>
      <c r="B7648" s="1832"/>
      <c r="D7648" s="2" t="str">
        <f t="shared" si="124"/>
        <v>OK</v>
      </c>
      <c r="E7648" s="4" t="s">
        <v>1998</v>
      </c>
    </row>
    <row r="7649" spans="1:5" x14ac:dyDescent="0.2">
      <c r="A7649" s="126">
        <f t="shared" si="125"/>
        <v>7588</v>
      </c>
      <c r="B7649" s="1832"/>
      <c r="D7649" s="2" t="str">
        <f t="shared" si="124"/>
        <v>OK</v>
      </c>
      <c r="E7649" s="4" t="s">
        <v>1998</v>
      </c>
    </row>
    <row r="7650" spans="1:5" x14ac:dyDescent="0.2">
      <c r="A7650" s="126">
        <f t="shared" si="125"/>
        <v>7589</v>
      </c>
      <c r="B7650" s="1832"/>
      <c r="D7650" s="2" t="str">
        <f t="shared" si="124"/>
        <v>OK</v>
      </c>
      <c r="E7650" s="4" t="s">
        <v>1998</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22271</v>
      </c>
      <c r="D7712" s="2" t="str">
        <f t="shared" si="126"/>
        <v>Error?</v>
      </c>
      <c r="E7712" s="2" t="s">
        <v>822</v>
      </c>
    </row>
    <row r="7713" spans="1:6" x14ac:dyDescent="0.2">
      <c r="A7713">
        <v>7652</v>
      </c>
      <c r="B7713" s="1831">
        <f>'Rest Tax Levies-Tort Im 25'!J8</f>
        <v>373906</v>
      </c>
      <c r="D7713" s="2" t="str">
        <f t="shared" si="126"/>
        <v>Error?</v>
      </c>
      <c r="E7713" s="2" t="s">
        <v>822</v>
      </c>
    </row>
    <row r="7714" spans="1:6" x14ac:dyDescent="0.2">
      <c r="A7714">
        <v>7653</v>
      </c>
      <c r="B7714" s="1831">
        <f>'Rest Tax Levies-Tort Im 25'!K9</f>
        <v>21491</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373906</v>
      </c>
      <c r="D7718" s="2" t="str">
        <f t="shared" si="126"/>
        <v>Error?</v>
      </c>
      <c r="E7718" s="2" t="s">
        <v>822</v>
      </c>
    </row>
    <row r="7719" spans="1:6" x14ac:dyDescent="0.2">
      <c r="A7719">
        <v>7658</v>
      </c>
      <c r="B7719" s="1831">
        <f>'Rest Tax Levies-Tort Im 25'!K12</f>
        <v>43762</v>
      </c>
      <c r="D7719" s="2" t="str">
        <f t="shared" si="126"/>
        <v>Error?</v>
      </c>
      <c r="E7719" s="2" t="s">
        <v>822</v>
      </c>
    </row>
    <row r="7720" spans="1:6" x14ac:dyDescent="0.2">
      <c r="A7720">
        <v>7659</v>
      </c>
      <c r="B7720" s="1831">
        <f>'Rest Tax Levies-Tort Im 25'!H14</f>
        <v>700894</v>
      </c>
      <c r="D7720" s="2" t="str">
        <f t="shared" si="126"/>
        <v>Error?</v>
      </c>
      <c r="E7720" s="2" t="s">
        <v>822</v>
      </c>
    </row>
    <row r="7721" spans="1:6" x14ac:dyDescent="0.2">
      <c r="A7721">
        <v>7660</v>
      </c>
      <c r="B7721" s="1831">
        <f>'Rest Tax Levies-Tort Im 25'!K14</f>
        <v>43762</v>
      </c>
      <c r="D7721" s="2" t="str">
        <f t="shared" si="126"/>
        <v>Error?</v>
      </c>
      <c r="E7721" s="2" t="s">
        <v>822</v>
      </c>
    </row>
    <row r="7722" spans="1:6" x14ac:dyDescent="0.2">
      <c r="A7722">
        <v>7661</v>
      </c>
      <c r="B7722" s="1831">
        <f>'Rest Tax Levies-Tort Im 25'!J15</f>
        <v>373906</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373906</v>
      </c>
      <c r="D7730" s="2" t="str">
        <f t="shared" si="126"/>
        <v>Error?</v>
      </c>
      <c r="E7730" s="2" t="s">
        <v>822</v>
      </c>
    </row>
    <row r="7731" spans="1:6" x14ac:dyDescent="0.2">
      <c r="A7731">
        <v>7670</v>
      </c>
      <c r="B7731" s="1831">
        <f>'Revenues 9-14'!H103</f>
        <v>373906</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0</v>
      </c>
      <c r="D7759" s="2" t="str">
        <f t="shared" si="127"/>
        <v>Error?</v>
      </c>
      <c r="E7759" s="4" t="s">
        <v>1324</v>
      </c>
    </row>
    <row r="7760" spans="1:6" x14ac:dyDescent="0.2">
      <c r="A7760">
        <v>7699</v>
      </c>
      <c r="B7760" s="1831">
        <f>'Aud Quest 2'!J90</f>
        <v>0</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2000</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1829</v>
      </c>
    </row>
    <row r="7775" spans="1:5" x14ac:dyDescent="0.2">
      <c r="A7775">
        <v>7714</v>
      </c>
      <c r="B7775" s="1831">
        <f>'Expenditures 15-22'!H133</f>
        <v>0</v>
      </c>
      <c r="D7775" s="2" t="str">
        <f t="shared" si="127"/>
        <v>Error?</v>
      </c>
      <c r="E7775" s="4" t="s">
        <v>1829</v>
      </c>
    </row>
    <row r="7776" spans="1:5" x14ac:dyDescent="0.2">
      <c r="A7776">
        <v>7715</v>
      </c>
      <c r="B7776" s="1831">
        <f>'Expenditures 15-22'!K133</f>
        <v>0</v>
      </c>
      <c r="D7776" s="2" t="str">
        <f t="shared" si="127"/>
        <v>Error?</v>
      </c>
      <c r="E7776" s="4" t="s">
        <v>1829</v>
      </c>
    </row>
    <row r="7777" spans="1:5" x14ac:dyDescent="0.2">
      <c r="A7777">
        <v>7716</v>
      </c>
      <c r="B7777" s="1831">
        <f>'Expenditures 15-22'!H157</f>
        <v>0</v>
      </c>
      <c r="D7777" s="2" t="str">
        <f t="shared" si="127"/>
        <v>Error?</v>
      </c>
      <c r="E7777" s="4" t="s">
        <v>1829</v>
      </c>
    </row>
    <row r="7778" spans="1:5" x14ac:dyDescent="0.2">
      <c r="A7778">
        <v>7717</v>
      </c>
      <c r="B7778" s="1831">
        <f>'Expenditures 15-22'!K157</f>
        <v>0</v>
      </c>
      <c r="D7778" s="2" t="str">
        <f t="shared" si="127"/>
        <v>Error?</v>
      </c>
      <c r="E7778" s="4" t="s">
        <v>1829</v>
      </c>
    </row>
    <row r="7779" spans="1:5" x14ac:dyDescent="0.2">
      <c r="A7779">
        <v>7718</v>
      </c>
      <c r="B7779" s="1831">
        <f>'Expenditures 15-22'!H158</f>
        <v>0</v>
      </c>
      <c r="D7779" s="2" t="str">
        <f t="shared" si="127"/>
        <v>Error?</v>
      </c>
      <c r="E7779" s="4" t="s">
        <v>1829</v>
      </c>
    </row>
    <row r="7780" spans="1:5" x14ac:dyDescent="0.2">
      <c r="A7780">
        <v>7719</v>
      </c>
      <c r="B7780" s="1831">
        <f>'Expenditures 15-22'!K158</f>
        <v>0</v>
      </c>
      <c r="D7780" s="2" t="str">
        <f t="shared" si="127"/>
        <v>Error?</v>
      </c>
      <c r="E7780" s="4" t="s">
        <v>1829</v>
      </c>
    </row>
    <row r="7781" spans="1:5" x14ac:dyDescent="0.2">
      <c r="A7781">
        <v>7720</v>
      </c>
      <c r="B7781" s="1831">
        <f>'Expenditures 15-22'!H159</f>
        <v>0</v>
      </c>
      <c r="D7781" s="2" t="str">
        <f t="shared" si="127"/>
        <v>Error?</v>
      </c>
      <c r="E7781" s="4" t="s">
        <v>1829</v>
      </c>
    </row>
    <row r="7782" spans="1:5" x14ac:dyDescent="0.2">
      <c r="A7782">
        <v>7721</v>
      </c>
      <c r="B7782" s="1831">
        <f>'Expenditures 15-22'!K159</f>
        <v>0</v>
      </c>
      <c r="D7782" s="2" t="str">
        <f t="shared" si="127"/>
        <v>Error?</v>
      </c>
      <c r="E7782" s="4" t="s">
        <v>1829</v>
      </c>
    </row>
    <row r="7783" spans="1:5" x14ac:dyDescent="0.2">
      <c r="A7783">
        <v>7722</v>
      </c>
      <c r="B7783" s="1831">
        <f>'Expenditures 15-22'!D282</f>
        <v>0</v>
      </c>
      <c r="D7783" s="2" t="str">
        <f t="shared" si="127"/>
        <v>Error?</v>
      </c>
      <c r="E7783" s="4" t="s">
        <v>1829</v>
      </c>
    </row>
    <row r="7784" spans="1:5" x14ac:dyDescent="0.2">
      <c r="A7784">
        <v>7723</v>
      </c>
      <c r="B7784" s="1831">
        <f>'Expenditures 15-22'!K282</f>
        <v>0</v>
      </c>
      <c r="D7784" s="2" t="str">
        <f t="shared" si="127"/>
        <v>Error?</v>
      </c>
      <c r="E7784" s="4" t="s">
        <v>1829</v>
      </c>
    </row>
    <row r="7785" spans="1:5" x14ac:dyDescent="0.2">
      <c r="A7785">
        <v>7724</v>
      </c>
      <c r="B7785" s="1831">
        <f>'Expenditures 15-22'!H332</f>
        <v>0</v>
      </c>
      <c r="D7785" s="2" t="str">
        <f t="shared" si="127"/>
        <v>Error?</v>
      </c>
      <c r="E7785" s="4" t="s">
        <v>1829</v>
      </c>
    </row>
    <row r="7786" spans="1:5" x14ac:dyDescent="0.2">
      <c r="A7786">
        <v>7725</v>
      </c>
      <c r="B7786" s="1831">
        <f>'Expenditures 15-22'!K332</f>
        <v>0</v>
      </c>
      <c r="D7786" s="2" t="str">
        <f t="shared" si="127"/>
        <v>Error?</v>
      </c>
      <c r="E7786" s="4" t="s">
        <v>1829</v>
      </c>
    </row>
    <row r="7787" spans="1:5" x14ac:dyDescent="0.2">
      <c r="A7787">
        <v>7726</v>
      </c>
      <c r="B7787" s="1831">
        <f>'Expenditures 15-22'!H333</f>
        <v>0</v>
      </c>
      <c r="D7787" s="2" t="str">
        <f t="shared" si="127"/>
        <v>Error?</v>
      </c>
      <c r="E7787" s="4" t="s">
        <v>1829</v>
      </c>
    </row>
    <row r="7788" spans="1:5" x14ac:dyDescent="0.2">
      <c r="A7788">
        <v>7727</v>
      </c>
      <c r="B7788" s="1831">
        <f>'Expenditures 15-22'!K333</f>
        <v>0</v>
      </c>
      <c r="D7788" s="2" t="str">
        <f t="shared" si="127"/>
        <v>Error?</v>
      </c>
      <c r="E7788" s="4" t="s">
        <v>1829</v>
      </c>
    </row>
    <row r="7789" spans="1:5" x14ac:dyDescent="0.2">
      <c r="A7789">
        <v>7728</v>
      </c>
      <c r="B7789" s="1831">
        <f>'Expenditures 15-22'!H334</f>
        <v>0</v>
      </c>
      <c r="D7789" s="2" t="str">
        <f t="shared" si="127"/>
        <v>Error?</v>
      </c>
      <c r="E7789" s="4" t="s">
        <v>1829</v>
      </c>
    </row>
    <row r="7790" spans="1:5" x14ac:dyDescent="0.2">
      <c r="A7790">
        <v>7729</v>
      </c>
      <c r="B7790" s="1831">
        <f>'Expenditures 15-22'!K334</f>
        <v>0</v>
      </c>
      <c r="D7790" s="2" t="str">
        <f t="shared" si="127"/>
        <v>Error?</v>
      </c>
      <c r="E7790" s="4" t="s">
        <v>1829</v>
      </c>
    </row>
    <row r="7791" spans="1:5" x14ac:dyDescent="0.2">
      <c r="A7791">
        <v>7730</v>
      </c>
      <c r="B7791" s="1831">
        <f>'Expenditures 15-22'!H354</f>
        <v>0</v>
      </c>
      <c r="D7791" s="2" t="str">
        <f t="shared" si="127"/>
        <v>Error?</v>
      </c>
      <c r="E7791" s="4" t="s">
        <v>1829</v>
      </c>
    </row>
    <row r="7792" spans="1:5" x14ac:dyDescent="0.2">
      <c r="A7792">
        <v>7731</v>
      </c>
      <c r="B7792" s="1831">
        <f>'Expenditures 15-22'!K354</f>
        <v>0</v>
      </c>
      <c r="D7792" s="2" t="str">
        <f t="shared" si="127"/>
        <v>Error?</v>
      </c>
      <c r="E7792" s="4" t="s">
        <v>1829</v>
      </c>
    </row>
    <row r="7793" spans="1:5" x14ac:dyDescent="0.2">
      <c r="A7793">
        <v>7732</v>
      </c>
      <c r="B7793" s="1831">
        <f>'Expenditures 15-22'!H355</f>
        <v>0</v>
      </c>
      <c r="D7793" s="2" t="str">
        <f t="shared" si="127"/>
        <v>Error?</v>
      </c>
      <c r="E7793" s="4" t="s">
        <v>1829</v>
      </c>
    </row>
    <row r="7794" spans="1:5" x14ac:dyDescent="0.2">
      <c r="A7794">
        <v>7733</v>
      </c>
      <c r="B7794" s="1831">
        <f>'Expenditures 15-22'!K355</f>
        <v>0</v>
      </c>
      <c r="D7794" s="2" t="str">
        <f t="shared" si="127"/>
        <v>Error?</v>
      </c>
      <c r="E7794" s="4" t="s">
        <v>1829</v>
      </c>
    </row>
    <row r="7795" spans="1:5" x14ac:dyDescent="0.2">
      <c r="A7795">
        <v>7734</v>
      </c>
      <c r="B7795" s="1831">
        <f>'Expenditures 15-22'!E138</f>
        <v>0</v>
      </c>
      <c r="D7795" s="2" t="str">
        <f t="shared" si="127"/>
        <v>Error?</v>
      </c>
      <c r="E7795" s="4" t="s">
        <v>1829</v>
      </c>
    </row>
    <row r="7796" spans="1:5" x14ac:dyDescent="0.2">
      <c r="A7796">
        <v>7735</v>
      </c>
      <c r="B7796" s="1831">
        <f>'Acct Summary 7-8'!J15</f>
        <v>0</v>
      </c>
      <c r="D7796" s="2" t="str">
        <f t="shared" si="127"/>
        <v>Error?</v>
      </c>
      <c r="E7796" s="4" t="s">
        <v>1829</v>
      </c>
    </row>
    <row r="7797" spans="1:5" x14ac:dyDescent="0.2">
      <c r="A7797" s="126">
        <v>7736</v>
      </c>
      <c r="B7797" s="1831"/>
      <c r="D7797" s="2" t="str">
        <f t="shared" si="127"/>
        <v>OK</v>
      </c>
      <c r="E7797" s="4" t="s">
        <v>1982</v>
      </c>
    </row>
    <row r="7798" spans="1:5" x14ac:dyDescent="0.2">
      <c r="A7798" s="126">
        <v>7737</v>
      </c>
      <c r="B7798" s="1831"/>
      <c r="D7798" s="2" t="str">
        <f t="shared" si="127"/>
        <v>OK</v>
      </c>
      <c r="E7798" s="4" t="s">
        <v>1982</v>
      </c>
    </row>
    <row r="7799" spans="1:5" x14ac:dyDescent="0.2">
      <c r="A7799" s="126">
        <v>7738</v>
      </c>
      <c r="B7799" s="1831"/>
      <c r="D7799" s="2" t="str">
        <f t="shared" si="127"/>
        <v>OK</v>
      </c>
      <c r="E7799" s="4" t="s">
        <v>1982</v>
      </c>
    </row>
    <row r="7800" spans="1:5" x14ac:dyDescent="0.2">
      <c r="A7800">
        <v>7739</v>
      </c>
      <c r="B7800" s="1831">
        <f>'Rest Tax Levies-Tort Im 25'!K23</f>
        <v>43762</v>
      </c>
      <c r="D7800" s="2" t="str">
        <f t="shared" si="127"/>
        <v>Error?</v>
      </c>
      <c r="E7800" s="4" t="s">
        <v>1969</v>
      </c>
    </row>
    <row r="7801" spans="1:5" x14ac:dyDescent="0.2">
      <c r="A7801">
        <v>7740</v>
      </c>
      <c r="B7801" s="1831">
        <f>'Revenues 9-14'!C120</f>
        <v>0</v>
      </c>
      <c r="D7801" s="2" t="str">
        <f t="shared" si="127"/>
        <v>Error?</v>
      </c>
      <c r="E7801" s="4" t="s">
        <v>1903</v>
      </c>
    </row>
    <row r="7802" spans="1:5" x14ac:dyDescent="0.2">
      <c r="A7802">
        <v>7741</v>
      </c>
      <c r="B7802" s="1831">
        <f>'Revenues 9-14'!D120</f>
        <v>0</v>
      </c>
      <c r="D7802" s="2" t="str">
        <f t="shared" si="127"/>
        <v>Error?</v>
      </c>
      <c r="E7802" s="4" t="s">
        <v>1903</v>
      </c>
    </row>
    <row r="7803" spans="1:5" x14ac:dyDescent="0.2">
      <c r="A7803">
        <v>7742</v>
      </c>
      <c r="B7803" s="1831">
        <f>'Revenues 9-14'!E120</f>
        <v>0</v>
      </c>
      <c r="D7803" s="2" t="str">
        <f t="shared" si="127"/>
        <v>Error?</v>
      </c>
      <c r="E7803" s="4" t="s">
        <v>1903</v>
      </c>
    </row>
    <row r="7804" spans="1:5" x14ac:dyDescent="0.2">
      <c r="A7804">
        <v>7743</v>
      </c>
      <c r="B7804" s="1831">
        <f>'Revenues 9-14'!F120</f>
        <v>0</v>
      </c>
      <c r="D7804" s="2" t="str">
        <f t="shared" si="127"/>
        <v>Error?</v>
      </c>
      <c r="E7804" s="4" t="s">
        <v>1903</v>
      </c>
    </row>
    <row r="7805" spans="1:5" x14ac:dyDescent="0.2">
      <c r="A7805">
        <v>7744</v>
      </c>
      <c r="B7805" s="1831">
        <f>'Revenues 9-14'!G120</f>
        <v>0</v>
      </c>
      <c r="D7805" s="2" t="str">
        <f t="shared" si="127"/>
        <v>Error?</v>
      </c>
      <c r="E7805" s="4" t="s">
        <v>1903</v>
      </c>
    </row>
    <row r="7806" spans="1:5" x14ac:dyDescent="0.2">
      <c r="A7806">
        <v>7745</v>
      </c>
      <c r="B7806" s="1831">
        <f>'Revenues 9-14'!H120</f>
        <v>0</v>
      </c>
      <c r="D7806" s="2" t="str">
        <f t="shared" si="127"/>
        <v>Error?</v>
      </c>
      <c r="E7806" s="4" t="s">
        <v>1903</v>
      </c>
    </row>
    <row r="7807" spans="1:5" x14ac:dyDescent="0.2">
      <c r="A7807">
        <v>7746</v>
      </c>
      <c r="B7807" s="1831">
        <f>'Revenues 9-14'!J120</f>
        <v>0</v>
      </c>
      <c r="D7807" s="2" t="str">
        <f t="shared" ref="D7807:D7821" si="128">IF(ISBLANK(B7807),"OK",IF(A7807-B7807=0,"OK","Error?"))</f>
        <v>Error?</v>
      </c>
      <c r="E7807" s="4" t="s">
        <v>1903</v>
      </c>
    </row>
    <row r="7808" spans="1:5" x14ac:dyDescent="0.2">
      <c r="A7808">
        <v>7747</v>
      </c>
      <c r="B7808" s="1831">
        <f>'Revenues 9-14'!K120</f>
        <v>0</v>
      </c>
      <c r="D7808" s="2" t="str">
        <f t="shared" si="128"/>
        <v>Error?</v>
      </c>
      <c r="E7808" s="4" t="s">
        <v>1903</v>
      </c>
    </row>
    <row r="7809" spans="1:5" x14ac:dyDescent="0.2">
      <c r="A7809">
        <v>7748</v>
      </c>
      <c r="B7809" s="1831">
        <f>'Revenues 9-14'!C261</f>
        <v>0</v>
      </c>
      <c r="D7809" s="2" t="str">
        <f t="shared" si="128"/>
        <v>Error?</v>
      </c>
      <c r="E7809" s="4" t="s">
        <v>1904</v>
      </c>
    </row>
    <row r="7810" spans="1:5" x14ac:dyDescent="0.2">
      <c r="A7810">
        <v>7749</v>
      </c>
      <c r="B7810" s="1831">
        <f>'Revenues 9-14'!D261</f>
        <v>0</v>
      </c>
      <c r="D7810" s="2" t="str">
        <f t="shared" si="128"/>
        <v>Error?</v>
      </c>
      <c r="E7810" s="4" t="s">
        <v>1904</v>
      </c>
    </row>
    <row r="7811" spans="1:5" x14ac:dyDescent="0.2">
      <c r="A7811">
        <v>7750</v>
      </c>
      <c r="B7811" s="1831">
        <f>'Revenues 9-14'!F261</f>
        <v>0</v>
      </c>
      <c r="D7811" s="2" t="str">
        <f t="shared" si="128"/>
        <v>Error?</v>
      </c>
      <c r="E7811" s="4" t="s">
        <v>1904</v>
      </c>
    </row>
    <row r="7812" spans="1:5" x14ac:dyDescent="0.2">
      <c r="A7812">
        <v>7751</v>
      </c>
      <c r="B7812" s="1831">
        <f>'Revenues 9-14'!G261</f>
        <v>0</v>
      </c>
      <c r="D7812" s="2" t="str">
        <f t="shared" si="128"/>
        <v>Error?</v>
      </c>
      <c r="E7812" s="4" t="s">
        <v>1904</v>
      </c>
    </row>
    <row r="7813" spans="1:5" x14ac:dyDescent="0.2">
      <c r="A7813">
        <v>7752</v>
      </c>
      <c r="B7813" s="1831">
        <f>'Revenues 9-14'!C262</f>
        <v>0</v>
      </c>
      <c r="D7813" s="2" t="str">
        <f t="shared" si="128"/>
        <v>Error?</v>
      </c>
      <c r="E7813" s="4" t="s">
        <v>1905</v>
      </c>
    </row>
    <row r="7814" spans="1:5" x14ac:dyDescent="0.2">
      <c r="A7814">
        <v>7753</v>
      </c>
      <c r="B7814" s="1831">
        <f>'Revenues 9-14'!D262</f>
        <v>0</v>
      </c>
      <c r="D7814" s="2" t="str">
        <f t="shared" si="128"/>
        <v>Error?</v>
      </c>
      <c r="E7814" s="4" t="s">
        <v>1905</v>
      </c>
    </row>
    <row r="7815" spans="1:5" x14ac:dyDescent="0.2">
      <c r="A7815">
        <v>7754</v>
      </c>
      <c r="B7815" s="1831">
        <f>'Revenues 9-14'!F262</f>
        <v>0</v>
      </c>
      <c r="D7815" s="2" t="str">
        <f t="shared" si="128"/>
        <v>Error?</v>
      </c>
      <c r="E7815" s="4" t="s">
        <v>1905</v>
      </c>
    </row>
    <row r="7816" spans="1:5" x14ac:dyDescent="0.2">
      <c r="A7816">
        <v>7755</v>
      </c>
      <c r="B7816" s="1831">
        <f>'Revenues 9-14'!G262</f>
        <v>0</v>
      </c>
      <c r="D7816" s="2" t="str">
        <f t="shared" si="128"/>
        <v>Error?</v>
      </c>
      <c r="E7816" s="4" t="s">
        <v>1905</v>
      </c>
    </row>
    <row r="7817" spans="1:5" x14ac:dyDescent="0.2">
      <c r="A7817">
        <v>7756</v>
      </c>
      <c r="B7817" s="1831">
        <f>'Short-Term Long-Term Debt 24'!C49</f>
        <v>5400000</v>
      </c>
      <c r="D7817" s="2" t="str">
        <f t="shared" si="128"/>
        <v>Error?</v>
      </c>
      <c r="E7817" s="4" t="s">
        <v>1969</v>
      </c>
    </row>
    <row r="7818" spans="1:5" x14ac:dyDescent="0.2">
      <c r="A7818">
        <v>7757</v>
      </c>
      <c r="B7818" s="1831">
        <f>'PCTC-OEPP 27-28'!F172</f>
        <v>263309</v>
      </c>
      <c r="D7818" s="2" t="str">
        <f t="shared" si="128"/>
        <v>Error?</v>
      </c>
      <c r="E7818" s="4" t="s">
        <v>1983</v>
      </c>
    </row>
    <row r="7819" spans="1:5" x14ac:dyDescent="0.2">
      <c r="A7819">
        <v>7758</v>
      </c>
      <c r="B7819" s="1831">
        <f>'PCTC-OEPP 27-28'!F173</f>
        <v>0</v>
      </c>
      <c r="D7819" s="2" t="str">
        <f t="shared" si="128"/>
        <v>Error?</v>
      </c>
      <c r="E7819" s="4" t="s">
        <v>1983</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9793835</v>
      </c>
      <c r="D7822" s="4" t="s">
        <v>2000</v>
      </c>
      <c r="E7822" s="4" t="s">
        <v>2001</v>
      </c>
    </row>
    <row r="7823" spans="1:5" x14ac:dyDescent="0.2">
      <c r="A7823" s="1">
        <v>7762</v>
      </c>
      <c r="B7823" s="1831">
        <f>'PCTC-OEPP 27-28'!F30</f>
        <v>0</v>
      </c>
      <c r="D7823" s="4" t="s">
        <v>2000</v>
      </c>
      <c r="E7823" s="4" t="s">
        <v>2001</v>
      </c>
    </row>
    <row r="7824" spans="1:5" x14ac:dyDescent="0.2">
      <c r="A7824" s="1">
        <v>7763</v>
      </c>
      <c r="B7824" s="1831">
        <f>'PCTC-OEPP 27-28'!F31</f>
        <v>0</v>
      </c>
      <c r="D7824" s="4" t="s">
        <v>2000</v>
      </c>
      <c r="E7824" s="4" t="s">
        <v>2001</v>
      </c>
    </row>
    <row r="7825" spans="1:5" x14ac:dyDescent="0.2">
      <c r="A7825" s="1">
        <v>7764</v>
      </c>
      <c r="B7825" s="1831">
        <f>'PCTC-OEPP 27-28'!F32</f>
        <v>0</v>
      </c>
      <c r="D7825" s="2" t="str">
        <f t="shared" ref="D7825:D7887" si="129">IF(ISBLANK(B7825),"OK",IF(A7825-B7825=0,"OK","Error?"))</f>
        <v>Error?</v>
      </c>
      <c r="E7825" s="4" t="s">
        <v>2001</v>
      </c>
    </row>
    <row r="7826" spans="1:5" x14ac:dyDescent="0.2">
      <c r="A7826">
        <v>7765</v>
      </c>
      <c r="B7826" s="1831">
        <f>'PCTC-OEPP 27-28'!F34</f>
        <v>0</v>
      </c>
      <c r="D7826" s="2" t="str">
        <f t="shared" si="129"/>
        <v>Error?</v>
      </c>
      <c r="E7826" s="4" t="s">
        <v>2001</v>
      </c>
    </row>
    <row r="7827" spans="1:5" x14ac:dyDescent="0.2">
      <c r="A7827">
        <v>7766</v>
      </c>
      <c r="B7827" s="1831">
        <f>'PCTC-OEPP 27-28'!F35</f>
        <v>0</v>
      </c>
      <c r="D7827" s="2" t="str">
        <f t="shared" si="129"/>
        <v>Error?</v>
      </c>
      <c r="E7827" s="4" t="s">
        <v>2001</v>
      </c>
    </row>
    <row r="7828" spans="1:5" x14ac:dyDescent="0.2">
      <c r="A7828">
        <v>7767</v>
      </c>
      <c r="B7828" s="1831">
        <f>'PCTC-OEPP 27-28'!F36</f>
        <v>0</v>
      </c>
      <c r="D7828" s="2" t="str">
        <f t="shared" si="129"/>
        <v>Error?</v>
      </c>
      <c r="E7828" s="4" t="s">
        <v>2001</v>
      </c>
    </row>
    <row r="7829" spans="1:5" x14ac:dyDescent="0.2">
      <c r="A7829">
        <v>7768</v>
      </c>
      <c r="B7829" s="1831">
        <f>'PCTC-OEPP 27-28'!F37</f>
        <v>0</v>
      </c>
      <c r="D7829" s="2" t="str">
        <f t="shared" si="129"/>
        <v>Error?</v>
      </c>
      <c r="E7829" s="4" t="s">
        <v>2001</v>
      </c>
    </row>
    <row r="7830" spans="1:5" x14ac:dyDescent="0.2">
      <c r="A7830">
        <v>7769</v>
      </c>
      <c r="B7830" s="1831">
        <f>'PCTC-OEPP 27-28'!F38</f>
        <v>6056</v>
      </c>
      <c r="D7830" s="2" t="str">
        <f t="shared" si="129"/>
        <v>Error?</v>
      </c>
      <c r="E7830" s="4" t="s">
        <v>2001</v>
      </c>
    </row>
    <row r="7831" spans="1:5" x14ac:dyDescent="0.2">
      <c r="A7831">
        <v>7770</v>
      </c>
      <c r="B7831" s="1831">
        <f>'PCTC-OEPP 27-28'!F52</f>
        <v>0</v>
      </c>
      <c r="D7831" s="2" t="str">
        <f t="shared" si="129"/>
        <v>Error?</v>
      </c>
      <c r="E7831" s="4" t="s">
        <v>2001</v>
      </c>
    </row>
    <row r="7832" spans="1:5" x14ac:dyDescent="0.2">
      <c r="A7832">
        <v>7771</v>
      </c>
      <c r="B7832" s="1831">
        <f>'PCTC-OEPP 27-28'!F56</f>
        <v>0</v>
      </c>
      <c r="D7832" s="2" t="str">
        <f t="shared" si="129"/>
        <v>Error?</v>
      </c>
      <c r="E7832" s="4" t="s">
        <v>2001</v>
      </c>
    </row>
    <row r="7833" spans="1:5" x14ac:dyDescent="0.2">
      <c r="A7833">
        <v>7772</v>
      </c>
      <c r="B7833" s="1831">
        <f>'PCTC-OEPP 27-28'!F62</f>
        <v>0</v>
      </c>
      <c r="D7833" s="2" t="str">
        <f t="shared" si="129"/>
        <v>Error?</v>
      </c>
      <c r="E7833" s="4" t="s">
        <v>2001</v>
      </c>
    </row>
    <row r="7834" spans="1:5" x14ac:dyDescent="0.2">
      <c r="A7834">
        <v>7773</v>
      </c>
      <c r="B7834" s="1831">
        <f>'PCTC-OEPP 27-28'!F77</f>
        <v>1381433</v>
      </c>
      <c r="D7834" s="2" t="str">
        <f t="shared" si="129"/>
        <v>Error?</v>
      </c>
      <c r="E7834" s="4" t="s">
        <v>2001</v>
      </c>
    </row>
    <row r="7835" spans="1:5" x14ac:dyDescent="0.2">
      <c r="A7835">
        <v>7774</v>
      </c>
      <c r="B7835" s="1831">
        <f>'PCTC-OEPP 27-28'!F78</f>
        <v>8412402</v>
      </c>
      <c r="D7835" s="2" t="str">
        <f t="shared" si="129"/>
        <v>Error?</v>
      </c>
      <c r="E7835" s="4" t="s">
        <v>2001</v>
      </c>
    </row>
    <row r="7836" spans="1:5" x14ac:dyDescent="0.2">
      <c r="A7836" s="126">
        <v>7775</v>
      </c>
      <c r="B7836" s="1831"/>
      <c r="D7836" s="2" t="str">
        <f t="shared" si="129"/>
        <v>OK</v>
      </c>
      <c r="E7836" s="4" t="s">
        <v>2003</v>
      </c>
    </row>
    <row r="7837" spans="1:5" x14ac:dyDescent="0.2">
      <c r="A7837">
        <v>7776</v>
      </c>
      <c r="B7837" s="1831">
        <f>'PCTC-OEPP 27-28'!F80</f>
        <v>13363.625099285147</v>
      </c>
      <c r="D7837" s="2" t="str">
        <f t="shared" si="129"/>
        <v>Error?</v>
      </c>
      <c r="E7837" s="4" t="s">
        <v>2001</v>
      </c>
    </row>
    <row r="7838" spans="1:5" x14ac:dyDescent="0.2">
      <c r="A7838">
        <v>7777</v>
      </c>
      <c r="B7838" s="1831">
        <f>'PCTC-OEPP 27-28'!F96</f>
        <v>29375</v>
      </c>
      <c r="D7838" s="2" t="str">
        <f t="shared" si="129"/>
        <v>Error?</v>
      </c>
      <c r="E7838" s="4" t="s">
        <v>2001</v>
      </c>
    </row>
    <row r="7839" spans="1:5" x14ac:dyDescent="0.2">
      <c r="A7839">
        <v>7778</v>
      </c>
      <c r="B7839" s="1831">
        <f>'PCTC-OEPP 27-28'!F102</f>
        <v>700</v>
      </c>
      <c r="D7839" s="2" t="str">
        <f t="shared" si="129"/>
        <v>Error?</v>
      </c>
      <c r="E7839" s="4" t="s">
        <v>2001</v>
      </c>
    </row>
    <row r="7840" spans="1:5" x14ac:dyDescent="0.2">
      <c r="A7840">
        <v>7779</v>
      </c>
      <c r="B7840" s="1831">
        <f>'PCTC-OEPP 27-28'!F103</f>
        <v>0</v>
      </c>
      <c r="D7840" s="2" t="str">
        <f t="shared" si="129"/>
        <v>Error?</v>
      </c>
      <c r="E7840" s="4" t="s">
        <v>2001</v>
      </c>
    </row>
    <row r="7841" spans="1:5" x14ac:dyDescent="0.2">
      <c r="A7841">
        <v>7780</v>
      </c>
      <c r="B7841" s="1831">
        <f>'PCTC-OEPP 27-28'!F104</f>
        <v>54800</v>
      </c>
      <c r="D7841" s="2" t="str">
        <f t="shared" si="129"/>
        <v>Error?</v>
      </c>
      <c r="E7841" s="4" t="s">
        <v>2001</v>
      </c>
    </row>
    <row r="7842" spans="1:5" x14ac:dyDescent="0.2">
      <c r="A7842">
        <v>7781</v>
      </c>
      <c r="B7842" s="1831">
        <f>'PCTC-OEPP 27-28'!F106</f>
        <v>64452</v>
      </c>
      <c r="D7842" s="2" t="str">
        <f t="shared" si="129"/>
        <v>Error?</v>
      </c>
      <c r="E7842" s="4" t="s">
        <v>2001</v>
      </c>
    </row>
    <row r="7843" spans="1:5" x14ac:dyDescent="0.2">
      <c r="A7843">
        <v>7782</v>
      </c>
      <c r="B7843" s="1831">
        <f>'PCTC-OEPP 27-28'!F107</f>
        <v>30623</v>
      </c>
      <c r="D7843" s="2" t="str">
        <f t="shared" si="129"/>
        <v>Error?</v>
      </c>
      <c r="E7843" s="4" t="s">
        <v>2001</v>
      </c>
    </row>
    <row r="7844" spans="1:5" x14ac:dyDescent="0.2">
      <c r="A7844">
        <v>7783</v>
      </c>
      <c r="B7844" s="1831">
        <f>'PCTC-OEPP 27-28'!F108</f>
        <v>0</v>
      </c>
      <c r="D7844" s="2" t="str">
        <f t="shared" si="129"/>
        <v>Error?</v>
      </c>
      <c r="E7844" s="4" t="s">
        <v>2001</v>
      </c>
    </row>
    <row r="7845" spans="1:5" x14ac:dyDescent="0.2">
      <c r="A7845">
        <v>7784</v>
      </c>
      <c r="B7845" s="1831">
        <f>'PCTC-OEPP 27-28'!F110</f>
        <v>0</v>
      </c>
      <c r="D7845" s="2" t="str">
        <f t="shared" si="129"/>
        <v>Error?</v>
      </c>
      <c r="E7845" s="4" t="s">
        <v>2001</v>
      </c>
    </row>
    <row r="7846" spans="1:5" x14ac:dyDescent="0.2">
      <c r="A7846">
        <v>7785</v>
      </c>
      <c r="B7846" s="1831">
        <f>'PCTC-OEPP 27-28'!F111</f>
        <v>21491</v>
      </c>
      <c r="D7846" s="2" t="str">
        <f t="shared" si="129"/>
        <v>Error?</v>
      </c>
      <c r="E7846" s="4" t="s">
        <v>2001</v>
      </c>
    </row>
    <row r="7847" spans="1:5" x14ac:dyDescent="0.2">
      <c r="A7847">
        <v>7786</v>
      </c>
      <c r="B7847" s="1831">
        <f>'PCTC-OEPP 27-28'!F112</f>
        <v>290618</v>
      </c>
      <c r="D7847" s="2" t="str">
        <f t="shared" si="129"/>
        <v>Error?</v>
      </c>
      <c r="E7847" s="4" t="s">
        <v>2001</v>
      </c>
    </row>
    <row r="7848" spans="1:5" x14ac:dyDescent="0.2">
      <c r="A7848">
        <v>7787</v>
      </c>
      <c r="B7848" s="1831">
        <f>'PCTC-OEPP 27-28'!F114</f>
        <v>0</v>
      </c>
      <c r="D7848" s="2" t="str">
        <f t="shared" si="129"/>
        <v>Error?</v>
      </c>
      <c r="E7848" s="4" t="s">
        <v>2001</v>
      </c>
    </row>
    <row r="7849" spans="1:5" x14ac:dyDescent="0.2">
      <c r="A7849">
        <v>7788</v>
      </c>
      <c r="B7849" s="1831">
        <f>'PCTC-OEPP 27-28'!F115</f>
        <v>0</v>
      </c>
      <c r="D7849" s="2" t="str">
        <f t="shared" si="129"/>
        <v>Error?</v>
      </c>
      <c r="E7849" s="4" t="s">
        <v>2001</v>
      </c>
    </row>
    <row r="7850" spans="1:5" x14ac:dyDescent="0.2">
      <c r="A7850">
        <v>7789</v>
      </c>
      <c r="B7850" s="1831">
        <f>'PCTC-OEPP 27-28'!F116</f>
        <v>0</v>
      </c>
      <c r="D7850" s="2" t="str">
        <f t="shared" si="129"/>
        <v>Error?</v>
      </c>
      <c r="E7850" s="4" t="s">
        <v>2001</v>
      </c>
    </row>
    <row r="7851" spans="1:5" x14ac:dyDescent="0.2">
      <c r="A7851">
        <v>7790</v>
      </c>
      <c r="B7851" s="1831">
        <f>'PCTC-OEPP 27-28'!F117</f>
        <v>0</v>
      </c>
      <c r="D7851" s="2" t="str">
        <f t="shared" si="129"/>
        <v>Error?</v>
      </c>
      <c r="E7851" s="4" t="s">
        <v>2001</v>
      </c>
    </row>
    <row r="7852" spans="1:5" x14ac:dyDescent="0.2">
      <c r="A7852">
        <v>7791</v>
      </c>
      <c r="B7852" s="1831">
        <f>'PCTC-OEPP 27-28'!F118</f>
        <v>54114</v>
      </c>
      <c r="D7852" s="2" t="str">
        <f t="shared" si="129"/>
        <v>Error?</v>
      </c>
      <c r="E7852" s="4" t="s">
        <v>2001</v>
      </c>
    </row>
    <row r="7853" spans="1:5" x14ac:dyDescent="0.2">
      <c r="A7853">
        <v>7792</v>
      </c>
      <c r="B7853" s="1831">
        <f>'PCTC-OEPP 27-28'!F119</f>
        <v>0</v>
      </c>
      <c r="D7853" s="2" t="str">
        <f t="shared" si="129"/>
        <v>Error?</v>
      </c>
      <c r="E7853" s="4" t="s">
        <v>2001</v>
      </c>
    </row>
    <row r="7854" spans="1:5" x14ac:dyDescent="0.2">
      <c r="A7854">
        <v>7793</v>
      </c>
      <c r="B7854" s="1831">
        <f>'PCTC-OEPP 27-28'!F120</f>
        <v>0</v>
      </c>
      <c r="D7854" s="2" t="str">
        <f t="shared" si="129"/>
        <v>Error?</v>
      </c>
      <c r="E7854" s="4" t="s">
        <v>2001</v>
      </c>
    </row>
    <row r="7855" spans="1:5" x14ac:dyDescent="0.2">
      <c r="A7855">
        <v>7794</v>
      </c>
      <c r="B7855" s="1831">
        <f>'PCTC-OEPP 27-28'!F122</f>
        <v>1500</v>
      </c>
      <c r="D7855" s="2" t="str">
        <f t="shared" si="129"/>
        <v>Error?</v>
      </c>
      <c r="E7855" s="4" t="s">
        <v>2001</v>
      </c>
    </row>
    <row r="7856" spans="1:5" x14ac:dyDescent="0.2">
      <c r="A7856">
        <v>7795</v>
      </c>
      <c r="B7856" s="1831">
        <f>'PCTC-OEPP 27-28'!F124</f>
        <v>0</v>
      </c>
      <c r="D7856" s="2" t="str">
        <f t="shared" si="129"/>
        <v>Error?</v>
      </c>
      <c r="E7856" s="4" t="s">
        <v>2001</v>
      </c>
    </row>
    <row r="7857" spans="1:5" x14ac:dyDescent="0.2">
      <c r="A7857">
        <v>7796</v>
      </c>
      <c r="B7857" s="1831">
        <f>'PCTC-OEPP 27-28'!F125</f>
        <v>0</v>
      </c>
      <c r="D7857" s="2" t="str">
        <f t="shared" si="129"/>
        <v>Error?</v>
      </c>
      <c r="E7857" s="4" t="s">
        <v>2001</v>
      </c>
    </row>
    <row r="7858" spans="1:5" x14ac:dyDescent="0.2">
      <c r="A7858">
        <v>7797</v>
      </c>
      <c r="B7858" s="1831">
        <f>'PCTC-OEPP 27-28'!F126</f>
        <v>123236</v>
      </c>
      <c r="D7858" s="2" t="str">
        <f t="shared" si="129"/>
        <v>Error?</v>
      </c>
      <c r="E7858" s="4" t="s">
        <v>2001</v>
      </c>
    </row>
    <row r="7859" spans="1:5" x14ac:dyDescent="0.2">
      <c r="A7859">
        <v>7798</v>
      </c>
      <c r="B7859" s="1831">
        <f>'PCTC-OEPP 27-28'!F127</f>
        <v>154765</v>
      </c>
      <c r="D7859" s="2" t="str">
        <f t="shared" si="129"/>
        <v>Error?</v>
      </c>
      <c r="E7859" s="4" t="s">
        <v>2001</v>
      </c>
    </row>
    <row r="7860" spans="1:5" x14ac:dyDescent="0.2">
      <c r="A7860">
        <v>7799</v>
      </c>
      <c r="B7860" s="1831">
        <f>'PCTC-OEPP 27-28'!F128</f>
        <v>31774</v>
      </c>
      <c r="D7860" s="2" t="str">
        <f t="shared" si="129"/>
        <v>Error?</v>
      </c>
      <c r="E7860" s="4" t="s">
        <v>2001</v>
      </c>
    </row>
    <row r="7861" spans="1:5" x14ac:dyDescent="0.2">
      <c r="A7861">
        <v>7800</v>
      </c>
      <c r="B7861" s="1831">
        <f>'PCTC-OEPP 27-28'!F129</f>
        <v>0</v>
      </c>
      <c r="D7861" s="2" t="str">
        <f t="shared" si="129"/>
        <v>Error?</v>
      </c>
      <c r="E7861" s="4" t="s">
        <v>2001</v>
      </c>
    </row>
    <row r="7862" spans="1:5" x14ac:dyDescent="0.2">
      <c r="A7862">
        <v>7801</v>
      </c>
      <c r="B7862" s="1831">
        <f>'PCTC-OEPP 27-28'!F130</f>
        <v>0</v>
      </c>
      <c r="D7862" s="2" t="str">
        <f t="shared" si="129"/>
        <v>Error?</v>
      </c>
      <c r="E7862" s="4" t="s">
        <v>2001</v>
      </c>
    </row>
    <row r="7863" spans="1:5" x14ac:dyDescent="0.2">
      <c r="A7863">
        <v>7802</v>
      </c>
      <c r="B7863" s="1831">
        <f>'PCTC-OEPP 27-28'!F131</f>
        <v>0</v>
      </c>
      <c r="D7863" s="2" t="str">
        <f t="shared" si="129"/>
        <v>Error?</v>
      </c>
      <c r="E7863" s="4" t="s">
        <v>2001</v>
      </c>
    </row>
    <row r="7864" spans="1:5" x14ac:dyDescent="0.2">
      <c r="A7864">
        <v>7803</v>
      </c>
      <c r="B7864" s="1831">
        <f>'PCTC-OEPP 27-28'!F132</f>
        <v>0</v>
      </c>
      <c r="D7864" s="2" t="str">
        <f t="shared" si="129"/>
        <v>Error?</v>
      </c>
      <c r="E7864" s="4" t="s">
        <v>2001</v>
      </c>
    </row>
    <row r="7865" spans="1:5" x14ac:dyDescent="0.2">
      <c r="A7865">
        <v>7804</v>
      </c>
      <c r="B7865" s="1831">
        <f>'PCTC-OEPP 27-28'!F133</f>
        <v>0</v>
      </c>
      <c r="D7865" s="2" t="str">
        <f t="shared" si="129"/>
        <v>Error?</v>
      </c>
      <c r="E7865" s="4" t="s">
        <v>2001</v>
      </c>
    </row>
    <row r="7866" spans="1:5" x14ac:dyDescent="0.2">
      <c r="A7866">
        <v>7805</v>
      </c>
      <c r="B7866" s="1831">
        <f>'PCTC-OEPP 27-28'!F158</f>
        <v>0</v>
      </c>
      <c r="D7866" s="2" t="str">
        <f t="shared" si="129"/>
        <v>Error?</v>
      </c>
      <c r="E7866" s="4" t="s">
        <v>2001</v>
      </c>
    </row>
    <row r="7867" spans="1:5" x14ac:dyDescent="0.2">
      <c r="A7867">
        <v>7806</v>
      </c>
      <c r="B7867" s="1831">
        <f>'PCTC-OEPP 27-28'!F160</f>
        <v>0</v>
      </c>
      <c r="D7867" s="2" t="str">
        <f t="shared" si="129"/>
        <v>Error?</v>
      </c>
      <c r="E7867" s="4" t="s">
        <v>2001</v>
      </c>
    </row>
    <row r="7868" spans="1:5" x14ac:dyDescent="0.2">
      <c r="A7868">
        <v>7807</v>
      </c>
      <c r="B7868" s="1831">
        <f>'PCTC-OEPP 27-28'!F161</f>
        <v>0</v>
      </c>
      <c r="D7868" s="2" t="str">
        <f t="shared" si="129"/>
        <v>Error?</v>
      </c>
      <c r="E7868" s="4" t="s">
        <v>2001</v>
      </c>
    </row>
    <row r="7869" spans="1:5" x14ac:dyDescent="0.2">
      <c r="A7869">
        <v>7808</v>
      </c>
      <c r="B7869" s="1831">
        <f>'PCTC-OEPP 27-28'!F162</f>
        <v>0</v>
      </c>
      <c r="D7869" s="2" t="str">
        <f t="shared" si="129"/>
        <v>Error?</v>
      </c>
      <c r="E7869" s="4" t="s">
        <v>2001</v>
      </c>
    </row>
    <row r="7870" spans="1:5" x14ac:dyDescent="0.2">
      <c r="A7870">
        <v>7809</v>
      </c>
      <c r="B7870" s="1831">
        <f>'PCTC-OEPP 27-28'!F163</f>
        <v>0</v>
      </c>
      <c r="D7870" s="2" t="str">
        <f t="shared" si="129"/>
        <v>Error?</v>
      </c>
      <c r="E7870" s="4" t="s">
        <v>2001</v>
      </c>
    </row>
    <row r="7871" spans="1:5" x14ac:dyDescent="0.2">
      <c r="A7871">
        <v>7810</v>
      </c>
      <c r="B7871" s="1831">
        <f>'PCTC-OEPP 27-28'!F164</f>
        <v>0</v>
      </c>
      <c r="D7871" s="2" t="str">
        <f t="shared" si="129"/>
        <v>Error?</v>
      </c>
      <c r="E7871" s="4" t="s">
        <v>2001</v>
      </c>
    </row>
    <row r="7872" spans="1:5" x14ac:dyDescent="0.2">
      <c r="A7872">
        <v>7811</v>
      </c>
      <c r="B7872" s="1831">
        <f>'PCTC-OEPP 27-28'!F165</f>
        <v>27429</v>
      </c>
      <c r="D7872" s="2" t="str">
        <f t="shared" si="129"/>
        <v>Error?</v>
      </c>
      <c r="E7872" s="4" t="s">
        <v>2001</v>
      </c>
    </row>
    <row r="7873" spans="1:5" x14ac:dyDescent="0.2">
      <c r="A7873">
        <v>7812</v>
      </c>
      <c r="B7873" s="1831">
        <f>'PCTC-OEPP 27-28'!F166</f>
        <v>0</v>
      </c>
      <c r="D7873" s="2" t="str">
        <f t="shared" si="129"/>
        <v>Error?</v>
      </c>
      <c r="E7873" s="4" t="s">
        <v>2001</v>
      </c>
    </row>
    <row r="7874" spans="1:5" x14ac:dyDescent="0.2">
      <c r="A7874">
        <v>7813</v>
      </c>
      <c r="B7874" s="1831">
        <f>'PCTC-OEPP 27-28'!F169</f>
        <v>1824</v>
      </c>
      <c r="D7874" s="2" t="str">
        <f t="shared" si="129"/>
        <v>Error?</v>
      </c>
      <c r="E7874" s="4" t="s">
        <v>2001</v>
      </c>
    </row>
    <row r="7875" spans="1:5" x14ac:dyDescent="0.2">
      <c r="A7875">
        <v>7814</v>
      </c>
      <c r="B7875" s="1831">
        <f>'PCTC-OEPP 27-28'!F170</f>
        <v>0</v>
      </c>
      <c r="D7875" s="2" t="str">
        <f t="shared" si="129"/>
        <v>Error?</v>
      </c>
      <c r="E7875" s="4" t="s">
        <v>2001</v>
      </c>
    </row>
    <row r="7876" spans="1:5" x14ac:dyDescent="0.2">
      <c r="A7876">
        <v>7815</v>
      </c>
      <c r="B7876" s="1831">
        <f>'PCTC-OEPP 27-28'!F171</f>
        <v>0</v>
      </c>
      <c r="D7876" s="2" t="str">
        <f t="shared" si="129"/>
        <v>Error?</v>
      </c>
      <c r="E7876" s="4" t="s">
        <v>2001</v>
      </c>
    </row>
    <row r="7877" spans="1:5" x14ac:dyDescent="0.2">
      <c r="A7877">
        <v>7816</v>
      </c>
      <c r="B7877" s="1831">
        <f>'PCTC-OEPP 27-28'!F175</f>
        <v>1483084</v>
      </c>
      <c r="D7877" s="2" t="str">
        <f t="shared" si="129"/>
        <v>Error?</v>
      </c>
      <c r="E7877" s="4" t="s">
        <v>2001</v>
      </c>
    </row>
    <row r="7878" spans="1:5" x14ac:dyDescent="0.2">
      <c r="A7878">
        <v>7817</v>
      </c>
      <c r="B7878" s="1831">
        <f>'PCTC-OEPP 27-28'!F176</f>
        <v>6929318</v>
      </c>
      <c r="D7878" s="2" t="str">
        <f t="shared" si="129"/>
        <v>Error?</v>
      </c>
      <c r="E7878" s="4" t="s">
        <v>2001</v>
      </c>
    </row>
    <row r="7879" spans="1:5" x14ac:dyDescent="0.2">
      <c r="A7879">
        <v>7818</v>
      </c>
      <c r="B7879" s="1831">
        <f>'PCTC-OEPP 27-28'!F178</f>
        <v>7425366.5999999996</v>
      </c>
      <c r="D7879" s="2" t="str">
        <f t="shared" si="129"/>
        <v>Error?</v>
      </c>
      <c r="E7879" s="4" t="s">
        <v>2001</v>
      </c>
    </row>
    <row r="7880" spans="1:5" x14ac:dyDescent="0.2">
      <c r="A7880">
        <v>7819</v>
      </c>
      <c r="B7880" s="1831">
        <f>'PCTC-OEPP 27-28'!F180</f>
        <v>11795.657823669579</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sheet="1" objects="1" scenarios="1"/>
  <autoFilter ref="A1:F7884"/>
  <phoneticPr fontId="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4" sqref="A4:L4"/>
    </sheetView>
  </sheetViews>
  <sheetFormatPr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7" t="s">
        <v>1183</v>
      </c>
      <c r="B2" s="2547"/>
      <c r="C2" s="2547"/>
      <c r="D2" s="2547"/>
      <c r="E2" s="2547"/>
      <c r="F2" s="2547"/>
      <c r="G2" s="2547"/>
      <c r="H2" s="2547"/>
      <c r="I2" s="2547"/>
      <c r="J2" s="2547"/>
      <c r="K2" s="2547"/>
      <c r="L2" s="2547"/>
    </row>
    <row r="3" spans="1:29" ht="13.5" customHeight="1" x14ac:dyDescent="0.2">
      <c r="A3" s="2513" t="s">
        <v>1182</v>
      </c>
      <c r="B3" s="2513"/>
      <c r="C3" s="2513"/>
      <c r="D3" s="2513"/>
      <c r="E3" s="2513"/>
      <c r="F3" s="2513"/>
      <c r="G3" s="2513"/>
      <c r="H3" s="2513"/>
      <c r="I3" s="2513"/>
      <c r="J3" s="2513"/>
      <c r="K3" s="2513"/>
      <c r="L3" s="2513"/>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37" t="str">
        <f>COVER!A17</f>
        <v>Pontiac Township High School District #90</v>
      </c>
      <c r="B7" s="2538"/>
      <c r="C7" s="2538"/>
      <c r="D7" s="2539"/>
      <c r="E7" s="2540" t="str">
        <f>COVER!A13</f>
        <v>17-053-0900-17</v>
      </c>
      <c r="F7" s="2541"/>
      <c r="G7" s="2514" t="str">
        <f>COVER!T23</f>
        <v>066-004933</v>
      </c>
      <c r="H7" s="2515"/>
      <c r="I7" s="2515"/>
      <c r="J7" s="2515"/>
      <c r="K7" s="2515"/>
      <c r="L7" s="2516"/>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17"/>
      <c r="B9" s="2518"/>
      <c r="C9" s="2518"/>
      <c r="D9" s="2518"/>
      <c r="E9" s="2518"/>
      <c r="F9" s="2519"/>
      <c r="G9" s="2520" t="str">
        <f>COVER!T13</f>
        <v>PHILLIPS &amp; ASSOCIATES CPAS PC</v>
      </c>
      <c r="H9" s="2521"/>
      <c r="I9" s="2521"/>
      <c r="J9" s="2521"/>
      <c r="K9" s="2521"/>
      <c r="L9" s="2522"/>
    </row>
    <row r="10" spans="1:29" ht="13.5" customHeight="1" x14ac:dyDescent="0.2">
      <c r="A10" s="2542" t="str">
        <f>COVER!A38</f>
        <v>Jon Kilgore</v>
      </c>
      <c r="B10" s="2543"/>
      <c r="C10" s="2543"/>
      <c r="D10" s="2543"/>
      <c r="E10" s="2543"/>
      <c r="F10" s="2544"/>
      <c r="G10" s="2520" t="str">
        <f>COVER!T17</f>
        <v>1600 HUNT DR, STE B</v>
      </c>
      <c r="H10" s="2553"/>
      <c r="I10" s="2553"/>
      <c r="J10" s="2553"/>
      <c r="K10" s="2553"/>
      <c r="L10" s="2554"/>
    </row>
    <row r="11" spans="1:29" ht="13.5" customHeight="1" x14ac:dyDescent="0.2">
      <c r="A11" s="963" t="s">
        <v>1505</v>
      </c>
      <c r="B11" s="964"/>
      <c r="C11" s="965"/>
      <c r="D11" s="970"/>
      <c r="E11" s="965"/>
      <c r="F11" s="969"/>
      <c r="G11" s="2520" t="str">
        <f>COVER!T19</f>
        <v>NORMAL</v>
      </c>
      <c r="H11" s="2553"/>
      <c r="I11" s="2553"/>
      <c r="J11" s="2553"/>
      <c r="K11" s="2553"/>
      <c r="L11" s="2554"/>
    </row>
    <row r="12" spans="1:29" ht="13.5" customHeight="1" x14ac:dyDescent="0.2">
      <c r="A12" s="2529" t="s">
        <v>1504</v>
      </c>
      <c r="B12" s="2530"/>
      <c r="C12" s="2530"/>
      <c r="D12" s="2530"/>
      <c r="E12" s="2530"/>
      <c r="F12" s="2531"/>
      <c r="G12" s="2555"/>
      <c r="H12" s="2556"/>
      <c r="I12" s="2556"/>
      <c r="J12" s="2556"/>
      <c r="K12" s="2556"/>
      <c r="L12" s="2557"/>
    </row>
    <row r="13" spans="1:29" ht="13.5" customHeight="1" x14ac:dyDescent="0.2">
      <c r="A13" s="2520"/>
      <c r="B13" s="2553"/>
      <c r="C13" s="2553"/>
      <c r="D13" s="2553"/>
      <c r="E13" s="2553"/>
      <c r="F13" s="2554"/>
      <c r="G13" s="2548" t="s">
        <v>1506</v>
      </c>
      <c r="H13" s="2549"/>
      <c r="I13" s="2532" t="str">
        <f>COVER!T25</f>
        <v>RWP6505@AOL.COM</v>
      </c>
      <c r="J13" s="2533"/>
      <c r="K13" s="2533"/>
      <c r="L13" s="2534"/>
    </row>
    <row r="14" spans="1:29" ht="13.5" customHeight="1" x14ac:dyDescent="0.2">
      <c r="A14" s="2520" t="str">
        <f>COVER!A19</f>
        <v>110 Indiana Avenue</v>
      </c>
      <c r="B14" s="2553"/>
      <c r="C14" s="2553"/>
      <c r="D14" s="2553"/>
      <c r="E14" s="2553"/>
      <c r="F14" s="2554"/>
      <c r="G14" s="974" t="s">
        <v>1177</v>
      </c>
      <c r="H14" s="972"/>
      <c r="I14" s="972"/>
      <c r="J14" s="972"/>
      <c r="K14" s="972"/>
      <c r="L14" s="973"/>
    </row>
    <row r="15" spans="1:29" ht="13.5" customHeight="1" x14ac:dyDescent="0.2">
      <c r="A15" s="2520" t="str">
        <f>COVER!A21</f>
        <v>Pontiac, IL</v>
      </c>
      <c r="B15" s="2553"/>
      <c r="C15" s="2553"/>
      <c r="D15" s="2553"/>
      <c r="E15" s="2553"/>
      <c r="F15" s="2554"/>
      <c r="G15" s="2550" t="str">
        <f>COVER!T15</f>
        <v>RICHARD W PHILLIPS</v>
      </c>
      <c r="H15" s="2551"/>
      <c r="I15" s="2551"/>
      <c r="J15" s="2551"/>
      <c r="K15" s="2551"/>
      <c r="L15" s="2552"/>
    </row>
    <row r="16" spans="1:29" ht="12.2" customHeight="1" x14ac:dyDescent="0.2">
      <c r="A16" s="2546">
        <f>COVER!A25</f>
        <v>61764</v>
      </c>
      <c r="B16" s="2527"/>
      <c r="C16" s="2527"/>
      <c r="D16" s="2527"/>
      <c r="E16" s="2527"/>
      <c r="F16" s="2528"/>
      <c r="G16" s="2523"/>
      <c r="H16" s="2524"/>
      <c r="I16" s="2524"/>
      <c r="J16" s="2524"/>
      <c r="K16" s="2524"/>
      <c r="L16" s="2525"/>
    </row>
    <row r="17" spans="1:13" ht="12.2" customHeight="1" x14ac:dyDescent="0.2">
      <c r="A17" s="2526"/>
      <c r="B17" s="2527"/>
      <c r="C17" s="2527"/>
      <c r="D17" s="2527"/>
      <c r="E17" s="2527"/>
      <c r="F17" s="2528"/>
      <c r="G17" s="974" t="s">
        <v>1176</v>
      </c>
      <c r="H17" s="972"/>
      <c r="I17" s="972"/>
      <c r="J17" s="972"/>
      <c r="K17" s="976" t="s">
        <v>1175</v>
      </c>
      <c r="L17" s="969"/>
      <c r="M17" s="962"/>
    </row>
    <row r="18" spans="1:13" ht="12.2" customHeight="1" x14ac:dyDescent="0.2">
      <c r="A18" s="2542"/>
      <c r="B18" s="2543"/>
      <c r="C18" s="2543"/>
      <c r="D18" s="2543"/>
      <c r="E18" s="2543"/>
      <c r="F18" s="2544"/>
      <c r="G18" s="2537">
        <f>COVER!T21</f>
        <v>3094522417</v>
      </c>
      <c r="H18" s="2538"/>
      <c r="I18" s="2538"/>
      <c r="J18" s="2538"/>
      <c r="K18" s="2537">
        <f>COVER!X21</f>
        <v>3098889261</v>
      </c>
      <c r="L18" s="254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5:F15"/>
    <mergeCell ref="G11:L11"/>
    <mergeCell ref="G12:L12"/>
    <mergeCell ref="A10:F10"/>
    <mergeCell ref="G10:L10"/>
    <mergeCell ref="E7:F7"/>
    <mergeCell ref="A18:F18"/>
    <mergeCell ref="G18:J18"/>
    <mergeCell ref="K18:L18"/>
    <mergeCell ref="A16:F16"/>
    <mergeCell ref="A2:L2"/>
    <mergeCell ref="G13:H13"/>
    <mergeCell ref="G15:L15"/>
    <mergeCell ref="A13:F13"/>
    <mergeCell ref="A14:F14"/>
    <mergeCell ref="A3:L3"/>
    <mergeCell ref="G7:L7"/>
    <mergeCell ref="A9:F9"/>
    <mergeCell ref="G9:L9"/>
    <mergeCell ref="G16:L16"/>
    <mergeCell ref="A17:F17"/>
    <mergeCell ref="A12:F12"/>
    <mergeCell ref="I13:L13"/>
    <mergeCell ref="A4:L4"/>
    <mergeCell ref="A7:D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Pontiac Township High School District #90</v>
      </c>
      <c r="B1" s="2559"/>
      <c r="C1" s="2559"/>
      <c r="D1" s="2559"/>
    </row>
    <row r="2" spans="1:11" s="991" customFormat="1" ht="12.75" x14ac:dyDescent="0.2">
      <c r="A2" s="2560" t="str">
        <f>'Single Audit Cover'!E7</f>
        <v>17-053-0900-17</v>
      </c>
      <c r="B2" s="2561"/>
      <c r="C2" s="2561"/>
      <c r="D2" s="2561"/>
    </row>
    <row r="3" spans="1:11" s="991" customFormat="1" ht="12.75" x14ac:dyDescent="0.2">
      <c r="A3" s="2558" t="s">
        <v>1499</v>
      </c>
      <c r="B3" s="2559"/>
      <c r="C3" s="2559"/>
      <c r="D3" s="2559"/>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Pontiac Township High School District #90</v>
      </c>
      <c r="B1" s="2563"/>
      <c r="C1" s="2563"/>
      <c r="D1" s="2563"/>
      <c r="E1" s="2563"/>
    </row>
    <row r="2" spans="1:5" x14ac:dyDescent="0.2">
      <c r="A2" s="2564" t="str">
        <f>'Single Audit Cover'!E7</f>
        <v>17-053-0900-17</v>
      </c>
      <c r="B2" s="2564"/>
      <c r="C2" s="2564"/>
      <c r="D2" s="2564"/>
      <c r="E2" s="2564"/>
    </row>
    <row r="3" spans="1:5" ht="4.5" customHeight="1" x14ac:dyDescent="0.2"/>
    <row r="4" spans="1:5" x14ac:dyDescent="0.2">
      <c r="A4" s="2563" t="s">
        <v>1236</v>
      </c>
      <c r="B4" s="2563"/>
      <c r="C4" s="2563"/>
      <c r="D4" s="2563"/>
      <c r="E4" s="2563"/>
    </row>
    <row r="5" spans="1:5" x14ac:dyDescent="0.2">
      <c r="A5" s="2566" t="str">
        <f>'Single Audit Cover'!A4</f>
        <v>Year Ending June 30, 2020</v>
      </c>
      <c r="B5" s="2566"/>
      <c r="C5" s="2566"/>
      <c r="D5" s="2566"/>
      <c r="E5" s="2566"/>
    </row>
    <row r="6" spans="1:5" x14ac:dyDescent="0.2">
      <c r="A6" s="2563" t="s">
        <v>1235</v>
      </c>
      <c r="B6" s="2563"/>
      <c r="C6" s="2563"/>
      <c r="D6" s="2563"/>
      <c r="E6" s="2563"/>
    </row>
    <row r="8" spans="1:5" x14ac:dyDescent="0.2">
      <c r="A8" s="1036" t="s">
        <v>1234</v>
      </c>
    </row>
    <row r="10" spans="1:5" x14ac:dyDescent="0.2">
      <c r="A10" s="1037" t="s">
        <v>1233</v>
      </c>
      <c r="B10" s="1038" t="s">
        <v>1232</v>
      </c>
      <c r="C10" s="1038"/>
      <c r="D10" s="1039">
        <f>SUM('Acct Summary 7-8'!C7:K7)</f>
        <v>339028</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0</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0</v>
      </c>
    </row>
    <row r="19" spans="1:4" ht="13.5" thickBot="1" x14ac:dyDescent="0.25">
      <c r="A19" s="1041" t="s">
        <v>1226</v>
      </c>
      <c r="D19" s="1042">
        <f>SUM(D10:D17)</f>
        <v>339028</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1224</v>
      </c>
      <c r="D32" s="1039">
        <f>SUM(D19:D30)</f>
        <v>339028</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1218</v>
      </c>
      <c r="C47" s="1048"/>
      <c r="D47" s="1049">
        <f>SUM(D35:D45)</f>
        <v>0</v>
      </c>
    </row>
    <row r="49" spans="2:4" x14ac:dyDescent="0.2">
      <c r="B49" s="1048" t="s">
        <v>1217</v>
      </c>
      <c r="C49" s="1048"/>
      <c r="D49" s="1049">
        <f>D32-D47</f>
        <v>339028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3" t="str">
        <f>'Single Audit Cover'!A7</f>
        <v>Pontiac Township High School District #90</v>
      </c>
      <c r="C1" s="2567"/>
      <c r="D1" s="2567"/>
      <c r="E1" s="2567"/>
      <c r="F1" s="2567"/>
      <c r="G1" s="2567"/>
      <c r="H1" s="2567"/>
      <c r="I1" s="2567"/>
      <c r="J1" s="2567"/>
      <c r="K1" s="2567"/>
      <c r="L1" s="2567"/>
      <c r="M1" s="2567"/>
    </row>
    <row r="2" spans="2:14" ht="15" x14ac:dyDescent="0.2">
      <c r="B2" s="2568" t="str">
        <f>'Single Audit Cover'!E7</f>
        <v>17-053-0900-17</v>
      </c>
      <c r="C2" s="2568"/>
      <c r="D2" s="2568"/>
      <c r="E2" s="2568"/>
      <c r="F2" s="2568"/>
      <c r="G2" s="2568"/>
      <c r="H2" s="2568"/>
      <c r="I2" s="2568"/>
      <c r="J2" s="2568"/>
      <c r="K2" s="2568"/>
      <c r="L2" s="2568"/>
      <c r="M2" s="2568"/>
      <c r="N2" s="1078"/>
    </row>
    <row r="3" spans="2:14" ht="15" x14ac:dyDescent="0.2">
      <c r="B3" s="2569" t="s">
        <v>1210</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3"/>
      <c r="J5" s="1913"/>
    </row>
    <row r="6" spans="2:14" x14ac:dyDescent="0.2">
      <c r="B6" s="1079"/>
      <c r="C6" s="1080"/>
      <c r="D6" s="1081" t="s">
        <v>1256</v>
      </c>
      <c r="E6" s="1082" t="s">
        <v>524</v>
      </c>
      <c r="F6" s="1083"/>
      <c r="G6" s="1084" t="s">
        <v>1714</v>
      </c>
      <c r="H6" s="1082"/>
      <c r="I6" s="1082"/>
      <c r="J6" s="1914"/>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12" t="str">
        <f>"7/1/"&amp;MID('AFR20'!$E$2,3,2)-2&amp;"-6/30/"&amp;MID('AFR20'!$E$2,3,2)-1</f>
        <v>7/1/18-6/30/19</v>
      </c>
      <c r="F9" s="1912" t="str">
        <f>"7/1/"&amp;MID('AFR20'!$E$2,3,2)-1&amp;"-6/30/"&amp;MID('AFR20'!$E$2,3,2)</f>
        <v>7/1/19-6/30/20</v>
      </c>
      <c r="G9" s="1912" t="str">
        <f>"7/1/"&amp;MID('AFR20'!$E$2,3,2)-2&amp;"-6/30/"&amp;MID('AFR20'!$E$2,3,2)-1</f>
        <v>7/1/18-6/30/19</v>
      </c>
      <c r="H9" s="1093" t="s">
        <v>1568</v>
      </c>
      <c r="I9" s="1912"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Pontiac Township High School District #90</v>
      </c>
      <c r="B1" s="2573"/>
      <c r="C1" s="2573"/>
      <c r="D1" s="2573"/>
      <c r="E1" s="2573"/>
      <c r="F1" s="2573"/>
    </row>
    <row r="2" spans="1:7" ht="13.5" customHeight="1" x14ac:dyDescent="0.2">
      <c r="A2" s="2568" t="str">
        <f>'Single Audit Cover'!E7</f>
        <v>17-053-0900-17</v>
      </c>
      <c r="B2" s="2568"/>
      <c r="C2" s="2568"/>
      <c r="D2" s="2568"/>
      <c r="E2" s="2568"/>
      <c r="F2" s="2568"/>
      <c r="G2" s="1051"/>
    </row>
    <row r="3" spans="1:7" ht="15.75" customHeight="1" x14ac:dyDescent="0.2">
      <c r="A3" s="2574" t="s">
        <v>1262</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1708</v>
      </c>
      <c r="C6" s="295"/>
      <c r="D6" s="295"/>
    </row>
    <row r="7" spans="1:7" ht="60.95" customHeight="1" x14ac:dyDescent="0.2">
      <c r="A7" s="2572" t="s">
        <v>1709</v>
      </c>
      <c r="B7" s="2572"/>
      <c r="C7" s="2572"/>
      <c r="D7" s="2572"/>
      <c r="E7" s="2572"/>
      <c r="F7" s="2572"/>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2" t="s">
        <v>1711</v>
      </c>
      <c r="B13" s="2572"/>
      <c r="C13" s="2572"/>
      <c r="D13" s="2572"/>
      <c r="E13" s="2572"/>
      <c r="F13" s="2572"/>
    </row>
    <row r="14" spans="1:7" ht="9.75" customHeight="1" x14ac:dyDescent="0.2">
      <c r="C14" s="1036"/>
      <c r="D14" s="1036"/>
    </row>
    <row r="15" spans="1:7" ht="13.5" customHeight="1" x14ac:dyDescent="0.2">
      <c r="C15" s="1476" t="s">
        <v>1261</v>
      </c>
      <c r="D15" s="2576" t="s">
        <v>1260</v>
      </c>
      <c r="E15" s="2576"/>
      <c r="F15" s="2576"/>
    </row>
    <row r="16" spans="1:7" ht="13.5" customHeight="1" x14ac:dyDescent="0.2">
      <c r="A16" s="1058"/>
      <c r="B16" s="1052" t="s">
        <v>1259</v>
      </c>
      <c r="C16" s="1476" t="s">
        <v>1258</v>
      </c>
      <c r="D16" s="2577" t="s">
        <v>1574</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9" t="s">
        <v>1712</v>
      </c>
      <c r="B32" s="2579"/>
      <c r="C32" s="2579"/>
      <c r="D32" s="2579"/>
      <c r="E32" s="2579"/>
      <c r="F32" s="2579"/>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80">
        <f>+C33+C34</f>
        <v>0</v>
      </c>
      <c r="F34" s="2581"/>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1576</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1537</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S41" sqref="S41"/>
    </sheetView>
  </sheetViews>
  <sheetFormatPr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Pontiac Township High School District #90</v>
      </c>
      <c r="C1" s="2594"/>
      <c r="D1" s="2594"/>
      <c r="E1" s="2594"/>
      <c r="F1" s="2594"/>
      <c r="G1" s="2594"/>
      <c r="H1" s="2594"/>
      <c r="I1" s="2594"/>
      <c r="J1" s="1178"/>
    </row>
    <row r="2" spans="2:10" s="295" customFormat="1" ht="12.75" customHeight="1" x14ac:dyDescent="0.2">
      <c r="B2" s="2595" t="str">
        <f>'Single Audit Cover'!E7</f>
        <v>17-053-0900-17</v>
      </c>
      <c r="C2" s="2596"/>
      <c r="D2" s="2596"/>
      <c r="E2" s="2596"/>
      <c r="F2" s="2596"/>
      <c r="G2" s="2596"/>
      <c r="H2" s="2596"/>
      <c r="I2" s="2596"/>
      <c r="J2" s="1178"/>
    </row>
    <row r="3" spans="2:10" s="295" customFormat="1" ht="12.75" customHeight="1" x14ac:dyDescent="0.2">
      <c r="B3" s="2597" t="s">
        <v>1276</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1275</v>
      </c>
      <c r="C7" s="2598"/>
      <c r="D7" s="2598"/>
      <c r="E7" s="2598"/>
      <c r="F7" s="2598"/>
      <c r="G7" s="2598"/>
      <c r="H7" s="2598"/>
      <c r="I7" s="2598"/>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9"/>
      <c r="D11" s="2599"/>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0"/>
      <c r="E29" s="2600"/>
      <c r="F29" s="2600"/>
      <c r="G29" s="2600"/>
      <c r="H29" s="2600"/>
      <c r="I29" s="2600"/>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83" t="s">
        <v>1731</v>
      </c>
      <c r="D37" s="2584"/>
      <c r="E37" s="2584"/>
      <c r="F37" s="2585"/>
      <c r="G37" s="2583" t="s">
        <v>1578</v>
      </c>
      <c r="H37" s="2584"/>
      <c r="I37" s="2585"/>
    </row>
    <row r="38" spans="2:9" ht="16.5" customHeight="1" x14ac:dyDescent="0.2">
      <c r="B38" s="1200"/>
      <c r="C38" s="2586"/>
      <c r="D38" s="2587"/>
      <c r="E38" s="2587"/>
      <c r="F38" s="2588"/>
      <c r="G38" s="2589"/>
      <c r="H38" s="2590"/>
      <c r="I38" s="2591"/>
    </row>
    <row r="39" spans="2:9" ht="16.5" customHeight="1" x14ac:dyDescent="0.2">
      <c r="B39" s="1200"/>
      <c r="C39" s="2586"/>
      <c r="D39" s="2587"/>
      <c r="E39" s="2587"/>
      <c r="F39" s="2588"/>
      <c r="G39" s="2592"/>
      <c r="H39" s="2592"/>
      <c r="I39" s="2592"/>
    </row>
    <row r="40" spans="2:9" ht="16.5" customHeight="1" x14ac:dyDescent="0.2">
      <c r="B40" s="1200"/>
      <c r="C40" s="2586"/>
      <c r="D40" s="2587"/>
      <c r="E40" s="2587"/>
      <c r="F40" s="2588"/>
      <c r="G40" s="2592"/>
      <c r="H40" s="2592"/>
      <c r="I40" s="2592"/>
    </row>
    <row r="41" spans="2:9" ht="16.5" customHeight="1" x14ac:dyDescent="0.2">
      <c r="B41" s="1200"/>
      <c r="C41" s="2586"/>
      <c r="D41" s="2587"/>
      <c r="E41" s="2587"/>
      <c r="F41" s="2588"/>
      <c r="G41" s="2592"/>
      <c r="H41" s="2592"/>
      <c r="I41" s="2592"/>
    </row>
    <row r="42" spans="2:9" ht="16.5" customHeight="1" x14ac:dyDescent="0.2">
      <c r="B42" s="1200"/>
      <c r="C42" s="2586"/>
      <c r="D42" s="2587"/>
      <c r="E42" s="2587"/>
      <c r="F42" s="2588"/>
      <c r="G42" s="2592"/>
      <c r="H42" s="2592"/>
      <c r="I42" s="2592"/>
    </row>
    <row r="43" spans="2:9" ht="16.5" customHeight="1" x14ac:dyDescent="0.2">
      <c r="B43" s="1200"/>
      <c r="C43" s="2601" t="s">
        <v>1579</v>
      </c>
      <c r="D43" s="2602"/>
      <c r="E43" s="2602"/>
      <c r="F43" s="2603"/>
      <c r="G43" s="2604">
        <f>SUM(G38:I42)</f>
        <v>0</v>
      </c>
      <c r="H43" s="2604"/>
      <c r="I43" s="2604"/>
    </row>
    <row r="44" spans="2:9" ht="12.75" customHeight="1" x14ac:dyDescent="0.2"/>
    <row r="45" spans="2:9" ht="12.75" customHeight="1" x14ac:dyDescent="0.2">
      <c r="B45" s="1915" t="str">
        <f>"Total Federal Expenditures for 7/1/"&amp;MID('AFR20'!E2,3,2)-1&amp;"-6/30/"&amp;MID('AFR20'!E2,3,2)</f>
        <v>Total Federal Expenditures for 7/1/19-6/30/20</v>
      </c>
      <c r="C45" s="1916"/>
      <c r="D45" s="2605">
        <v>0</v>
      </c>
      <c r="E45" s="2606"/>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607"/>
      <c r="F49" s="2607"/>
      <c r="G49" s="2607"/>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E49:G49"/>
    <mergeCell ref="C40:F40"/>
    <mergeCell ref="G40:I40"/>
    <mergeCell ref="C41:F41"/>
    <mergeCell ref="G41:I41"/>
    <mergeCell ref="C42:F42"/>
    <mergeCell ref="G42:I42"/>
    <mergeCell ref="C11:D11"/>
    <mergeCell ref="D29:I29"/>
    <mergeCell ref="C37:F37"/>
    <mergeCell ref="C43:F43"/>
    <mergeCell ref="G43:I43"/>
    <mergeCell ref="D45:E45"/>
    <mergeCell ref="G37:I37"/>
    <mergeCell ref="C38:F38"/>
    <mergeCell ref="G38:I38"/>
    <mergeCell ref="C39:F39"/>
    <mergeCell ref="G39:I39"/>
    <mergeCell ref="B1:I1"/>
    <mergeCell ref="B2:I2"/>
    <mergeCell ref="B3:I3"/>
    <mergeCell ref="B4:I4"/>
    <mergeCell ref="B7:I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0" sqref="C10"/>
    </sheetView>
  </sheetViews>
  <sheetFormatPr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Pontiac Township High School District #90</v>
      </c>
      <c r="C1" s="2593"/>
      <c r="D1" s="2593"/>
      <c r="E1" s="2593"/>
      <c r="F1" s="2593"/>
      <c r="G1" s="2593"/>
      <c r="H1" s="2593"/>
      <c r="I1" s="2593"/>
      <c r="J1" s="2593"/>
      <c r="K1" s="2593"/>
      <c r="L1" s="1144"/>
      <c r="M1" s="1144"/>
    </row>
    <row r="2" spans="1:13" ht="12" customHeight="1" x14ac:dyDescent="0.2">
      <c r="B2" s="2595" t="str">
        <f>'Single Audit Cover'!E7</f>
        <v>17-053-0900-17</v>
      </c>
      <c r="C2" s="2595"/>
      <c r="D2" s="2595"/>
      <c r="E2" s="2595"/>
      <c r="F2" s="2595"/>
      <c r="G2" s="2595"/>
      <c r="H2" s="2595"/>
      <c r="I2" s="2595"/>
      <c r="J2" s="2595"/>
      <c r="K2" s="2595"/>
      <c r="L2" s="1145"/>
      <c r="M2" s="1146"/>
    </row>
    <row r="3" spans="1:13" ht="10.35" customHeight="1" x14ac:dyDescent="0.2">
      <c r="B3" s="2610" t="s">
        <v>1276</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1287</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7"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3"/>
      <c r="C20" s="2613"/>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9"/>
      <c r="C29" s="2609"/>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9"/>
      <c r="C32" s="2609"/>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20:K20"/>
    <mergeCell ref="B23:K23"/>
    <mergeCell ref="B26:K26"/>
    <mergeCell ref="B29:K29"/>
    <mergeCell ref="B32:K32"/>
    <mergeCell ref="B1:K1"/>
    <mergeCell ref="B2:K2"/>
    <mergeCell ref="B3:K3"/>
    <mergeCell ref="B4:K4"/>
    <mergeCell ref="B7:K7"/>
    <mergeCell ref="B14:K14"/>
    <mergeCell ref="B17:K17"/>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8" sqref="C8"/>
    </sheetView>
  </sheetViews>
  <sheetFormatPr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Pontiac Township High School District #90</v>
      </c>
      <c r="C1" s="2614"/>
      <c r="D1" s="2614"/>
      <c r="E1" s="2614"/>
      <c r="F1" s="2614"/>
      <c r="G1" s="2614"/>
      <c r="H1" s="2614"/>
      <c r="I1" s="2614"/>
      <c r="J1" s="2614"/>
      <c r="K1" s="2614"/>
      <c r="L1" s="1221"/>
    </row>
    <row r="2" spans="1:12" ht="12.75" customHeight="1" x14ac:dyDescent="0.2">
      <c r="B2" s="2615" t="str">
        <f>'Single Audit Cover'!E7</f>
        <v>17-053-0900-17</v>
      </c>
      <c r="C2" s="2615"/>
      <c r="D2" s="2615"/>
      <c r="E2" s="2615"/>
      <c r="F2" s="2615"/>
      <c r="G2" s="2615"/>
      <c r="H2" s="2615"/>
      <c r="I2" s="2615"/>
      <c r="J2" s="2615"/>
      <c r="K2" s="2615"/>
      <c r="L2" s="1222"/>
    </row>
    <row r="3" spans="1:12" ht="12.75" customHeight="1" x14ac:dyDescent="0.2">
      <c r="B3" s="2610" t="s">
        <v>1276</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1161</v>
      </c>
      <c r="C5" s="1036"/>
      <c r="L5" s="300"/>
    </row>
    <row r="6" spans="1:12" ht="30.75" customHeight="1" x14ac:dyDescent="0.2">
      <c r="A6" s="300"/>
      <c r="B6" s="2616" t="s">
        <v>1299</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7"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7"/>
      <c r="E14" s="2617"/>
      <c r="F14" s="2617"/>
      <c r="H14" s="1230" t="s">
        <v>1294</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8"/>
      <c r="E16" s="2618"/>
      <c r="F16" s="2618"/>
      <c r="G16" s="2618"/>
      <c r="H16" s="2618"/>
      <c r="I16" s="2618"/>
      <c r="J16" s="2618"/>
      <c r="K16" s="2618"/>
      <c r="L16" s="300"/>
    </row>
    <row r="17" spans="2:12" ht="13.5" customHeight="1" x14ac:dyDescent="0.2">
      <c r="B17" s="1156" t="s">
        <v>1292</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Pontiac Township High School District #90</v>
      </c>
      <c r="C1" s="2593"/>
      <c r="D1" s="2593"/>
      <c r="E1" s="1240"/>
    </row>
    <row r="2" spans="2:5" s="1058" customFormat="1" ht="12.75" customHeight="1" x14ac:dyDescent="0.2">
      <c r="B2" s="2595" t="str">
        <f>'Single Audit Cover'!E7</f>
        <v>17-053-0900-17</v>
      </c>
      <c r="C2" s="2595"/>
      <c r="D2" s="2595"/>
      <c r="E2" s="1241"/>
    </row>
    <row r="3" spans="2:5" ht="12.75" customHeight="1" x14ac:dyDescent="0.2">
      <c r="B3" s="2610" t="s">
        <v>1746</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BB988ADB-536F-4CCE-B3DE-37DB188F550B}">
  <ds:schemaRefs>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4d435f69-8686-490b-bd6d-b153bf22ab50"/>
    <ds:schemaRef ds:uri="d21dc803-237d-4c68-8692-8d731fd29118"/>
    <ds:schemaRef ds:uri="6ce3111e-7420-4802-b50a-75d4e9a0b98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2020-09-22T21:14:57Z</cp:lastPrinted>
  <dcterms:created xsi:type="dcterms:W3CDTF">2003-10-29T19:06:34Z</dcterms:created>
  <dcterms:modified xsi:type="dcterms:W3CDTF">2020-11-18T23:23:00Z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